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UCOP\SECCON\2023\PROVISÓRIOS SECCON\TERMO ADITIVO\II TA - CTR 023-2021 Forte DF SEI n. 0001264-24.2020.4.90.8000\"/>
    </mc:Choice>
  </mc:AlternateContent>
  <xr:revisionPtr revIDLastSave="0" documentId="13_ncr:1_{5FFFAB1A-7390-4A1E-B5D4-092A455668EC}" xr6:coauthVersionLast="47" xr6:coauthVersionMax="47" xr10:uidLastSave="{00000000-0000-0000-0000-000000000000}"/>
  <bookViews>
    <workbookView xWindow="28680" yWindow="-120" windowWidth="29040" windowHeight="15840" tabRatio="777" activeTab="1" xr2:uid="{FE5B337A-3BC4-4EFD-9EBE-AE8D162F9166}"/>
  </bookViews>
  <sheets>
    <sheet name="Quadro Resumo" sheetId="5" r:id="rId1"/>
    <sheet name="Cálculo da Garantia" sheetId="8" r:id="rId2"/>
    <sheet name="Bombeiro Civil 12x36 Diurno" sheetId="1" r:id="rId3"/>
    <sheet name="Bombeiro Civil 12x36 Noturno" sheetId="2" r:id="rId4"/>
    <sheet name="Bombeiro Civil Folguista Noturn" sheetId="3" r:id="rId5"/>
    <sheet name="Bombeiro Civil Folguista Diurno" sheetId="6" r:id="rId6"/>
    <sheet name="Uniformes" sheetId="4" r:id="rId7"/>
    <sheet name="Memória de Cálculo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8" l="1"/>
  <c r="J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3" i="8"/>
  <c r="G35" i="6"/>
  <c r="G35" i="3"/>
  <c r="G34" i="2"/>
  <c r="G34" i="1"/>
  <c r="H93" i="6"/>
  <c r="H53" i="6"/>
  <c r="H52" i="6"/>
  <c r="H51" i="6"/>
  <c r="H50" i="6"/>
  <c r="H15" i="6"/>
  <c r="F15" i="6"/>
  <c r="D15" i="6"/>
  <c r="H93" i="3"/>
  <c r="H53" i="3"/>
  <c r="H52" i="3"/>
  <c r="H51" i="3"/>
  <c r="H50" i="3"/>
  <c r="H17" i="3"/>
  <c r="F17" i="3"/>
  <c r="D17" i="3"/>
  <c r="H15" i="3"/>
  <c r="F15" i="3"/>
  <c r="D15" i="3"/>
  <c r="H113" i="2"/>
  <c r="H92" i="2"/>
  <c r="H49" i="2"/>
  <c r="H16" i="2"/>
  <c r="F16" i="2"/>
  <c r="D16" i="2"/>
  <c r="H14" i="2"/>
  <c r="F14" i="2"/>
  <c r="D14" i="2"/>
  <c r="H92" i="1"/>
  <c r="H96" i="1" s="1"/>
  <c r="D79" i="1"/>
  <c r="D78" i="1"/>
  <c r="H79" i="1"/>
  <c r="H78" i="1"/>
  <c r="F53" i="1"/>
  <c r="H53" i="1"/>
  <c r="H49" i="1"/>
  <c r="H48" i="1"/>
  <c r="H14" i="1" l="1"/>
  <c r="G110" i="6"/>
  <c r="G109" i="6"/>
  <c r="G104" i="6"/>
  <c r="H97" i="6"/>
  <c r="H117" i="6" s="1"/>
  <c r="G84" i="6"/>
  <c r="G83" i="6"/>
  <c r="G82" i="6"/>
  <c r="G81" i="6"/>
  <c r="G80" i="6"/>
  <c r="G72" i="6"/>
  <c r="H54" i="6"/>
  <c r="H61" i="6" s="1"/>
  <c r="H49" i="6"/>
  <c r="G41" i="6"/>
  <c r="G27" i="6"/>
  <c r="H13" i="6"/>
  <c r="H14" i="6" s="1"/>
  <c r="G110" i="3"/>
  <c r="G109" i="3"/>
  <c r="G104" i="3"/>
  <c r="H97" i="3"/>
  <c r="H117" i="3" s="1"/>
  <c r="G84" i="3"/>
  <c r="G83" i="3"/>
  <c r="G82" i="3"/>
  <c r="G81" i="3"/>
  <c r="G80" i="3"/>
  <c r="G72" i="3"/>
  <c r="H54" i="3"/>
  <c r="H61" i="3" s="1"/>
  <c r="G41" i="3"/>
  <c r="G27" i="3"/>
  <c r="H13" i="3"/>
  <c r="H49" i="3" s="1"/>
  <c r="G109" i="2"/>
  <c r="G108" i="2"/>
  <c r="G103" i="2"/>
  <c r="H96" i="2"/>
  <c r="H117" i="2" s="1"/>
  <c r="G83" i="2"/>
  <c r="G82" i="2"/>
  <c r="G81" i="2"/>
  <c r="G80" i="2"/>
  <c r="G79" i="2"/>
  <c r="G71" i="2"/>
  <c r="H53" i="2"/>
  <c r="H60" i="2" s="1"/>
  <c r="G40" i="2"/>
  <c r="G26" i="2"/>
  <c r="H13" i="2"/>
  <c r="H48" i="2" s="1"/>
  <c r="G109" i="1"/>
  <c r="G103" i="1"/>
  <c r="G108" i="1" s="1"/>
  <c r="H117" i="1"/>
  <c r="G83" i="1"/>
  <c r="G82" i="1"/>
  <c r="G81" i="1"/>
  <c r="G84" i="1" s="1"/>
  <c r="G80" i="1"/>
  <c r="G79" i="1"/>
  <c r="G71" i="1"/>
  <c r="H60" i="1"/>
  <c r="G40" i="1"/>
  <c r="G26" i="1"/>
  <c r="H13" i="1"/>
  <c r="F93" i="6"/>
  <c r="F97" i="6" s="1"/>
  <c r="F117" i="6" s="1"/>
  <c r="F92" i="2"/>
  <c r="F93" i="3"/>
  <c r="F92" i="1"/>
  <c r="D31" i="4"/>
  <c r="D30" i="4"/>
  <c r="D32" i="4" s="1"/>
  <c r="D33" i="4" s="1"/>
  <c r="D29" i="4"/>
  <c r="D28" i="4"/>
  <c r="D27" i="4"/>
  <c r="D26" i="4"/>
  <c r="D25" i="4"/>
  <c r="D24" i="4"/>
  <c r="F49" i="2"/>
  <c r="E109" i="1"/>
  <c r="E35" i="6"/>
  <c r="E35" i="3"/>
  <c r="E34" i="2"/>
  <c r="F49" i="1"/>
  <c r="E34" i="1"/>
  <c r="C34" i="1"/>
  <c r="E110" i="6"/>
  <c r="F53" i="6"/>
  <c r="F52" i="6"/>
  <c r="F51" i="6"/>
  <c r="F50" i="6"/>
  <c r="E104" i="6"/>
  <c r="E84" i="6"/>
  <c r="E83" i="6"/>
  <c r="E82" i="6"/>
  <c r="E81" i="6"/>
  <c r="E80" i="6"/>
  <c r="E27" i="6"/>
  <c r="F13" i="6"/>
  <c r="F14" i="6" s="1"/>
  <c r="E110" i="3"/>
  <c r="F53" i="3"/>
  <c r="F52" i="3"/>
  <c r="F51" i="3"/>
  <c r="F50" i="3"/>
  <c r="F54" i="3" s="1"/>
  <c r="H20" i="6" l="1"/>
  <c r="H14" i="3"/>
  <c r="H19" i="2"/>
  <c r="H80" i="2" s="1"/>
  <c r="G85" i="6"/>
  <c r="E41" i="6"/>
  <c r="G85" i="3"/>
  <c r="G84" i="2"/>
  <c r="H19" i="1"/>
  <c r="H24" i="1" s="1"/>
  <c r="F54" i="6"/>
  <c r="F61" i="6" s="1"/>
  <c r="E85" i="6"/>
  <c r="F49" i="6"/>
  <c r="E72" i="6"/>
  <c r="F20" i="6"/>
  <c r="H79" i="6" l="1"/>
  <c r="H81" i="6"/>
  <c r="H113" i="6"/>
  <c r="H82" i="6"/>
  <c r="H84" i="6"/>
  <c r="H80" i="6"/>
  <c r="H25" i="6"/>
  <c r="H27" i="6" s="1"/>
  <c r="H26" i="6"/>
  <c r="H83" i="6"/>
  <c r="H65" i="6"/>
  <c r="H68" i="6"/>
  <c r="H69" i="6" s="1"/>
  <c r="H71" i="6"/>
  <c r="H67" i="6"/>
  <c r="H66" i="6"/>
  <c r="F71" i="6"/>
  <c r="F65" i="6"/>
  <c r="F68" i="6"/>
  <c r="F26" i="6"/>
  <c r="F25" i="6"/>
  <c r="F79" i="6"/>
  <c r="F83" i="6"/>
  <c r="F81" i="6"/>
  <c r="F84" i="6"/>
  <c r="F82" i="6"/>
  <c r="F80" i="6"/>
  <c r="H20" i="3"/>
  <c r="H25" i="2"/>
  <c r="H78" i="2"/>
  <c r="H70" i="2"/>
  <c r="H83" i="2"/>
  <c r="H67" i="2"/>
  <c r="H82" i="2"/>
  <c r="H64" i="2"/>
  <c r="H24" i="2"/>
  <c r="H79" i="2"/>
  <c r="H81" i="2"/>
  <c r="H25" i="1"/>
  <c r="H26" i="1" s="1"/>
  <c r="H64" i="1"/>
  <c r="H80" i="1"/>
  <c r="H70" i="1"/>
  <c r="H113" i="1"/>
  <c r="H67" i="1"/>
  <c r="H81" i="1"/>
  <c r="H83" i="1"/>
  <c r="H82" i="1"/>
  <c r="F113" i="6"/>
  <c r="H70" i="6" l="1"/>
  <c r="H72" i="6"/>
  <c r="H115" i="6" s="1"/>
  <c r="H85" i="6"/>
  <c r="H89" i="6" s="1"/>
  <c r="H90" i="6" s="1"/>
  <c r="H116" i="6" s="1"/>
  <c r="H59" i="6"/>
  <c r="H34" i="6"/>
  <c r="H33" i="6"/>
  <c r="H40" i="6"/>
  <c r="H39" i="6"/>
  <c r="H38" i="6"/>
  <c r="H37" i="6"/>
  <c r="H36" i="6"/>
  <c r="H35" i="6"/>
  <c r="F70" i="6"/>
  <c r="F69" i="6"/>
  <c r="F67" i="6"/>
  <c r="F66" i="6"/>
  <c r="H79" i="3"/>
  <c r="H25" i="3"/>
  <c r="H27" i="3" s="1"/>
  <c r="H71" i="3"/>
  <c r="H113" i="3"/>
  <c r="H84" i="3"/>
  <c r="H68" i="3"/>
  <c r="H83" i="3"/>
  <c r="H26" i="3"/>
  <c r="H65" i="3"/>
  <c r="H80" i="3"/>
  <c r="H82" i="3"/>
  <c r="H81" i="3"/>
  <c r="H66" i="2"/>
  <c r="H65" i="2"/>
  <c r="H26" i="2"/>
  <c r="H69" i="2"/>
  <c r="H68" i="2"/>
  <c r="H84" i="2"/>
  <c r="H88" i="2" s="1"/>
  <c r="H89" i="2" s="1"/>
  <c r="H116" i="2" s="1"/>
  <c r="H68" i="1"/>
  <c r="H69" i="1"/>
  <c r="H58" i="1"/>
  <c r="H39" i="1"/>
  <c r="H37" i="1"/>
  <c r="H38" i="1"/>
  <c r="H36" i="1"/>
  <c r="H32" i="1"/>
  <c r="H35" i="1"/>
  <c r="H33" i="1"/>
  <c r="H34" i="1"/>
  <c r="H84" i="1"/>
  <c r="H88" i="1" s="1"/>
  <c r="H89" i="1" s="1"/>
  <c r="H116" i="1" s="1"/>
  <c r="H66" i="1"/>
  <c r="H65" i="1"/>
  <c r="F27" i="6"/>
  <c r="H71" i="2" l="1"/>
  <c r="H115" i="2" s="1"/>
  <c r="H71" i="1"/>
  <c r="H115" i="1" s="1"/>
  <c r="H41" i="6"/>
  <c r="H60" i="6" s="1"/>
  <c r="H62" i="6" s="1"/>
  <c r="H114" i="6" s="1"/>
  <c r="H118" i="6" s="1"/>
  <c r="F38" i="6"/>
  <c r="F33" i="6"/>
  <c r="F40" i="6"/>
  <c r="F39" i="6"/>
  <c r="F37" i="6"/>
  <c r="F36" i="6"/>
  <c r="F34" i="6"/>
  <c r="F35" i="6"/>
  <c r="H70" i="3"/>
  <c r="H69" i="3"/>
  <c r="H72" i="3" s="1"/>
  <c r="H115" i="3" s="1"/>
  <c r="H85" i="3"/>
  <c r="H89" i="3" s="1"/>
  <c r="H90" i="3" s="1"/>
  <c r="H116" i="3" s="1"/>
  <c r="H33" i="3"/>
  <c r="H40" i="3"/>
  <c r="H39" i="3"/>
  <c r="H38" i="3"/>
  <c r="H34" i="3"/>
  <c r="H59" i="3"/>
  <c r="H37" i="3"/>
  <c r="H36" i="3"/>
  <c r="H35" i="3"/>
  <c r="H67" i="3"/>
  <c r="H66" i="3"/>
  <c r="H58" i="2"/>
  <c r="H39" i="2"/>
  <c r="H38" i="2"/>
  <c r="H37" i="2"/>
  <c r="H36" i="2"/>
  <c r="H35" i="2"/>
  <c r="H34" i="2"/>
  <c r="H33" i="2"/>
  <c r="H32" i="2"/>
  <c r="H40" i="1"/>
  <c r="H59" i="1" s="1"/>
  <c r="H61" i="1" s="1"/>
  <c r="H114" i="1" s="1"/>
  <c r="H118" i="1" s="1"/>
  <c r="F59" i="6"/>
  <c r="H40" i="2" l="1"/>
  <c r="H59" i="2" s="1"/>
  <c r="H102" i="6"/>
  <c r="H41" i="3"/>
  <c r="H60" i="3" s="1"/>
  <c r="H62" i="3" s="1"/>
  <c r="H114" i="3" s="1"/>
  <c r="H118" i="3" s="1"/>
  <c r="H61" i="2"/>
  <c r="H114" i="2" s="1"/>
  <c r="H118" i="2" s="1"/>
  <c r="H101" i="1"/>
  <c r="F13" i="3"/>
  <c r="E104" i="3"/>
  <c r="F97" i="3"/>
  <c r="F117" i="3" s="1"/>
  <c r="E84" i="3"/>
  <c r="E83" i="3"/>
  <c r="E82" i="3"/>
  <c r="E81" i="3"/>
  <c r="E80" i="3"/>
  <c r="E41" i="3"/>
  <c r="E27" i="3"/>
  <c r="F14" i="3"/>
  <c r="E109" i="2"/>
  <c r="F53" i="2"/>
  <c r="F60" i="2" s="1"/>
  <c r="E103" i="2"/>
  <c r="F96" i="2"/>
  <c r="F117" i="2" s="1"/>
  <c r="E83" i="2"/>
  <c r="E82" i="2"/>
  <c r="E81" i="2"/>
  <c r="E80" i="2"/>
  <c r="E79" i="2"/>
  <c r="E40" i="2"/>
  <c r="E26" i="2"/>
  <c r="F13" i="2"/>
  <c r="C67" i="1"/>
  <c r="C109" i="1"/>
  <c r="H103" i="6" l="1"/>
  <c r="H107" i="6" s="1"/>
  <c r="H102" i="3"/>
  <c r="E85" i="3"/>
  <c r="H101" i="2"/>
  <c r="F19" i="2"/>
  <c r="F48" i="2"/>
  <c r="H102" i="1"/>
  <c r="H104" i="1" s="1"/>
  <c r="F49" i="3"/>
  <c r="F61" i="3"/>
  <c r="E72" i="3"/>
  <c r="E84" i="2"/>
  <c r="E71" i="2"/>
  <c r="H105" i="6" l="1"/>
  <c r="H106" i="6"/>
  <c r="F83" i="2"/>
  <c r="F79" i="2"/>
  <c r="H103" i="3"/>
  <c r="H106" i="3" s="1"/>
  <c r="H102" i="2"/>
  <c r="F64" i="2"/>
  <c r="F78" i="2"/>
  <c r="F70" i="2"/>
  <c r="F67" i="2"/>
  <c r="F82" i="2"/>
  <c r="F81" i="2"/>
  <c r="F80" i="2"/>
  <c r="H106" i="1"/>
  <c r="H105" i="1"/>
  <c r="F20" i="3"/>
  <c r="F25" i="2"/>
  <c r="F24" i="2"/>
  <c r="F113" i="2"/>
  <c r="H104" i="6" l="1"/>
  <c r="H109" i="6"/>
  <c r="H119" i="6" s="1"/>
  <c r="H120" i="6" s="1"/>
  <c r="H108" i="6"/>
  <c r="H103" i="1"/>
  <c r="H105" i="3"/>
  <c r="H107" i="3"/>
  <c r="F79" i="3"/>
  <c r="F65" i="3"/>
  <c r="F71" i="3"/>
  <c r="F68" i="3"/>
  <c r="F26" i="3"/>
  <c r="F25" i="3"/>
  <c r="F27" i="3" s="1"/>
  <c r="F81" i="3"/>
  <c r="F84" i="3"/>
  <c r="F80" i="3"/>
  <c r="F83" i="3"/>
  <c r="F82" i="3"/>
  <c r="H106" i="2"/>
  <c r="H105" i="2"/>
  <c r="H104" i="2"/>
  <c r="F65" i="2"/>
  <c r="F66" i="2"/>
  <c r="F68" i="2"/>
  <c r="F69" i="2"/>
  <c r="H107" i="1"/>
  <c r="H108" i="1"/>
  <c r="H119" i="1" s="1"/>
  <c r="H120" i="1" s="1"/>
  <c r="C40" i="5" s="1"/>
  <c r="E40" i="5" s="1"/>
  <c r="G40" i="5" s="1"/>
  <c r="F113" i="3"/>
  <c r="F26" i="2"/>
  <c r="C43" i="5" l="1"/>
  <c r="E43" i="5" s="1"/>
  <c r="G43" i="5" s="1"/>
  <c r="H104" i="3"/>
  <c r="H109" i="3" s="1"/>
  <c r="H119" i="3" s="1"/>
  <c r="H120" i="3" s="1"/>
  <c r="C42" i="5" s="1"/>
  <c r="H103" i="2"/>
  <c r="F67" i="3"/>
  <c r="F66" i="3"/>
  <c r="F36" i="3"/>
  <c r="F39" i="3"/>
  <c r="F37" i="3"/>
  <c r="F33" i="3"/>
  <c r="F40" i="3"/>
  <c r="F34" i="3"/>
  <c r="F35" i="3"/>
  <c r="F70" i="3"/>
  <c r="F69" i="3"/>
  <c r="F36" i="2"/>
  <c r="F35" i="2"/>
  <c r="F39" i="2"/>
  <c r="F33" i="2"/>
  <c r="F32" i="2"/>
  <c r="F38" i="2"/>
  <c r="F37" i="2"/>
  <c r="F34" i="2"/>
  <c r="F58" i="2"/>
  <c r="H108" i="3" l="1"/>
  <c r="H121" i="3"/>
  <c r="E42" i="5"/>
  <c r="G42" i="5" s="1"/>
  <c r="H108" i="2"/>
  <c r="H119" i="2" s="1"/>
  <c r="H120" i="2" s="1"/>
  <c r="C41" i="5" s="1"/>
  <c r="E41" i="5" s="1"/>
  <c r="G41" i="5" s="1"/>
  <c r="H107" i="2"/>
  <c r="F59" i="3"/>
  <c r="F38" i="3"/>
  <c r="G44" i="5" l="1"/>
  <c r="G45" i="5" s="1"/>
  <c r="C64" i="1"/>
  <c r="E40" i="1"/>
  <c r="E103" i="1"/>
  <c r="E108" i="1" s="1"/>
  <c r="E83" i="1"/>
  <c r="E82" i="1"/>
  <c r="E81" i="1"/>
  <c r="E80" i="1"/>
  <c r="E79" i="1"/>
  <c r="F60" i="1"/>
  <c r="E26" i="1"/>
  <c r="F13" i="1"/>
  <c r="B36" i="7"/>
  <c r="B35" i="7"/>
  <c r="B34" i="7"/>
  <c r="B33" i="7"/>
  <c r="B38" i="7" s="1"/>
  <c r="B20" i="7"/>
  <c r="B17" i="7"/>
  <c r="D50" i="3"/>
  <c r="D53" i="3"/>
  <c r="D52" i="3"/>
  <c r="D51" i="3"/>
  <c r="D13" i="3"/>
  <c r="D49" i="3" s="1"/>
  <c r="C110" i="3"/>
  <c r="C104" i="3"/>
  <c r="C84" i="3"/>
  <c r="C83" i="3"/>
  <c r="C82" i="3"/>
  <c r="C81" i="3"/>
  <c r="C80" i="3"/>
  <c r="C68" i="3"/>
  <c r="C65" i="3"/>
  <c r="C35" i="3"/>
  <c r="C27" i="3"/>
  <c r="C110" i="6"/>
  <c r="D50" i="6"/>
  <c r="D53" i="6"/>
  <c r="D52" i="6"/>
  <c r="D51" i="6"/>
  <c r="D49" i="6"/>
  <c r="D14" i="6"/>
  <c r="D20" i="6" s="1"/>
  <c r="C104" i="6"/>
  <c r="C84" i="6"/>
  <c r="C83" i="6"/>
  <c r="C82" i="6"/>
  <c r="C81" i="6"/>
  <c r="C80" i="6"/>
  <c r="F85" i="6" s="1"/>
  <c r="F89" i="6" s="1"/>
  <c r="F90" i="6" s="1"/>
  <c r="F116" i="6" s="1"/>
  <c r="C68" i="6"/>
  <c r="C65" i="6"/>
  <c r="C35" i="6"/>
  <c r="F41" i="6" s="1"/>
  <c r="F60" i="6" s="1"/>
  <c r="F62" i="6" s="1"/>
  <c r="F114" i="6" s="1"/>
  <c r="C27" i="6"/>
  <c r="D13" i="6"/>
  <c r="C109" i="2"/>
  <c r="C103" i="2"/>
  <c r="C83" i="2"/>
  <c r="C82" i="2"/>
  <c r="C81" i="2"/>
  <c r="C80" i="2"/>
  <c r="C79" i="2"/>
  <c r="C67" i="2"/>
  <c r="C64" i="2"/>
  <c r="D49" i="2"/>
  <c r="D53" i="2" s="1"/>
  <c r="D60" i="2" s="1"/>
  <c r="C34" i="2"/>
  <c r="F40" i="2" s="1"/>
  <c r="F59" i="2" s="1"/>
  <c r="F61" i="2" s="1"/>
  <c r="F114" i="2" s="1"/>
  <c r="C26" i="2"/>
  <c r="D13" i="2"/>
  <c r="C103" i="1"/>
  <c r="C108" i="1" s="1"/>
  <c r="D5" i="4"/>
  <c r="D6" i="4"/>
  <c r="D7" i="4"/>
  <c r="D8" i="4"/>
  <c r="D9" i="4"/>
  <c r="D10" i="4"/>
  <c r="D11" i="4"/>
  <c r="D4" i="4"/>
  <c r="D6" i="8" l="1"/>
  <c r="G46" i="5"/>
  <c r="C5" i="8"/>
  <c r="E5" i="8" s="1"/>
  <c r="F14" i="1"/>
  <c r="F48" i="1"/>
  <c r="D54" i="6"/>
  <c r="D61" i="6" s="1"/>
  <c r="F72" i="6"/>
  <c r="F115" i="6" s="1"/>
  <c r="F118" i="6" s="1"/>
  <c r="C109" i="6"/>
  <c r="E109" i="6"/>
  <c r="D14" i="3"/>
  <c r="D54" i="3"/>
  <c r="D61" i="3" s="1"/>
  <c r="C41" i="3"/>
  <c r="C69" i="3" s="1"/>
  <c r="F41" i="3"/>
  <c r="F60" i="3" s="1"/>
  <c r="F62" i="3" s="1"/>
  <c r="F114" i="3" s="1"/>
  <c r="C85" i="3"/>
  <c r="F85" i="3"/>
  <c r="F89" i="3" s="1"/>
  <c r="F90" i="3" s="1"/>
  <c r="F116" i="3" s="1"/>
  <c r="C109" i="3"/>
  <c r="E109" i="3"/>
  <c r="C40" i="2"/>
  <c r="C68" i="2" s="1"/>
  <c r="C84" i="2"/>
  <c r="C108" i="2"/>
  <c r="E108" i="2"/>
  <c r="F84" i="2"/>
  <c r="F88" i="2" s="1"/>
  <c r="F89" i="2" s="1"/>
  <c r="F116" i="2" s="1"/>
  <c r="D19" i="2"/>
  <c r="D64" i="2" s="1"/>
  <c r="E84" i="1"/>
  <c r="E71" i="1"/>
  <c r="F19" i="1"/>
  <c r="F79" i="1" s="1"/>
  <c r="C66" i="3"/>
  <c r="C85" i="6"/>
  <c r="C66" i="6"/>
  <c r="C41" i="6"/>
  <c r="C69" i="6" s="1"/>
  <c r="C65" i="2"/>
  <c r="D48" i="2"/>
  <c r="D12" i="4"/>
  <c r="D13" i="4" s="1"/>
  <c r="C6" i="8" l="1"/>
  <c r="E6" i="8"/>
  <c r="N18" i="8"/>
  <c r="N19" i="8"/>
  <c r="N21" i="8"/>
  <c r="N22" i="8"/>
  <c r="N20" i="8"/>
  <c r="C71" i="2"/>
  <c r="C72" i="3"/>
  <c r="F25" i="1"/>
  <c r="F24" i="1"/>
  <c r="F78" i="1"/>
  <c r="F70" i="1"/>
  <c r="F67" i="1"/>
  <c r="F64" i="1"/>
  <c r="F80" i="1"/>
  <c r="F82" i="1"/>
  <c r="F81" i="1"/>
  <c r="F83" i="1"/>
  <c r="F96" i="1"/>
  <c r="F117" i="1" s="1"/>
  <c r="D92" i="2"/>
  <c r="D96" i="2" s="1"/>
  <c r="D117" i="2" s="1"/>
  <c r="D92" i="1"/>
  <c r="D93" i="3"/>
  <c r="D97" i="3" s="1"/>
  <c r="D117" i="3" s="1"/>
  <c r="D93" i="6"/>
  <c r="D97" i="6" s="1"/>
  <c r="D117" i="6" s="1"/>
  <c r="F102" i="6"/>
  <c r="F72" i="3"/>
  <c r="F115" i="3" s="1"/>
  <c r="F118" i="3" s="1"/>
  <c r="D20" i="3"/>
  <c r="D79" i="3" s="1"/>
  <c r="F71" i="2"/>
  <c r="F115" i="2" s="1"/>
  <c r="F118" i="2" s="1"/>
  <c r="F101" i="2" s="1"/>
  <c r="F113" i="1"/>
  <c r="D26" i="3"/>
  <c r="D113" i="3"/>
  <c r="D71" i="3"/>
  <c r="D84" i="3"/>
  <c r="D65" i="3"/>
  <c r="D67" i="3" s="1"/>
  <c r="D82" i="3"/>
  <c r="D80" i="3"/>
  <c r="D68" i="3"/>
  <c r="D69" i="3" s="1"/>
  <c r="C72" i="6"/>
  <c r="D82" i="2"/>
  <c r="D79" i="2"/>
  <c r="D80" i="2"/>
  <c r="D81" i="2"/>
  <c r="D66" i="2"/>
  <c r="D65" i="2"/>
  <c r="D78" i="2"/>
  <c r="D24" i="2"/>
  <c r="D113" i="2"/>
  <c r="D67" i="2"/>
  <c r="D25" i="2"/>
  <c r="D70" i="2"/>
  <c r="D83" i="2"/>
  <c r="P4" i="8" l="1"/>
  <c r="P20" i="8"/>
  <c r="P5" i="8"/>
  <c r="P21" i="8"/>
  <c r="P22" i="8"/>
  <c r="P6" i="8"/>
  <c r="P7" i="8"/>
  <c r="P3" i="8"/>
  <c r="P8" i="8"/>
  <c r="P9" i="8"/>
  <c r="P10" i="8"/>
  <c r="P11" i="8"/>
  <c r="P12" i="8"/>
  <c r="P13" i="8"/>
  <c r="P14" i="8"/>
  <c r="P15" i="8"/>
  <c r="P16" i="8"/>
  <c r="P17" i="8"/>
  <c r="P18" i="8"/>
  <c r="P19" i="8"/>
  <c r="D25" i="3"/>
  <c r="F68" i="1"/>
  <c r="F69" i="1"/>
  <c r="F66" i="1"/>
  <c r="F65" i="1"/>
  <c r="F103" i="6"/>
  <c r="F105" i="6" s="1"/>
  <c r="F102" i="3"/>
  <c r="F103" i="3" s="1"/>
  <c r="D81" i="3"/>
  <c r="D83" i="3"/>
  <c r="F102" i="2"/>
  <c r="F104" i="2" s="1"/>
  <c r="D26" i="2"/>
  <c r="D38" i="2" s="1"/>
  <c r="F26" i="1"/>
  <c r="D27" i="3"/>
  <c r="D37" i="3" s="1"/>
  <c r="D70" i="3"/>
  <c r="D66" i="3"/>
  <c r="D79" i="6"/>
  <c r="D26" i="6"/>
  <c r="D71" i="6"/>
  <c r="D25" i="6"/>
  <c r="D113" i="6"/>
  <c r="D83" i="6"/>
  <c r="D80" i="6"/>
  <c r="D82" i="6"/>
  <c r="D84" i="6"/>
  <c r="D68" i="6"/>
  <c r="D65" i="6"/>
  <c r="D81" i="6"/>
  <c r="D84" i="2"/>
  <c r="D88" i="2" s="1"/>
  <c r="D89" i="2" s="1"/>
  <c r="D116" i="2" s="1"/>
  <c r="D32" i="2"/>
  <c r="D39" i="2"/>
  <c r="D37" i="2"/>
  <c r="D69" i="2"/>
  <c r="D68" i="2"/>
  <c r="P23" i="8" l="1"/>
  <c r="D85" i="3"/>
  <c r="D89" i="3" s="1"/>
  <c r="D90" i="3" s="1"/>
  <c r="D116" i="3" s="1"/>
  <c r="D33" i="2"/>
  <c r="F39" i="1"/>
  <c r="F38" i="1"/>
  <c r="F37" i="1"/>
  <c r="F33" i="1"/>
  <c r="F36" i="1"/>
  <c r="F35" i="1"/>
  <c r="F32" i="1"/>
  <c r="F106" i="6"/>
  <c r="F107" i="6"/>
  <c r="F107" i="3"/>
  <c r="F105" i="3"/>
  <c r="F34" i="1"/>
  <c r="F106" i="3"/>
  <c r="D33" i="3"/>
  <c r="D34" i="3"/>
  <c r="F105" i="2"/>
  <c r="F106" i="2"/>
  <c r="D34" i="2"/>
  <c r="D58" i="2"/>
  <c r="D36" i="2"/>
  <c r="D35" i="2"/>
  <c r="F58" i="1"/>
  <c r="D38" i="3"/>
  <c r="D39" i="3"/>
  <c r="D40" i="3"/>
  <c r="D59" i="3"/>
  <c r="D36" i="3"/>
  <c r="D35" i="3"/>
  <c r="D72" i="3"/>
  <c r="D115" i="3" s="1"/>
  <c r="D27" i="6"/>
  <c r="D34" i="6" s="1"/>
  <c r="D85" i="6"/>
  <c r="D89" i="6" s="1"/>
  <c r="D90" i="6" s="1"/>
  <c r="D116" i="6" s="1"/>
  <c r="D67" i="6"/>
  <c r="D66" i="6"/>
  <c r="D69" i="6"/>
  <c r="D70" i="6"/>
  <c r="D71" i="2"/>
  <c r="D115" i="2" s="1"/>
  <c r="D40" i="2" l="1"/>
  <c r="D59" i="2" s="1"/>
  <c r="D61" i="2" s="1"/>
  <c r="D114" i="2" s="1"/>
  <c r="D118" i="2" s="1"/>
  <c r="F103" i="2"/>
  <c r="F107" i="2" s="1"/>
  <c r="F104" i="6"/>
  <c r="F108" i="6" s="1"/>
  <c r="F104" i="3"/>
  <c r="F108" i="3" s="1"/>
  <c r="D41" i="3"/>
  <c r="D60" i="3" s="1"/>
  <c r="D62" i="3" s="1"/>
  <c r="D114" i="3" s="1"/>
  <c r="D118" i="3" s="1"/>
  <c r="D102" i="3" s="1"/>
  <c r="F40" i="1"/>
  <c r="F59" i="1" s="1"/>
  <c r="F61" i="1" s="1"/>
  <c r="F114" i="1" s="1"/>
  <c r="D40" i="6"/>
  <c r="D59" i="6"/>
  <c r="D35" i="6"/>
  <c r="D37" i="6"/>
  <c r="D38" i="6"/>
  <c r="D39" i="6"/>
  <c r="D36" i="6"/>
  <c r="D33" i="6"/>
  <c r="D72" i="6"/>
  <c r="D115" i="6" s="1"/>
  <c r="D101" i="2"/>
  <c r="F108" i="2" l="1"/>
  <c r="F119" i="2" s="1"/>
  <c r="F120" i="2" s="1"/>
  <c r="C31" i="5" s="1"/>
  <c r="E31" i="5" s="1"/>
  <c r="G31" i="5" s="1"/>
  <c r="F109" i="6"/>
  <c r="F119" i="6" s="1"/>
  <c r="F120" i="6" s="1"/>
  <c r="C33" i="5" s="1"/>
  <c r="E33" i="5" s="1"/>
  <c r="G33" i="5" s="1"/>
  <c r="F109" i="3"/>
  <c r="F119" i="3" s="1"/>
  <c r="F120" i="3" s="1"/>
  <c r="D103" i="3"/>
  <c r="D41" i="6"/>
  <c r="D60" i="6" s="1"/>
  <c r="D62" i="6" s="1"/>
  <c r="D114" i="6" s="1"/>
  <c r="D118" i="6" s="1"/>
  <c r="D102" i="6" s="1"/>
  <c r="D103" i="6" s="1"/>
  <c r="D102" i="2"/>
  <c r="D104" i="2" s="1"/>
  <c r="F121" i="3" l="1"/>
  <c r="C32" i="5"/>
  <c r="E32" i="5" s="1"/>
  <c r="G32" i="5" s="1"/>
  <c r="D107" i="3"/>
  <c r="D106" i="3"/>
  <c r="D105" i="3"/>
  <c r="D106" i="6"/>
  <c r="D107" i="6"/>
  <c r="D105" i="6"/>
  <c r="D106" i="2"/>
  <c r="D105" i="2"/>
  <c r="D103" i="2" l="1"/>
  <c r="D104" i="3"/>
  <c r="D109" i="3" s="1"/>
  <c r="D119" i="3" s="1"/>
  <c r="D120" i="3" s="1"/>
  <c r="D104" i="6"/>
  <c r="D108" i="6" s="1"/>
  <c r="D107" i="2"/>
  <c r="D108" i="2"/>
  <c r="D119" i="2" s="1"/>
  <c r="D120" i="2" s="1"/>
  <c r="C18" i="5" s="1"/>
  <c r="E18" i="5" s="1"/>
  <c r="G18" i="5" s="1"/>
  <c r="C19" i="5" l="1"/>
  <c r="E19" i="5" s="1"/>
  <c r="G19" i="5" s="1"/>
  <c r="D121" i="3"/>
  <c r="D108" i="3"/>
  <c r="D109" i="6"/>
  <c r="D119" i="6" s="1"/>
  <c r="D120" i="6" s="1"/>
  <c r="C20" i="5" s="1"/>
  <c r="E20" i="5" s="1"/>
  <c r="G20" i="5" s="1"/>
  <c r="D96" i="1" l="1"/>
  <c r="D117" i="1" s="1"/>
  <c r="D49" i="1"/>
  <c r="D13" i="1"/>
  <c r="D14" i="1" s="1"/>
  <c r="D19" i="1" s="1"/>
  <c r="D70" i="1" s="1"/>
  <c r="C83" i="1"/>
  <c r="C82" i="1"/>
  <c r="C81" i="1"/>
  <c r="C80" i="1"/>
  <c r="C79" i="1"/>
  <c r="C40" i="1"/>
  <c r="C26" i="1"/>
  <c r="D53" i="1" l="1"/>
  <c r="D60" i="1" s="1"/>
  <c r="F84" i="1"/>
  <c r="F88" i="1" s="1"/>
  <c r="F89" i="1" s="1"/>
  <c r="F116" i="1" s="1"/>
  <c r="F71" i="1"/>
  <c r="F115" i="1" s="1"/>
  <c r="D64" i="1"/>
  <c r="D66" i="1" s="1"/>
  <c r="D67" i="1"/>
  <c r="D69" i="1" s="1"/>
  <c r="C84" i="1"/>
  <c r="D83" i="1"/>
  <c r="D80" i="1"/>
  <c r="D24" i="1"/>
  <c r="D81" i="1"/>
  <c r="D25" i="1"/>
  <c r="D82" i="1"/>
  <c r="D113" i="1"/>
  <c r="D48" i="1"/>
  <c r="C68" i="1"/>
  <c r="C65" i="1"/>
  <c r="C71" i="1" s="1"/>
  <c r="F118" i="1" l="1"/>
  <c r="D65" i="1"/>
  <c r="D68" i="1"/>
  <c r="D26" i="1"/>
  <c r="D58" i="1" s="1"/>
  <c r="D84" i="1"/>
  <c r="D88" i="1" s="1"/>
  <c r="D89" i="1" s="1"/>
  <c r="D116" i="1" s="1"/>
  <c r="D39" i="1"/>
  <c r="D32" i="1"/>
  <c r="D33" i="1"/>
  <c r="D34" i="1"/>
  <c r="F101" i="1" l="1"/>
  <c r="F102" i="1" s="1"/>
  <c r="D71" i="1"/>
  <c r="D115" i="1" s="1"/>
  <c r="D38" i="1"/>
  <c r="D37" i="1"/>
  <c r="D36" i="1"/>
  <c r="D35" i="1"/>
  <c r="F104" i="1" l="1"/>
  <c r="F105" i="1"/>
  <c r="F106" i="1"/>
  <c r="D40" i="1"/>
  <c r="D59" i="1" s="1"/>
  <c r="D61" i="1" s="1"/>
  <c r="D114" i="1" s="1"/>
  <c r="D118" i="1" s="1"/>
  <c r="F103" i="1" l="1"/>
  <c r="F108" i="1"/>
  <c r="F119" i="1" s="1"/>
  <c r="F120" i="1" s="1"/>
  <c r="C30" i="5" s="1"/>
  <c r="E30" i="5" s="1"/>
  <c r="G30" i="5" s="1"/>
  <c r="F107" i="1"/>
  <c r="D101" i="1"/>
  <c r="G34" i="5" l="1"/>
  <c r="D102" i="1"/>
  <c r="D105" i="1" s="1"/>
  <c r="C4" i="8" l="1"/>
  <c r="E4" i="8" s="1"/>
  <c r="D106" i="1"/>
  <c r="D104" i="1"/>
  <c r="N6" i="8" l="1"/>
  <c r="L6" i="8"/>
  <c r="L12" i="8"/>
  <c r="N9" i="8"/>
  <c r="N10" i="8"/>
  <c r="L7" i="8"/>
  <c r="L18" i="8"/>
  <c r="N11" i="8"/>
  <c r="N12" i="8"/>
  <c r="L17" i="8"/>
  <c r="L22" i="8"/>
  <c r="L8" i="8"/>
  <c r="L21" i="8"/>
  <c r="L16" i="8"/>
  <c r="L19" i="8"/>
  <c r="L15" i="8"/>
  <c r="N15" i="8"/>
  <c r="N16" i="8"/>
  <c r="L13" i="8"/>
  <c r="N7" i="8"/>
  <c r="N8" i="8"/>
  <c r="N17" i="8"/>
  <c r="L10" i="8"/>
  <c r="N13" i="8"/>
  <c r="L9" i="8"/>
  <c r="N14" i="8"/>
  <c r="L14" i="8"/>
  <c r="L20" i="8"/>
  <c r="L11" i="8"/>
  <c r="D103" i="1"/>
  <c r="D108" i="1" s="1"/>
  <c r="D119" i="1"/>
  <c r="D120" i="1" s="1"/>
  <c r="C17" i="5" s="1"/>
  <c r="E17" i="5" s="1"/>
  <c r="G17" i="5" s="1"/>
  <c r="G21" i="5" s="1"/>
  <c r="G22" i="5" s="1"/>
  <c r="D3" i="8" s="1"/>
  <c r="D107" i="1"/>
  <c r="E3" i="8" l="1"/>
  <c r="C3" i="8"/>
  <c r="G23" i="5"/>
  <c r="N4" i="8" l="1"/>
  <c r="N5" i="8"/>
  <c r="L5" i="8"/>
  <c r="L3" i="8"/>
  <c r="L4" i="8"/>
  <c r="N3" i="8"/>
  <c r="N23" i="8" s="1"/>
  <c r="L23" i="8" l="1"/>
  <c r="L24" i="8" s="1"/>
  <c r="G4" i="8" s="1"/>
  <c r="F4" i="8" s="1"/>
  <c r="N24" i="8" s="1"/>
  <c r="G5" i="8" s="1"/>
  <c r="F5" i="8" l="1"/>
</calcChain>
</file>

<file path=xl/sharedStrings.xml><?xml version="1.0" encoding="utf-8"?>
<sst xmlns="http://schemas.openxmlformats.org/spreadsheetml/2006/main" count="1413" uniqueCount="260">
  <si>
    <t>MÓDULO II – PLANILHAS DE ESTIMATIVA DE CUSTOS E DE 
FORMULAÇÃO DE PREÇOS</t>
  </si>
  <si>
    <t>PREGÃO ELETRÔNICO n. 19/2021</t>
  </si>
  <si>
    <t>PROPONENTE: FORTE DF SERVIÇOS EIRELI</t>
  </si>
  <si>
    <t>ENDEREÇO: AV TERCEIRA AVENIDA AREA ESPECIAL 2 LOTE X BLOCO D LOJA 5</t>
  </si>
  <si>
    <t>BAIRRO: Núcleo Bandeirante           CIDADE: Brasília                    UF: DF</t>
  </si>
  <si>
    <t>FONE: (61) 3526-4802      E-MAIL: fortedf2012@gmail.com</t>
  </si>
  <si>
    <t>F</t>
  </si>
  <si>
    <t>VALOR TOTAL POR EMPREGADO</t>
  </si>
  <si>
    <r>
      <rPr>
        <b/>
        <sz val="10"/>
        <rFont val="Arial"/>
        <family val="2"/>
      </rPr>
      <t>R$ 3.044,50 + R$913,45</t>
    </r>
    <r>
      <rPr>
        <sz val="10"/>
        <rFont val="Arial"/>
        <family val="2"/>
      </rPr>
      <t>: Salário+ adicional de periculosidade</t>
    </r>
  </si>
  <si>
    <r>
      <rPr>
        <b/>
        <sz val="10"/>
        <rFont val="Arial"/>
        <family val="2"/>
      </rPr>
      <t>NOTAS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</si>
  <si>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 Os valores desta simulação referente à remuneração, auxílio-alimentação e percentual de adicionais (periculosidade/noturno) foram incluídos com base da Convenção Coletiva da Categoria (DF000080/2021).
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. Os percentuais dos Módulo 2 - Submódulo 1 (13º salário e adicional de férias), Submódulo 2 (encargos previdenciários, FGTS e outras contribuições), Submódulo 3 (Benefícios Mensais E Diários), Módulo 3 - Provisão para rescisão e Módulo 4- Custo de Reposição do Profissional Ausente utilizados foram com base nas orientações da Planilha de Custo e Formação de Preços da IN 5/2017-MPOG e Nota Técnica n. 1/2013-CJF
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. Os valores do Módulo 5 (insumos/uniformes) foram com base no contrato atual do CJF (CTR 016/2016)
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. Os percentuais dos valores do Módulo 6 – custos indiretos, lucro e tributos - foram extraídos da Nota Técnica n. 1/2013-CJF.</t>
    </r>
  </si>
  <si>
    <r>
      <rPr>
        <b/>
        <sz val="10"/>
        <rFont val="Times New Roman"/>
        <family val="1"/>
      </rPr>
      <t>DEMONSTRAÇÃO CUSTO DO UNIFORME</t>
    </r>
  </si>
  <si>
    <r>
      <rPr>
        <b/>
        <sz val="10"/>
        <color rgb="FFFFFFFF"/>
        <rFont val="Arial"/>
        <family val="2"/>
      </rPr>
      <t>Uniformes</t>
    </r>
  </si>
  <si>
    <r>
      <rPr>
        <b/>
        <sz val="10"/>
        <color rgb="FFFFFFFF"/>
        <rFont val="Arial"/>
        <family val="2"/>
      </rPr>
      <t>Tipo</t>
    </r>
  </si>
  <si>
    <r>
      <rPr>
        <sz val="10"/>
        <rFont val="Arial"/>
        <family val="2"/>
      </rPr>
      <t>Gandola</t>
    </r>
  </si>
  <si>
    <r>
      <rPr>
        <sz val="10"/>
        <rFont val="Arial"/>
        <family val="2"/>
      </rPr>
      <t>Calça</t>
    </r>
  </si>
  <si>
    <r>
      <rPr>
        <sz val="10"/>
        <rFont val="Arial"/>
        <family val="2"/>
      </rPr>
      <t>Cinto</t>
    </r>
  </si>
  <si>
    <r>
      <rPr>
        <sz val="10"/>
        <rFont val="Arial"/>
        <family val="2"/>
      </rPr>
      <t>Camiseta polo</t>
    </r>
  </si>
  <si>
    <r>
      <rPr>
        <sz val="10"/>
        <rFont val="Arial"/>
        <family val="2"/>
      </rPr>
      <t>Coturno</t>
    </r>
  </si>
  <si>
    <r>
      <rPr>
        <sz val="10"/>
        <rFont val="Arial"/>
        <family val="2"/>
      </rPr>
      <t>Meião</t>
    </r>
  </si>
  <si>
    <r>
      <rPr>
        <sz val="10"/>
        <rFont val="Arial"/>
        <family val="2"/>
      </rPr>
      <t>Capa de chuva</t>
    </r>
  </si>
  <si>
    <r>
      <rPr>
        <b/>
        <sz val="10"/>
        <rFont val="Arial"/>
        <family val="2"/>
      </rPr>
      <t>Custo anual do uniforme para 1 profissional</t>
    </r>
  </si>
  <si>
    <r>
      <rPr>
        <b/>
        <sz val="10"/>
        <rFont val="Arial"/>
        <family val="2"/>
      </rPr>
      <t>Custo MENSAL do uniforme para 1 profissional</t>
    </r>
  </si>
  <si>
    <r>
      <rPr>
        <sz val="12"/>
        <rFont val="Calibri"/>
        <family val="2"/>
      </rPr>
      <t xml:space="preserve">Nota:
</t>
    </r>
    <r>
      <rPr>
        <sz val="12"/>
        <rFont val="Calibri"/>
        <family val="2"/>
      </rPr>
      <t>Valores usados como referência com base no contrato atual do CJF (CTR 016/2016)</t>
    </r>
  </si>
  <si>
    <r>
      <rPr>
        <sz val="11"/>
        <rFont val="Times New Roman"/>
        <family val="1"/>
      </rPr>
      <t>PRAZO  DE  PRESTAÇÃO  DOS  SERVIÇOS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20  (vinte)  meses,  contados  da</t>
    </r>
  </si>
  <si>
    <r>
      <rPr>
        <sz val="11"/>
        <rFont val="Times New Roman"/>
        <family val="1"/>
      </rPr>
      <t>assinatura do contrato.</t>
    </r>
  </si>
  <si>
    <r>
      <rPr>
        <sz val="11"/>
        <rFont val="Times New Roman"/>
        <family val="1"/>
      </rPr>
      <t>PRAZO DE VALIDADE DA PROPOSTA: 90 (noventa) dias, contados da data fixada para a sessão pública deste Pregão.</t>
    </r>
  </si>
  <si>
    <t>Brasília - DF, 24 de junho de 2021.</t>
  </si>
  <si>
    <t>CEP: 71.720-585</t>
  </si>
  <si>
    <t>CNPJ: 17.465.916/0001-10</t>
  </si>
  <si>
    <r>
      <rPr>
        <b/>
        <sz val="10"/>
        <rFont val="Arial"/>
        <family val="2"/>
      </rPr>
      <t>BOMBEIRO CIVIL DIURNO 12X36</t>
    </r>
  </si>
  <si>
    <r>
      <rPr>
        <sz val="10"/>
        <rFont val="Arial"/>
        <family val="2"/>
      </rPr>
      <t xml:space="preserve">SINDICATO DOS TRABALHADORES BOMBEIROS PROFISSIONAIS DO
</t>
    </r>
    <r>
      <rPr>
        <sz val="10"/>
        <rFont val="Arial"/>
        <family val="2"/>
      </rPr>
      <t>DF</t>
    </r>
  </si>
  <si>
    <t>Transporte (valor unitário: R$ 5,50, valor diário: R$ 11,00)</t>
  </si>
  <si>
    <t>Seguro de vida</t>
  </si>
  <si>
    <r>
      <rPr>
        <b/>
        <sz val="10"/>
        <rFont val="Arial"/>
        <family val="2"/>
      </rPr>
      <t>Dias úteis</t>
    </r>
  </si>
  <si>
    <t>-</t>
  </si>
  <si>
    <r>
      <rPr>
        <b/>
        <sz val="10"/>
        <rFont val="Arial"/>
        <family val="2"/>
      </rPr>
      <t>Lucro presumido</t>
    </r>
  </si>
  <si>
    <t xml:space="preserve">PLANILHA DE CUSTOS E FORMAÇÃO DE PREÇOS                                         </t>
  </si>
  <si>
    <t>BOMBEIRO CIVIL 12X36 DIURNO</t>
  </si>
  <si>
    <t xml:space="preserve">Módulo 6 - Custos Indiretos, Tributos e Lucro                                              </t>
  </si>
  <si>
    <r>
      <rPr>
        <b/>
        <sz val="10"/>
        <color rgb="FFFFFFFF"/>
        <rFont val="Arial"/>
        <family val="2"/>
      </rPr>
      <t>Quantidade Anual</t>
    </r>
  </si>
  <si>
    <r>
      <rPr>
        <b/>
        <sz val="10"/>
        <color rgb="FFFFFFFF"/>
        <rFont val="Arial"/>
        <family val="2"/>
      </rPr>
      <t>Valor Anual</t>
    </r>
  </si>
  <si>
    <r>
      <rPr>
        <b/>
        <sz val="10"/>
        <color rgb="FFFFFFFF"/>
        <rFont val="Arial"/>
        <family val="2"/>
      </rPr>
      <t>Valor Unitário</t>
    </r>
  </si>
  <si>
    <t>Regime de tributação:</t>
  </si>
  <si>
    <t>BANCO BRB - Ag. 105 - CC. 105.038.751-9</t>
  </si>
  <si>
    <t xml:space="preserve"> </t>
  </si>
  <si>
    <t>MÓDULO I – COMPOSIÇÃO DA REMUNERAÇÃO</t>
  </si>
  <si>
    <t>Todos o profissionais fazem jus à adicional de periculosidade, conforme determinado na Convenção Coletiva adotada.</t>
  </si>
  <si>
    <t>13° SALÁRIO</t>
  </si>
  <si>
    <t>Como a planilha de custos e formação de preços é calculada mensalmente, provisiona-se proporcionalmente 1/11 (um onze avos) ao 13º salário (gratificação natalina).</t>
  </si>
  <si>
    <t>FÉRIAS E ADICIONAL DE FÉRIAS</t>
  </si>
  <si>
    <t>Como a planilha de custos e formação de preços é calculada mensalmente, provisiona-se proporcionalmente 1/11 (um onze avos) dos valores referentes a férias:
O adicional de férias (contido na letra C do Submódulo 2.1) corresponde a 1/3 (um terço) da remuneração que por sua vez é divido por 11 (onze)</t>
  </si>
  <si>
    <t>RAT / FAT / SAT</t>
  </si>
  <si>
    <t>Seguro de Acidente do Trabalho: 3%
Fator de Acidente do Trabalho: 1,00   - conforme GFIP - SEFIP</t>
  </si>
  <si>
    <t>AUXÍLIO TRANSPORTE</t>
  </si>
  <si>
    <t>Dias médios mensais: 13 (5 para folguistas)
Valor da Tarifa integrada (Decreto 40381 de 09/01/2020): R$ 5,50 
Quantidade de Ticketes diários: 2
Desconto de até 6% sob Salário Base</t>
  </si>
  <si>
    <t>AVISO PRÉVIO INDENIZADO</t>
  </si>
  <si>
    <t>Aviso Prévio Indenizado: 1/12 x 0,2% = 0,02%
Proporção estimada dos empregados demitidos com Aviso Prévio Indenizado, no período de 12 meses, durante a vigência do contrato: 0,2%</t>
  </si>
  <si>
    <t>AVISO PRÉVIO TRABALHADO</t>
  </si>
  <si>
    <r>
      <t xml:space="preserve">Aviso Prévio Trabalhado: (7/30)/12 x 10%
Foi considerado que 10% dos empregados seriam demitidos com Aviso Prévio Trabalhado ao final do contrato, conforme cálculo da CCT SINDIBOMBEIROS 2021, </t>
    </r>
    <r>
      <rPr>
        <b/>
        <sz val="9"/>
        <color rgb="FF000000"/>
        <rFont val="Arial"/>
        <family val="2"/>
      </rPr>
      <t>em razão da Cláusula Trigésima Sexta "INCENTIVO À CONTINUIDADE" da referida CCT .</t>
    </r>
  </si>
  <si>
    <t>MULTA DO FGTS SOBRE O AVISO PRÉVIO INDENIZADO</t>
  </si>
  <si>
    <t>Conforme NT 001/2013.</t>
  </si>
  <si>
    <t>MULTA DO FGTS SOBRE O AVISO PRÉVIO TRABALHADO</t>
  </si>
  <si>
    <t xml:space="preserve">MULTA DO FGTS </t>
  </si>
  <si>
    <t>Conforme Edital</t>
  </si>
  <si>
    <t>AUSÊNCIA LEGAIS (DIVERSAS)</t>
  </si>
  <si>
    <t>Substituto na Cobertura de Férias (conforme Módulo II do Edital)</t>
  </si>
  <si>
    <t>Substituto na Cobertura de Ausências legais (Remuneração dividida por 30 dias, vezes 1,5%  faltas no ano, dividido por 12 meses)</t>
  </si>
  <si>
    <t>Substituto na Cobertura de Licença paternidade (Remuneração dividida por 30 dias, vezes 5 dias licença, dividida por 12 meses, vezes o percentual de 1% de ocorrência</t>
  </si>
  <si>
    <t>Substituto na Cobertura de Ausência por Acidente de trabalho (Remuneração dividida por 30 dias, vezes 3% faltas no ano, dividida por 12 meses</t>
  </si>
  <si>
    <t>Substituto na Cobertura de Afastamento Maternidade</t>
  </si>
  <si>
    <t>Total</t>
  </si>
  <si>
    <t>1º/1/2022</t>
  </si>
  <si>
    <t>DF000115/2022</t>
  </si>
  <si>
    <t>REPACTUAÇÃO - CCT - DF000115/2022 (id. )</t>
  </si>
  <si>
    <t>Nota 1: Como a planilha de custos e formação de preços é calculada mensalmente, provisiona-se proporcionalmente 1/11 (um onze avos) dos valores referentes a gratificação natalina, férias e adicional de férias. (Redação dada pela Instrução Normativa CJF nº 1, de 2016)</t>
  </si>
  <si>
    <t>BOMBEIRO CIVIL NOTURNO 12X36</t>
  </si>
  <si>
    <t>Adicional de Hora Noturna Reduzida</t>
  </si>
  <si>
    <t>Assistência Médica e Familiar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</si>
  <si>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</si>
  <si>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BOMBEIRO CIVIL NOTURNO FOLGUISTA</t>
  </si>
  <si>
    <t>BOMBEIRO CIVIL DIURNO FOLGUISTA (104 horas mensais)</t>
  </si>
  <si>
    <t>BOMBEIRO CIVIL DIURNO FOLGUISTA</t>
  </si>
  <si>
    <t>Casaco/japona</t>
  </si>
  <si>
    <t>Valor (R$)</t>
  </si>
  <si>
    <t>Garantia 5%</t>
  </si>
  <si>
    <t>Garantia Complementar</t>
  </si>
  <si>
    <t>SINDICATO DOS TRABALHADORES BOMBEIROS PROFISSIONAIS DO DF</t>
  </si>
  <si>
    <t>Nota 2: O adicional de férias contido no Submódulo 2.1 corresponde a 1/3 (um terço) da remuneração que por sua vez é divido por 11 (onze) conforme Nota 1 acima.</t>
  </si>
  <si>
    <t>Nota 3: Levando em consideração a vigência contratual prevista no art. 57 da Lei nº 8.666, de 23 de junho de 1993, a rubrica férias tem como objetivo principal suprir a necessidade do pagamento das férias remuneradas ao final do contrato de 12 meses.</t>
  </si>
  <si>
    <t>REPACTUAÇÃO - CCT - DF000115/2022</t>
  </si>
  <si>
    <r>
      <t>PLANILHA DE CUSTOS E FORMAÇÃO DE PREÇOS  - CCT - DF000080-2021 (id.</t>
    </r>
    <r>
      <rPr>
        <b/>
        <u/>
        <sz val="11"/>
        <rFont val="Times New Roman"/>
        <family val="1"/>
      </rPr>
      <t>0202362</t>
    </r>
    <r>
      <rPr>
        <b/>
        <sz val="11"/>
        <rFont val="Times New Roman"/>
        <family val="1"/>
      </rPr>
      <t>)</t>
    </r>
  </si>
  <si>
    <t>Dados para composição dos custos referentes a mão de obra</t>
  </si>
  <si>
    <t>Tipo de Serviço (mesmo serviço com características distintas)</t>
  </si>
  <si>
    <t>BOMBEIRO CIVIL DIURNO 12X36</t>
  </si>
  <si>
    <t>Classificação Brasileira de Ocupações (CBO)</t>
  </si>
  <si>
    <t>Salário da Categoria Profissional</t>
  </si>
  <si>
    <t>Sindicato da Categoria Profissional (vinculada à execução contratual)</t>
  </si>
  <si>
    <r>
      <rPr>
        <sz val="10"/>
        <rFont val="Arial"/>
        <family val="2"/>
      </rPr>
      <t>SINDICATO DOS TRABALHADORES BOMBEIROS PROFISSIONAIS DO
DF</t>
    </r>
  </si>
  <si>
    <t>Data-Base da Categoria (dia/mês/ano)</t>
  </si>
  <si>
    <t>1º/1/2021</t>
  </si>
  <si>
    <t>Nº da Convenção Coletiva de trabalho (CCT)</t>
  </si>
  <si>
    <t>DF000080/2021</t>
  </si>
  <si>
    <t>Módulo 1 - Composição da Remuneração</t>
  </si>
  <si>
    <t>Composição da Remuneração</t>
  </si>
  <si>
    <t>Percentual (%)</t>
  </si>
  <si>
    <t>A</t>
  </si>
  <si>
    <t>Salário-Base</t>
  </si>
  <si>
    <t>B</t>
  </si>
  <si>
    <t>Adicional de Periculosidade (30% sobre o salário base)</t>
  </si>
  <si>
    <t>C</t>
  </si>
  <si>
    <t>Adicional de Insalubridade</t>
  </si>
  <si>
    <t>D</t>
  </si>
  <si>
    <t>Adicional Noturno</t>
  </si>
  <si>
    <t>E</t>
  </si>
  <si>
    <t>Outros (especificar)</t>
  </si>
  <si>
    <t>Nota 1: O Módulo 1 refere-se ao valor mensal devido ao empregado pela prestação do serviço no período de 12 meses.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</si>
  <si>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</si>
  <si>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</si>
  <si>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</si>
  <si>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</si>
  <si>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</si>
  <si>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</si>
  <si>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</si>
  <si>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</si>
  <si>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</si>
  <si>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</si>
  <si>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</si>
  <si>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RATAjustado (RAT x FAP)</t>
  </si>
  <si>
    <t>SESC ou SESI</t>
  </si>
  <si>
    <t>SENAI - SENAC</t>
  </si>
  <si>
    <t>SEBRAE</t>
  </si>
  <si>
    <t>G</t>
  </si>
  <si>
    <t>INCRA</t>
  </si>
  <si>
    <t>H</t>
  </si>
  <si>
    <t>FGTS</t>
  </si>
  <si>
    <t>Nota 1: O percentual do INSS poderá sofrer alteração de acordo com a "Desoneração da Folha de Pagamento" (Lei 12.546/2011).</t>
  </si>
  <si>
    <t>Nota 2: Os percentuais dos encargos previdenciários, do FGTS e demais contribuições são aqueles estabelecidos pela legislação vigente.</t>
  </si>
  <si>
    <t>Nota 3: O RAT a depender do grau de risco do serviço irá variar entre 1%, para risco leve, de 2%, para risco médio, e de 3% de risco grave. Deverá ser ajustado ao fator acidentário previdenciário (FAP).</t>
  </si>
  <si>
    <t>Nota 4: Esses percentuais incidem sobre o Módulo 1, o Submódulo 2.1.</t>
  </si>
  <si>
    <t>Nota 5: Os percentuais do Submódulo 2.2 já incidem sobre remuneração, 13º salário, férias e adicional de férias.</t>
  </si>
  <si>
    <t>Submódulo 2.3 - Benefícios Mensais e Diários.</t>
  </si>
  <si>
    <t>2.3</t>
  </si>
  <si>
    <t>Benefícios Mensais e Diários</t>
  </si>
  <si>
    <t>Dias úteis</t>
  </si>
  <si>
    <t>Auxílio-Refeição/Alimentação (R$38,00 por dia)</t>
  </si>
  <si>
    <t>Assistência Odontológica</t>
  </si>
  <si>
    <t>Total (alínea A não computada na soma)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</si>
  <si>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</si>
  <si>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</si>
  <si>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</si>
  <si>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</si>
  <si>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</si>
  <si>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</si>
  <si>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</si>
  <si>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</si>
  <si>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</si>
  <si>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</si>
  <si>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</si>
  <si>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</si>
  <si>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Multa do FGTS</t>
  </si>
  <si>
    <t>Nota 1: O percentual de 1,94% indicado no Aviso Prévio Trabalhado torna-se custo não renovável decorridos 12 meses.</t>
  </si>
  <si>
    <t>Nota 2: Os percentuais do Módulo 3 já incidem sobre remuneração, 13º salário, férias e adicional de férias.</t>
  </si>
  <si>
    <t>Módulo 4 - Custo de Reposição do Profissional Ausente</t>
  </si>
  <si>
    <t>Submódulo 4.1 - Substituto nas Ausências Legais</t>
  </si>
  <si>
    <t>4.1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</si>
  <si>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</si>
  <si>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</si>
  <si>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</si>
  <si>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</si>
  <si>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</si>
  <si>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</si>
  <si>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(licença por doença)</t>
  </si>
  <si>
    <t>Nota 1: Os percentuais do Submódulo 4.1 já incidem sobre remuneração, 13º salário, férias e adicional de férias.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</si>
  <si>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</si>
  <si>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</si>
  <si>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</si>
  <si>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</si>
  <si>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</si>
  <si>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</si>
  <si>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</si>
  <si>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Nota: Valores mensais por empregado.</t>
  </si>
  <si>
    <t>Lucro presumido</t>
  </si>
  <si>
    <t>Custos Indiretos, Tributos e Lucro</t>
  </si>
  <si>
    <t>Custos Indiretos</t>
  </si>
  <si>
    <t>Lucro</t>
  </si>
  <si>
    <t>Tributos (C.1 + C.2 + C.3)</t>
  </si>
  <si>
    <t>C.1.</t>
  </si>
  <si>
    <t>Tributos Federais (PIS)</t>
  </si>
  <si>
    <t>C.2.</t>
  </si>
  <si>
    <t>Tributos Federais (COFINS)</t>
  </si>
  <si>
    <t>C.3.</t>
  </si>
  <si>
    <t>Tributos Estaduais/Municipais (ISS)</t>
  </si>
  <si>
    <t>Contribuição Previdenciária sobre a Receita Bruta - CPRB</t>
  </si>
  <si>
    <t>QUADRO-RESUMO DO CUSTO POR EMPREGADO</t>
  </si>
  <si>
    <t>Mão de obra vinculada à execução contratual (valor por empregado)</t>
  </si>
  <si>
    <t>Subtotal (A + B +C+ D+E)</t>
  </si>
  <si>
    <t>Módulo 6 - Custos Indiretos, Tributos e Lucro</t>
  </si>
  <si>
    <r>
      <rPr>
        <b/>
        <sz val="11"/>
        <rFont val="Times New Roman"/>
        <family val="1"/>
      </rPr>
      <t>PLANILHA DE CUSTOS E FORMAÇÃO DE PREÇOS  - CCT - DF000080-2021 (id.</t>
    </r>
    <r>
      <rPr>
        <b/>
        <u/>
        <sz val="11"/>
        <rFont val="Times New Roman"/>
        <family val="1"/>
      </rPr>
      <t>0202362</t>
    </r>
    <r>
      <rPr>
        <b/>
        <sz val="11"/>
        <rFont val="Times New Roman"/>
        <family val="1"/>
      </rPr>
      <t>)</t>
    </r>
  </si>
  <si>
    <t>BOMBEIRO CIVIL NOTURNO 12X36</t>
  </si>
  <si>
    <r>
      <rPr>
        <sz val="10"/>
        <rFont val="Arial"/>
        <family val="2"/>
      </rPr>
      <t>Nota 1: Como a planilha de custos e formação de preços é calculada mensalmente, provisiona-se proporcionalmente 1/11 (um onze avos) dos valores referentes a gratificação natalina, férias e adicional
de férias. (Redação dada pela Instrução Normativa CJF nº 1, de 2016)</t>
    </r>
  </si>
  <si>
    <t>NOTA</t>
  </si>
  <si>
    <t>* Adicional Noturno: memória de cálculo</t>
  </si>
  <si>
    <t>220 base horas-extras</t>
  </si>
  <si>
    <t>17,98 valor da hora</t>
  </si>
  <si>
    <t>20% percentual do adicional</t>
  </si>
  <si>
    <t>3,60 valor do percentual</t>
  </si>
  <si>
    <t>8hs total de horas laboradas entre 22h/5h</t>
  </si>
  <si>
    <t>13 média de plantões: 104hs</t>
  </si>
  <si>
    <t>BOMBEIRO CIVIL NOTURNO FOLGUISTA (104 horas mensais)</t>
  </si>
  <si>
    <t>Salário Folguista (Remuneração/220x52)*</t>
  </si>
  <si>
    <t>2 postos 52h - total 104h</t>
  </si>
  <si>
    <r>
      <rPr>
        <b/>
        <sz val="10"/>
        <rFont val="Arial"/>
        <family val="2"/>
      </rPr>
      <t>1. Estimativa horas/trabalhadas folguista Diurno</t>
    </r>
    <r>
      <rPr>
        <sz val="10"/>
        <rFont val="Arial"/>
        <family val="2"/>
      </rPr>
      <t>:
Salário base 2021 - CALCULADO SOBRE 52h de labor mensal.
Num período de vigência anual do contrato (12 meses) – totalizando 52 domingos * 12horas de trabalho
= 624 horas anuais / 12 meses = 52horas mensais!</t>
    </r>
  </si>
  <si>
    <t>I TERMO ADITIVO - REPACTUAÇÃO - CCT - DF000115/2022</t>
  </si>
  <si>
    <t>II TERMO ADITIVO - REPACTUAÇÃO - CCT - DF000140/2023</t>
  </si>
  <si>
    <t>REPACTUAÇÃO - CCT - DF000140/2023</t>
  </si>
  <si>
    <t>1º/1/2023</t>
  </si>
  <si>
    <t>DF000140/2023</t>
  </si>
  <si>
    <t>Valor</t>
  </si>
  <si>
    <t>Percentual</t>
  </si>
  <si>
    <t>PROCESSO N. SEI - 0001264-24.2020.4.90.8000</t>
  </si>
  <si>
    <t>RESUMO DAS PLANILHAS DE CUSTOS E FORMAÇÃO DE PREÇOS</t>
  </si>
  <si>
    <t>Tipo de Serviço</t>
  </si>
  <si>
    <t>Valor Proposto por Empregado</t>
  </si>
  <si>
    <t>Qtde. de Empregados por Posto</t>
  </si>
  <si>
    <t>Valor Proposto por Posto</t>
  </si>
  <si>
    <t>Qtde. de Postos</t>
  </si>
  <si>
    <t>Valor Total do Serviço</t>
  </si>
  <si>
    <t>(A)</t>
  </si>
  <si>
    <t>(B)</t>
  </si>
  <si>
    <t>(C)</t>
  </si>
  <si>
    <t>(D) = (B x C)</t>
  </si>
  <si>
    <t>(E)</t>
  </si>
  <si>
    <t>(F) = (D x E)</t>
  </si>
  <si>
    <t>I</t>
  </si>
  <si>
    <t>Bombeiro Civil Diurno (12X36)</t>
  </si>
  <si>
    <t>II</t>
  </si>
  <si>
    <t>Bombeiro Civil Noturno (12X36)</t>
  </si>
  <si>
    <t>III</t>
  </si>
  <si>
    <t>Bombeiro Civil Noturno Folguista (104 horas)</t>
  </si>
  <si>
    <t>Bombeiro Civil Diurno Folguista (52 horas)</t>
  </si>
  <si>
    <t>Valor Mensal dos Serviços (I + II + N)</t>
  </si>
  <si>
    <t>VALOR TOTAL (20 meses)</t>
  </si>
  <si>
    <t>1) Fornecer o preço mensal e o valor para 20 (vinte) meses com todos os tributos e eventuais descontos inclusos.</t>
  </si>
  <si>
    <t>2) Pagamento, exclusivamente, por ordem bancária.</t>
  </si>
  <si>
    <t>Observação:  Por  força  do art. 2º, §  3º  do Decreto  n. 6.306/2007, o  IOF  não  poderá ser incluído  no valor  da proposta.</t>
  </si>
  <si>
    <t>PLANILHA DE CUSTOS E FORMAÇÃO DE PREÇOS  - CCT - DF000080-2021</t>
  </si>
  <si>
    <t>DF000140/2022</t>
  </si>
  <si>
    <t>Termo</t>
  </si>
  <si>
    <t>Contrato</t>
  </si>
  <si>
    <t>Garantia</t>
  </si>
  <si>
    <t>Vigência</t>
  </si>
  <si>
    <t>I TA</t>
  </si>
  <si>
    <t>Valor Total</t>
  </si>
  <si>
    <t>Valor Mensal</t>
  </si>
  <si>
    <t>II TA</t>
  </si>
  <si>
    <t>Repactuação</t>
  </si>
  <si>
    <t>Prorrogação</t>
  </si>
  <si>
    <t>Garantia Ajustada</t>
  </si>
  <si>
    <t>I TA (corrigido)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</si>
</sst>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&quot;R$&quot;\ #,##0.00"/>
    <numFmt numFmtId="165" formatCode="0.000%"/>
    <numFmt numFmtId="166" formatCode="0.0000%"/>
    <numFmt numFmtId="167" formatCode="_-&quot;R$&quot;\ * #,##0.000_-;\-&quot;R$&quot;\ * #,##0.000_-;_-&quot;R$&quot;\ * &quot;-&quot;??_-;_-@_-"/>
    <numFmt numFmtId="168" formatCode="_-&quot;R$&quot;\ * #,##0.0000_-;\-&quot;R$&quot;\ * #,##0.0000_-;_-&quot;R$&quot;\ * &quot;-&quot;??_-;_-@_-"/>
    <numFmt numFmtId="169" formatCode="_-&quot;R$&quot;\ * #,##0.0000_-;\-&quot;R$&quot;\ * #,##0.0000_-;_-&quot;R$&quot;\ * &quot;-&quot;??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/>
      <sz val="12"/>
      <name val="Times New Roman"/>
      <family val="1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1F1F1"/>
      </patternFill>
    </fill>
    <fill>
      <patternFill patternType="solid">
        <fgColor rgb="FF30859B"/>
      </patternFill>
    </fill>
    <fill>
      <patternFill patternType="solid">
        <fgColor rgb="FF3E6981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/>
    </xf>
    <xf numFmtId="164" fontId="10" fillId="0" borderId="2" xfId="1" applyNumberFormat="1" applyFont="1" applyBorder="1" applyAlignment="1">
      <alignment horizontal="left" vertical="center" wrapText="1"/>
    </xf>
    <xf numFmtId="10" fontId="9" fillId="0" borderId="2" xfId="0" applyNumberFormat="1" applyFont="1" applyBorder="1" applyAlignment="1">
      <alignment horizontal="left" vertical="center" wrapText="1" shrinkToFit="1"/>
    </xf>
    <xf numFmtId="10" fontId="8" fillId="2" borderId="2" xfId="0" applyNumberFormat="1" applyFont="1" applyFill="1" applyBorder="1" applyAlignment="1">
      <alignment horizontal="left" vertical="center" wrapText="1" shrinkToFit="1"/>
    </xf>
    <xf numFmtId="165" fontId="9" fillId="0" borderId="2" xfId="0" applyNumberFormat="1" applyFont="1" applyBorder="1" applyAlignment="1">
      <alignment horizontal="left" vertical="center" wrapText="1" shrinkToFit="1"/>
    </xf>
    <xf numFmtId="1" fontId="9" fillId="0" borderId="2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left" vertical="top" shrinkToFit="1"/>
    </xf>
    <xf numFmtId="44" fontId="10" fillId="0" borderId="2" xfId="1" applyFont="1" applyFill="1" applyBorder="1" applyAlignment="1">
      <alignment horizontal="left" vertical="top" wrapText="1"/>
    </xf>
    <xf numFmtId="44" fontId="10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44" fontId="5" fillId="2" borderId="2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10" fillId="0" borderId="2" xfId="0" applyNumberFormat="1" applyFont="1" applyBorder="1" applyAlignment="1">
      <alignment horizontal="left" vertical="center" wrapText="1"/>
    </xf>
    <xf numFmtId="44" fontId="5" fillId="0" borderId="2" xfId="1" applyFont="1" applyFill="1" applyBorder="1" applyAlignment="1">
      <alignment horizontal="left" vertical="center" wrapText="1"/>
    </xf>
    <xf numFmtId="2" fontId="14" fillId="3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10" fontId="16" fillId="0" borderId="2" xfId="2" applyNumberFormat="1" applyFont="1" applyBorder="1" applyAlignment="1">
      <alignment horizontal="left" vertical="center" wrapText="1"/>
    </xf>
    <xf numFmtId="166" fontId="16" fillId="0" borderId="2" xfId="0" applyNumberFormat="1" applyFont="1" applyBorder="1" applyAlignment="1">
      <alignment horizontal="left" vertical="center" wrapText="1"/>
    </xf>
    <xf numFmtId="10" fontId="16" fillId="0" borderId="0" xfId="0" applyNumberFormat="1" applyFont="1" applyAlignment="1">
      <alignment horizontal="left" vertical="center" wrapText="1"/>
    </xf>
    <xf numFmtId="10" fontId="16" fillId="0" borderId="2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16" fillId="0" borderId="2" xfId="2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10" fontId="18" fillId="0" borderId="2" xfId="2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0" fontId="10" fillId="0" borderId="0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2" fontId="21" fillId="2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164" fontId="14" fillId="0" borderId="2" xfId="1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10" fillId="3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0" xfId="0" applyFont="1"/>
    <xf numFmtId="44" fontId="5" fillId="0" borderId="2" xfId="1" applyNumberFormat="1" applyFont="1" applyFill="1" applyBorder="1" applyAlignment="1">
      <alignment horizontal="left" vertical="center" wrapText="1"/>
    </xf>
    <xf numFmtId="10" fontId="10" fillId="0" borderId="2" xfId="0" applyNumberFormat="1" applyFont="1" applyBorder="1" applyAlignment="1">
      <alignment horizontal="left" vertical="center" wrapText="1" shrinkToFit="1"/>
    </xf>
    <xf numFmtId="10" fontId="5" fillId="2" borderId="2" xfId="0" applyNumberFormat="1" applyFont="1" applyFill="1" applyBorder="1" applyAlignment="1">
      <alignment horizontal="left" vertical="center" wrapText="1" shrinkToFit="1"/>
    </xf>
    <xf numFmtId="169" fontId="0" fillId="0" borderId="0" xfId="0" applyNumberFormat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1" fontId="5" fillId="3" borderId="2" xfId="0" applyNumberFormat="1" applyFont="1" applyFill="1" applyBorder="1" applyAlignment="1">
      <alignment horizontal="left" vertical="center" wrapText="1" shrinkToFit="1"/>
    </xf>
    <xf numFmtId="1" fontId="10" fillId="0" borderId="2" xfId="0" applyNumberFormat="1" applyFont="1" applyBorder="1" applyAlignment="1">
      <alignment horizontal="left" vertical="center" wrapText="1" shrinkToFit="1"/>
    </xf>
    <xf numFmtId="1" fontId="5" fillId="2" borderId="2" xfId="0" applyNumberFormat="1" applyFont="1" applyFill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/>
    <xf numFmtId="0" fontId="26" fillId="0" borderId="2" xfId="0" applyFont="1" applyBorder="1" applyAlignment="1">
      <alignment horizontal="left" vertical="center" wrapText="1"/>
    </xf>
    <xf numFmtId="44" fontId="10" fillId="3" borderId="2" xfId="1" applyFont="1" applyFill="1" applyBorder="1" applyAlignment="1">
      <alignment horizontal="left" vertical="center" wrapText="1" shrinkToFit="1"/>
    </xf>
    <xf numFmtId="44" fontId="5" fillId="2" borderId="2" xfId="1" applyFont="1" applyFill="1" applyBorder="1" applyAlignment="1">
      <alignment horizontal="left" vertical="center" wrapText="1" shrinkToFit="1"/>
    </xf>
    <xf numFmtId="44" fontId="14" fillId="3" borderId="2" xfId="1" applyFont="1" applyFill="1" applyBorder="1" applyAlignment="1">
      <alignment horizontal="left" vertical="center" wrapText="1" shrinkToFit="1"/>
    </xf>
    <xf numFmtId="44" fontId="21" fillId="2" borderId="2" xfId="1" applyFont="1" applyFill="1" applyBorder="1" applyAlignment="1">
      <alignment horizontal="left" vertical="center" wrapText="1" shrinkToFit="1"/>
    </xf>
    <xf numFmtId="0" fontId="23" fillId="0" borderId="2" xfId="0" applyFont="1" applyBorder="1" applyAlignment="1">
      <alignment horizontal="center" vertical="center" wrapText="1"/>
    </xf>
    <xf numFmtId="9" fontId="2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left" vertical="center" wrapText="1"/>
    </xf>
    <xf numFmtId="44" fontId="5" fillId="2" borderId="2" xfId="1" applyFont="1" applyFill="1" applyBorder="1" applyAlignment="1">
      <alignment horizontal="left" vertical="center" wrapText="1"/>
    </xf>
    <xf numFmtId="44" fontId="14" fillId="3" borderId="2" xfId="1" applyFont="1" applyFill="1" applyBorder="1" applyAlignment="1">
      <alignment horizontal="left" vertical="center" wrapText="1"/>
    </xf>
    <xf numFmtId="44" fontId="21" fillId="2" borderId="2" xfId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 shrinkToFit="1"/>
    </xf>
    <xf numFmtId="10" fontId="5" fillId="2" borderId="2" xfId="0" applyNumberFormat="1" applyFont="1" applyFill="1" applyBorder="1" applyAlignment="1">
      <alignment horizontal="center" vertical="center" wrapText="1" shrinkToFit="1"/>
    </xf>
    <xf numFmtId="10" fontId="9" fillId="0" borderId="2" xfId="0" applyNumberFormat="1" applyFont="1" applyBorder="1" applyAlignment="1">
      <alignment horizontal="center" vertical="center" wrapText="1" shrinkToFit="1"/>
    </xf>
    <xf numFmtId="10" fontId="23" fillId="0" borderId="2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4" fontId="10" fillId="6" borderId="2" xfId="1" applyFont="1" applyFill="1" applyBorder="1" applyAlignment="1">
      <alignment horizontal="left" vertical="center" wrapText="1"/>
    </xf>
    <xf numFmtId="44" fontId="5" fillId="3" borderId="2" xfId="1" applyFont="1" applyFill="1" applyBorder="1" applyAlignment="1">
      <alignment horizontal="left" vertical="center" wrapText="1"/>
    </xf>
    <xf numFmtId="44" fontId="14" fillId="6" borderId="2" xfId="1" applyFont="1" applyFill="1" applyBorder="1" applyAlignment="1">
      <alignment horizontal="left" vertical="center" wrapText="1"/>
    </xf>
    <xf numFmtId="44" fontId="21" fillId="3" borderId="2" xfId="1" applyFont="1" applyFill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 vertical="center" wrapText="1" shrinkToFit="1"/>
    </xf>
    <xf numFmtId="166" fontId="10" fillId="0" borderId="2" xfId="0" applyNumberFormat="1" applyFont="1" applyBorder="1" applyAlignment="1">
      <alignment horizontal="center" vertical="center" wrapText="1" shrinkToFit="1"/>
    </xf>
    <xf numFmtId="165" fontId="9" fillId="0" borderId="2" xfId="0" applyNumberFormat="1" applyFont="1" applyBorder="1" applyAlignment="1">
      <alignment horizontal="center" vertical="center" wrapText="1" shrinkToFit="1"/>
    </xf>
    <xf numFmtId="166" fontId="9" fillId="0" borderId="2" xfId="0" applyNumberFormat="1" applyFont="1" applyBorder="1" applyAlignment="1">
      <alignment horizontal="center" vertical="center" wrapText="1" shrinkToFit="1"/>
    </xf>
    <xf numFmtId="10" fontId="8" fillId="2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0" fontId="10" fillId="3" borderId="2" xfId="0" applyNumberFormat="1" applyFont="1" applyFill="1" applyBorder="1" applyAlignment="1">
      <alignment horizontal="center" vertical="center" wrapText="1" shrinkToFit="1"/>
    </xf>
    <xf numFmtId="10" fontId="10" fillId="0" borderId="2" xfId="0" applyNumberFormat="1" applyFont="1" applyBorder="1" applyAlignment="1">
      <alignment horizontal="center" vertical="center" wrapText="1"/>
    </xf>
    <xf numFmtId="10" fontId="9" fillId="3" borderId="2" xfId="0" applyNumberFormat="1" applyFont="1" applyFill="1" applyBorder="1" applyAlignment="1">
      <alignment horizontal="center" vertical="center" wrapText="1" shrinkToFit="1"/>
    </xf>
    <xf numFmtId="44" fontId="10" fillId="2" borderId="2" xfId="1" applyFont="1" applyFill="1" applyBorder="1" applyAlignment="1">
      <alignment horizontal="left" vertical="center" wrapText="1"/>
    </xf>
    <xf numFmtId="44" fontId="14" fillId="2" borderId="2" xfId="1" applyFont="1" applyFill="1" applyBorder="1" applyAlignment="1">
      <alignment horizontal="left" vertical="center" wrapText="1"/>
    </xf>
    <xf numFmtId="44" fontId="14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 wrapText="1"/>
    </xf>
    <xf numFmtId="10" fontId="10" fillId="0" borderId="13" xfId="0" applyNumberFormat="1" applyFont="1" applyBorder="1" applyAlignment="1">
      <alignment horizontal="center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left" vertical="top" shrinkToFit="1"/>
    </xf>
    <xf numFmtId="44" fontId="14" fillId="3" borderId="2" xfId="1" applyFont="1" applyFill="1" applyBorder="1" applyAlignment="1">
      <alignment horizontal="left" vertical="top" shrinkToFit="1"/>
    </xf>
    <xf numFmtId="44" fontId="10" fillId="3" borderId="2" xfId="1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44" fontId="20" fillId="0" borderId="0" xfId="1" applyFont="1" applyBorder="1" applyAlignment="1">
      <alignment horizontal="left" vertical="center" wrapText="1"/>
    </xf>
    <xf numFmtId="44" fontId="14" fillId="3" borderId="2" xfId="1" applyFont="1" applyFill="1" applyBorder="1" applyAlignment="1">
      <alignment horizontal="center" vertical="center" wrapText="1"/>
    </xf>
    <xf numFmtId="44" fontId="21" fillId="3" borderId="2" xfId="1" applyFont="1" applyFill="1" applyBorder="1" applyAlignment="1">
      <alignment horizontal="center" vertical="center" wrapText="1"/>
    </xf>
    <xf numFmtId="44" fontId="15" fillId="5" borderId="2" xfId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44" fontId="27" fillId="0" borderId="2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167" fontId="27" fillId="0" borderId="0" xfId="0" applyNumberFormat="1" applyFont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44" fontId="14" fillId="0" borderId="2" xfId="0" applyNumberFormat="1" applyFont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/>
    </xf>
    <xf numFmtId="10" fontId="5" fillId="2" borderId="12" xfId="0" applyNumberFormat="1" applyFont="1" applyFill="1" applyBorder="1" applyAlignment="1">
      <alignment horizontal="center" vertical="center" wrapText="1" shrinkToFit="1"/>
    </xf>
    <xf numFmtId="10" fontId="8" fillId="2" borderId="12" xfId="0" applyNumberFormat="1" applyFont="1" applyFill="1" applyBorder="1" applyAlignment="1">
      <alignment horizontal="center" vertical="center" wrapText="1" shrinkToFit="1"/>
    </xf>
    <xf numFmtId="44" fontId="10" fillId="2" borderId="12" xfId="1" applyFont="1" applyFill="1" applyBorder="1" applyAlignment="1">
      <alignment horizontal="left" vertical="center" wrapText="1"/>
    </xf>
    <xf numFmtId="44" fontId="14" fillId="2" borderId="12" xfId="1" applyFont="1" applyFill="1" applyBorder="1" applyAlignment="1">
      <alignment horizontal="left" vertical="center" wrapText="1"/>
    </xf>
    <xf numFmtId="44" fontId="21" fillId="0" borderId="2" xfId="1" applyNumberFormat="1" applyFont="1" applyFill="1" applyBorder="1" applyAlignment="1">
      <alignment horizontal="left" vertical="center" wrapText="1"/>
    </xf>
    <xf numFmtId="44" fontId="21" fillId="0" borderId="2" xfId="1" applyFont="1" applyFill="1" applyBorder="1" applyAlignment="1">
      <alignment horizontal="left"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4" fontId="0" fillId="0" borderId="2" xfId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2" xfId="0" applyNumberFormat="1" applyBorder="1"/>
    <xf numFmtId="14" fontId="0" fillId="9" borderId="2" xfId="0" applyNumberFormat="1" applyFill="1" applyBorder="1"/>
    <xf numFmtId="44" fontId="0" fillId="9" borderId="2" xfId="0" applyNumberFormat="1" applyFill="1" applyBorder="1"/>
    <xf numFmtId="14" fontId="0" fillId="10" borderId="2" xfId="0" applyNumberFormat="1" applyFill="1" applyBorder="1"/>
    <xf numFmtId="44" fontId="0" fillId="10" borderId="2" xfId="0" applyNumberFormat="1" applyFill="1" applyBorder="1"/>
    <xf numFmtId="14" fontId="0" fillId="11" borderId="2" xfId="0" applyNumberFormat="1" applyFill="1" applyBorder="1"/>
    <xf numFmtId="44" fontId="0" fillId="11" borderId="2" xfId="0" applyNumberFormat="1" applyFill="1" applyBorder="1"/>
    <xf numFmtId="4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 wrapText="1" shrinkToFit="1"/>
    </xf>
    <xf numFmtId="10" fontId="14" fillId="0" borderId="2" xfId="0" applyNumberFormat="1" applyFont="1" applyFill="1" applyBorder="1" applyAlignment="1">
      <alignment horizontal="center" vertical="center" wrapText="1" shrinkToFit="1"/>
    </xf>
    <xf numFmtId="10" fontId="21" fillId="8" borderId="2" xfId="0" applyNumberFormat="1" applyFont="1" applyFill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/>
    </xf>
    <xf numFmtId="0" fontId="1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14" fontId="23" fillId="0" borderId="2" xfId="0" applyNumberFormat="1" applyFont="1" applyFill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1625-8991-4AA8-A2A9-E924AA8D7DAD}">
  <dimension ref="A1:M46"/>
  <sheetViews>
    <sheetView showGridLines="0" topLeftCell="A22" workbookViewId="0">
      <selection activeCell="I33" sqref="I33"/>
    </sheetView>
  </sheetViews>
  <sheetFormatPr defaultRowHeight="15" x14ac:dyDescent="0.25"/>
  <cols>
    <col min="1" max="1" width="52.7109375" style="4" bestFit="1" customWidth="1"/>
    <col min="2" max="2" width="38.7109375" style="4" bestFit="1" customWidth="1"/>
    <col min="3" max="3" width="29.85546875" style="4" bestFit="1" customWidth="1"/>
    <col min="4" max="4" width="9.28515625" style="4" bestFit="1" customWidth="1"/>
    <col min="5" max="5" width="15" style="4" bestFit="1" customWidth="1"/>
    <col min="6" max="6" width="8.85546875" style="4" bestFit="1" customWidth="1"/>
    <col min="7" max="7" width="15.85546875" style="4" bestFit="1" customWidth="1"/>
    <col min="8" max="8" width="12.140625" style="4" bestFit="1" customWidth="1"/>
    <col min="9" max="10" width="9.140625" style="4"/>
    <col min="11" max="13" width="15.28515625" style="4" bestFit="1" customWidth="1"/>
    <col min="14" max="16384" width="9.140625" style="4"/>
  </cols>
  <sheetData>
    <row r="1" spans="1:7" ht="30" customHeight="1" x14ac:dyDescent="0.25">
      <c r="A1" s="179" t="s">
        <v>0</v>
      </c>
      <c r="B1" s="180"/>
      <c r="C1" s="180"/>
      <c r="D1" s="180"/>
      <c r="E1" s="180"/>
      <c r="F1" s="180"/>
      <c r="G1" s="180"/>
    </row>
    <row r="2" spans="1:7" x14ac:dyDescent="0.25">
      <c r="A2" s="175" t="s">
        <v>1</v>
      </c>
      <c r="B2" s="176"/>
      <c r="C2" s="176"/>
      <c r="D2" s="176"/>
      <c r="E2" s="176"/>
      <c r="F2" s="176"/>
      <c r="G2" s="176"/>
    </row>
    <row r="3" spans="1:7" x14ac:dyDescent="0.25">
      <c r="A3" s="175" t="s">
        <v>220</v>
      </c>
      <c r="B3" s="176"/>
      <c r="C3" s="176"/>
      <c r="D3" s="176"/>
      <c r="E3" s="176"/>
      <c r="F3" s="176"/>
      <c r="G3" s="176"/>
    </row>
    <row r="4" spans="1:7" x14ac:dyDescent="0.25">
      <c r="A4" s="175" t="s">
        <v>2</v>
      </c>
      <c r="B4" s="176"/>
      <c r="C4" s="176"/>
      <c r="D4" s="176"/>
      <c r="E4" s="176"/>
      <c r="F4" s="176"/>
      <c r="G4" s="176"/>
    </row>
    <row r="5" spans="1:7" x14ac:dyDescent="0.25">
      <c r="A5" s="175" t="s">
        <v>29</v>
      </c>
      <c r="B5" s="176"/>
      <c r="C5" s="176"/>
      <c r="D5" s="176"/>
      <c r="E5" s="176"/>
      <c r="F5" s="176"/>
      <c r="G5" s="176"/>
    </row>
    <row r="6" spans="1:7" x14ac:dyDescent="0.25">
      <c r="A6" s="175" t="s">
        <v>3</v>
      </c>
      <c r="B6" s="176"/>
      <c r="C6" s="176"/>
      <c r="D6" s="176"/>
      <c r="E6" s="176"/>
      <c r="F6" s="176"/>
      <c r="G6" s="176"/>
    </row>
    <row r="7" spans="1:7" x14ac:dyDescent="0.25">
      <c r="A7" s="175" t="s">
        <v>4</v>
      </c>
      <c r="B7" s="176"/>
      <c r="C7" s="176"/>
      <c r="D7" s="176"/>
      <c r="E7" s="176"/>
      <c r="F7" s="176"/>
      <c r="G7" s="176"/>
    </row>
    <row r="8" spans="1:7" x14ac:dyDescent="0.25">
      <c r="A8" s="175" t="s">
        <v>5</v>
      </c>
      <c r="B8" s="176"/>
      <c r="C8" s="176"/>
      <c r="D8" s="176"/>
      <c r="E8" s="176"/>
      <c r="F8" s="176"/>
      <c r="G8" s="176"/>
    </row>
    <row r="9" spans="1:7" x14ac:dyDescent="0.25">
      <c r="A9" s="175" t="s">
        <v>28</v>
      </c>
      <c r="B9" s="176"/>
      <c r="C9" s="176"/>
      <c r="D9" s="176"/>
      <c r="E9" s="176"/>
      <c r="F9" s="176"/>
      <c r="G9" s="176"/>
    </row>
    <row r="10" spans="1:7" x14ac:dyDescent="0.25">
      <c r="A10" s="175" t="s">
        <v>44</v>
      </c>
      <c r="B10" s="176"/>
      <c r="C10" s="176"/>
      <c r="D10" s="176"/>
      <c r="E10" s="176"/>
      <c r="F10" s="176"/>
      <c r="G10" s="176"/>
    </row>
    <row r="11" spans="1:7" x14ac:dyDescent="0.25">
      <c r="A11" s="175" t="s">
        <v>243</v>
      </c>
      <c r="B11" s="176"/>
      <c r="C11" s="176"/>
      <c r="D11" s="176"/>
      <c r="E11" s="176"/>
      <c r="F11" s="176"/>
      <c r="G11" s="176"/>
    </row>
    <row r="12" spans="1:7" x14ac:dyDescent="0.25">
      <c r="A12" s="175" t="s">
        <v>244</v>
      </c>
      <c r="B12" s="176"/>
      <c r="C12" s="176"/>
      <c r="D12" s="176"/>
      <c r="E12" s="176"/>
      <c r="F12" s="176"/>
      <c r="G12" s="176"/>
    </row>
    <row r="13" spans="1:7" x14ac:dyDescent="0.25">
      <c r="A13" s="175" t="s">
        <v>245</v>
      </c>
      <c r="B13" s="176"/>
      <c r="C13" s="176"/>
      <c r="D13" s="176"/>
      <c r="E13" s="176"/>
      <c r="F13" s="176"/>
      <c r="G13" s="176"/>
    </row>
    <row r="14" spans="1:7" x14ac:dyDescent="0.25">
      <c r="A14" s="177" t="s">
        <v>221</v>
      </c>
      <c r="B14" s="178"/>
      <c r="C14" s="178"/>
      <c r="D14" s="178"/>
      <c r="E14" s="178"/>
      <c r="F14" s="178"/>
      <c r="G14" s="178"/>
    </row>
    <row r="15" spans="1:7" ht="51" x14ac:dyDescent="0.25">
      <c r="A15" s="149" t="s">
        <v>222</v>
      </c>
      <c r="B15" s="150"/>
      <c r="C15" s="149" t="s">
        <v>223</v>
      </c>
      <c r="D15" s="149" t="s">
        <v>224</v>
      </c>
      <c r="E15" s="149" t="s">
        <v>225</v>
      </c>
      <c r="F15" s="149" t="s">
        <v>226</v>
      </c>
      <c r="G15" s="149" t="s">
        <v>227</v>
      </c>
    </row>
    <row r="16" spans="1:7" s="158" customFormat="1" x14ac:dyDescent="0.25">
      <c r="A16" s="98" t="s">
        <v>228</v>
      </c>
      <c r="B16" s="147"/>
      <c r="C16" s="98" t="s">
        <v>229</v>
      </c>
      <c r="D16" s="98" t="s">
        <v>230</v>
      </c>
      <c r="E16" s="98" t="s">
        <v>231</v>
      </c>
      <c r="F16" s="98" t="s">
        <v>232</v>
      </c>
      <c r="G16" s="98" t="s">
        <v>233</v>
      </c>
    </row>
    <row r="17" spans="1:11" x14ac:dyDescent="0.25">
      <c r="A17" s="129" t="s">
        <v>234</v>
      </c>
      <c r="B17" s="65" t="s">
        <v>235</v>
      </c>
      <c r="C17" s="25">
        <f>'Bombeiro Civil 12x36 Diurno'!D120</f>
        <v>8340.9766673266677</v>
      </c>
      <c r="D17" s="141">
        <v>2</v>
      </c>
      <c r="E17" s="142">
        <f>C17*D17</f>
        <v>16681.953334653335</v>
      </c>
      <c r="F17" s="141">
        <v>3</v>
      </c>
      <c r="G17" s="142">
        <f>F17*E17</f>
        <v>50045.860003960006</v>
      </c>
    </row>
    <row r="18" spans="1:11" x14ac:dyDescent="0.25">
      <c r="A18" s="129" t="s">
        <v>236</v>
      </c>
      <c r="B18" s="65" t="s">
        <v>237</v>
      </c>
      <c r="C18" s="25">
        <f>'Bombeiro Civil 12x36 Noturno'!D120</f>
        <v>9053.3633946593945</v>
      </c>
      <c r="D18" s="15">
        <v>2</v>
      </c>
      <c r="E18" s="142">
        <f t="shared" ref="E18:E20" si="0">C18*D18</f>
        <v>18106.726789318789</v>
      </c>
      <c r="F18" s="15">
        <v>2</v>
      </c>
      <c r="G18" s="142">
        <f t="shared" ref="G18:G20" si="1">F18*E18</f>
        <v>36213.453578637578</v>
      </c>
    </row>
    <row r="19" spans="1:11" x14ac:dyDescent="0.25">
      <c r="A19" s="129" t="s">
        <v>238</v>
      </c>
      <c r="B19" s="65" t="s">
        <v>239</v>
      </c>
      <c r="C19" s="25">
        <f>'Bombeiro Civil Folguista Noturn'!D120</f>
        <v>2164.1096668266669</v>
      </c>
      <c r="D19" s="15">
        <v>2</v>
      </c>
      <c r="E19" s="142">
        <f t="shared" si="0"/>
        <v>4328.2193336533337</v>
      </c>
      <c r="F19" s="15">
        <v>1</v>
      </c>
      <c r="G19" s="142">
        <f t="shared" si="1"/>
        <v>4328.2193336533337</v>
      </c>
    </row>
    <row r="20" spans="1:11" x14ac:dyDescent="0.25">
      <c r="A20" s="129" t="s">
        <v>238</v>
      </c>
      <c r="B20" s="65" t="s">
        <v>240</v>
      </c>
      <c r="C20" s="25">
        <f>'Bombeiro Civil Folguista Diurno'!D120</f>
        <v>2099.3566668266667</v>
      </c>
      <c r="D20" s="15">
        <v>1</v>
      </c>
      <c r="E20" s="142">
        <f t="shared" si="0"/>
        <v>2099.3566668266667</v>
      </c>
      <c r="F20" s="15">
        <v>1</v>
      </c>
      <c r="G20" s="142">
        <f t="shared" si="1"/>
        <v>2099.3566668266667</v>
      </c>
    </row>
    <row r="21" spans="1:11" x14ac:dyDescent="0.25">
      <c r="A21" s="129" t="s">
        <v>241</v>
      </c>
      <c r="B21" s="141"/>
      <c r="C21" s="25"/>
      <c r="D21" s="15"/>
      <c r="E21" s="26"/>
      <c r="F21" s="15"/>
      <c r="G21" s="27">
        <f>SUM(G17:G20)</f>
        <v>92686.889583077602</v>
      </c>
    </row>
    <row r="22" spans="1:11" x14ac:dyDescent="0.25">
      <c r="A22" s="129" t="s">
        <v>242</v>
      </c>
      <c r="B22" s="141"/>
      <c r="C22" s="141"/>
      <c r="D22" s="141"/>
      <c r="E22" s="141"/>
      <c r="F22" s="141"/>
      <c r="G22" s="27">
        <f>G21*20</f>
        <v>1853737.7916615522</v>
      </c>
    </row>
    <row r="23" spans="1:11" x14ac:dyDescent="0.25">
      <c r="A23" s="129" t="s">
        <v>85</v>
      </c>
      <c r="B23" s="141"/>
      <c r="C23" s="141"/>
      <c r="D23" s="141"/>
      <c r="E23" s="141"/>
      <c r="F23" s="141"/>
      <c r="G23" s="61">
        <f>G22*5%</f>
        <v>92686.889583077616</v>
      </c>
    </row>
    <row r="24" spans="1:11" x14ac:dyDescent="0.25">
      <c r="A24" s="143"/>
      <c r="B24" s="143"/>
      <c r="C24" s="143"/>
      <c r="D24" s="143"/>
      <c r="E24" s="143"/>
      <c r="F24" s="143"/>
      <c r="G24" s="144"/>
    </row>
    <row r="25" spans="1:11" x14ac:dyDescent="0.25">
      <c r="A25" s="143"/>
      <c r="B25" s="143"/>
      <c r="C25" s="143"/>
      <c r="D25" s="143"/>
      <c r="E25" s="143"/>
      <c r="F25" s="143"/>
      <c r="G25" s="143"/>
    </row>
    <row r="26" spans="1:11" x14ac:dyDescent="0.25">
      <c r="A26" s="143"/>
      <c r="B26" s="143"/>
      <c r="C26" s="143"/>
      <c r="D26" s="143"/>
      <c r="E26" s="143"/>
      <c r="F26" s="143"/>
      <c r="G26" s="143"/>
    </row>
    <row r="27" spans="1:11" ht="25.5" x14ac:dyDescent="0.25">
      <c r="A27" s="145" t="s">
        <v>213</v>
      </c>
      <c r="B27" s="143"/>
      <c r="C27" s="143"/>
      <c r="D27" s="143"/>
      <c r="E27" s="143"/>
      <c r="F27" s="143"/>
      <c r="G27" s="143"/>
    </row>
    <row r="28" spans="1:11" ht="51" x14ac:dyDescent="0.25">
      <c r="A28" s="149" t="s">
        <v>222</v>
      </c>
      <c r="B28" s="150"/>
      <c r="C28" s="149" t="s">
        <v>223</v>
      </c>
      <c r="D28" s="149" t="s">
        <v>224</v>
      </c>
      <c r="E28" s="149" t="s">
        <v>225</v>
      </c>
      <c r="F28" s="149" t="s">
        <v>226</v>
      </c>
      <c r="G28" s="149" t="s">
        <v>227</v>
      </c>
    </row>
    <row r="29" spans="1:11" s="158" customFormat="1" x14ac:dyDescent="0.25">
      <c r="A29" s="98" t="s">
        <v>228</v>
      </c>
      <c r="B29" s="147"/>
      <c r="C29" s="98" t="s">
        <v>229</v>
      </c>
      <c r="D29" s="98" t="s">
        <v>230</v>
      </c>
      <c r="E29" s="98" t="s">
        <v>231</v>
      </c>
      <c r="F29" s="98" t="s">
        <v>232</v>
      </c>
      <c r="G29" s="98" t="s">
        <v>233</v>
      </c>
    </row>
    <row r="30" spans="1:11" x14ac:dyDescent="0.25">
      <c r="A30" s="129" t="s">
        <v>234</v>
      </c>
      <c r="B30" s="65" t="s">
        <v>235</v>
      </c>
      <c r="C30" s="25">
        <f>'Bombeiro Civil 12x36 Diurno'!F120</f>
        <v>9175.5906673866666</v>
      </c>
      <c r="D30" s="141">
        <v>2</v>
      </c>
      <c r="E30" s="142">
        <f>C30*D30</f>
        <v>18351.181334773333</v>
      </c>
      <c r="F30" s="141">
        <v>3</v>
      </c>
      <c r="G30" s="142">
        <f>F30*E30</f>
        <v>55053.54400432</v>
      </c>
    </row>
    <row r="31" spans="1:11" x14ac:dyDescent="0.25">
      <c r="A31" s="129" t="s">
        <v>236</v>
      </c>
      <c r="B31" s="65" t="s">
        <v>237</v>
      </c>
      <c r="C31" s="25">
        <f>'Bombeiro Civil 12x36 Noturno'!F120</f>
        <v>10058.704202002122</v>
      </c>
      <c r="D31" s="15">
        <v>2</v>
      </c>
      <c r="E31" s="142">
        <f t="shared" ref="E31:E33" si="2">C31*D31</f>
        <v>20117.408404004243</v>
      </c>
      <c r="F31" s="15">
        <v>2</v>
      </c>
      <c r="G31" s="142">
        <f t="shared" ref="G31:G33" si="3">F31*E31</f>
        <v>40234.816808008487</v>
      </c>
      <c r="K31" s="64"/>
    </row>
    <row r="32" spans="1:11" x14ac:dyDescent="0.25">
      <c r="A32" s="129" t="s">
        <v>238</v>
      </c>
      <c r="B32" s="65" t="s">
        <v>239</v>
      </c>
      <c r="C32" s="25">
        <f>'Bombeiro Civil Folguista Noturn'!F120</f>
        <v>2383.8106668466662</v>
      </c>
      <c r="D32" s="15">
        <v>2</v>
      </c>
      <c r="E32" s="142">
        <f t="shared" si="2"/>
        <v>4767.6213336933324</v>
      </c>
      <c r="F32" s="15">
        <v>1</v>
      </c>
      <c r="G32" s="142">
        <f t="shared" si="3"/>
        <v>4767.6213336933324</v>
      </c>
      <c r="K32" s="64"/>
    </row>
    <row r="33" spans="1:13" x14ac:dyDescent="0.25">
      <c r="A33" s="129" t="s">
        <v>238</v>
      </c>
      <c r="B33" s="65" t="s">
        <v>240</v>
      </c>
      <c r="C33" s="25">
        <f>'Bombeiro Civil Folguista Diurno'!F120</f>
        <v>2303.4866668366667</v>
      </c>
      <c r="D33" s="15">
        <v>1</v>
      </c>
      <c r="E33" s="142">
        <f t="shared" si="2"/>
        <v>2303.4866668366667</v>
      </c>
      <c r="F33" s="15">
        <v>1</v>
      </c>
      <c r="G33" s="142">
        <f t="shared" si="3"/>
        <v>2303.4866668366667</v>
      </c>
      <c r="K33" s="64"/>
    </row>
    <row r="34" spans="1:13" x14ac:dyDescent="0.25">
      <c r="A34" s="129" t="s">
        <v>241</v>
      </c>
      <c r="B34" s="141"/>
      <c r="C34" s="25"/>
      <c r="D34" s="15"/>
      <c r="E34" s="26"/>
      <c r="F34" s="15"/>
      <c r="G34" s="61">
        <f>SUM(G30:G33)</f>
        <v>102359.46881285848</v>
      </c>
      <c r="K34" s="64"/>
      <c r="L34" s="64"/>
      <c r="M34" s="64"/>
    </row>
    <row r="35" spans="1:13" x14ac:dyDescent="0.25">
      <c r="A35" s="143"/>
      <c r="B35" s="143"/>
      <c r="C35" s="143"/>
      <c r="D35" s="143"/>
      <c r="E35" s="143"/>
      <c r="F35" s="143"/>
      <c r="G35" s="146"/>
    </row>
    <row r="36" spans="1:13" x14ac:dyDescent="0.25">
      <c r="A36" s="143"/>
      <c r="B36" s="143"/>
      <c r="C36" s="143"/>
      <c r="D36" s="143"/>
      <c r="E36" s="143"/>
      <c r="F36" s="143"/>
      <c r="G36" s="143"/>
    </row>
    <row r="37" spans="1:13" ht="25.5" x14ac:dyDescent="0.25">
      <c r="A37" s="145" t="s">
        <v>214</v>
      </c>
      <c r="B37" s="143"/>
      <c r="C37" s="143"/>
      <c r="D37" s="143"/>
      <c r="E37" s="143"/>
      <c r="F37" s="143"/>
      <c r="G37" s="143"/>
    </row>
    <row r="38" spans="1:13" ht="51" x14ac:dyDescent="0.25">
      <c r="A38" s="149" t="s">
        <v>222</v>
      </c>
      <c r="B38" s="150"/>
      <c r="C38" s="149" t="s">
        <v>223</v>
      </c>
      <c r="D38" s="149" t="s">
        <v>224</v>
      </c>
      <c r="E38" s="149" t="s">
        <v>225</v>
      </c>
      <c r="F38" s="149" t="s">
        <v>226</v>
      </c>
      <c r="G38" s="149" t="s">
        <v>227</v>
      </c>
    </row>
    <row r="39" spans="1:13" s="158" customFormat="1" x14ac:dyDescent="0.25">
      <c r="A39" s="98" t="s">
        <v>228</v>
      </c>
      <c r="B39" s="147"/>
      <c r="C39" s="98" t="s">
        <v>229</v>
      </c>
      <c r="D39" s="98" t="s">
        <v>230</v>
      </c>
      <c r="E39" s="98" t="s">
        <v>231</v>
      </c>
      <c r="F39" s="98" t="s">
        <v>232</v>
      </c>
      <c r="G39" s="98" t="s">
        <v>233</v>
      </c>
      <c r="H39" s="170"/>
    </row>
    <row r="40" spans="1:13" x14ac:dyDescent="0.25">
      <c r="A40" s="129" t="s">
        <v>234</v>
      </c>
      <c r="B40" s="65" t="s">
        <v>235</v>
      </c>
      <c r="C40" s="126">
        <f>'Bombeiro Civil 12x36 Diurno'!H120</f>
        <v>9473.576667426667</v>
      </c>
      <c r="D40" s="147">
        <v>2</v>
      </c>
      <c r="E40" s="148">
        <f>C40*D40</f>
        <v>18947.153334853334</v>
      </c>
      <c r="F40" s="147">
        <v>3</v>
      </c>
      <c r="G40" s="148">
        <f>F40*E40</f>
        <v>56841.460004560002</v>
      </c>
    </row>
    <row r="41" spans="1:13" x14ac:dyDescent="0.25">
      <c r="A41" s="129" t="s">
        <v>236</v>
      </c>
      <c r="B41" s="65" t="s">
        <v>237</v>
      </c>
      <c r="C41" s="126">
        <f>'Bombeiro Civil 12x36 Noturno'!H120</f>
        <v>10383.598243870299</v>
      </c>
      <c r="D41" s="128">
        <v>2</v>
      </c>
      <c r="E41" s="148">
        <f t="shared" ref="E41:E43" si="4">C41*D41</f>
        <v>20767.196487740599</v>
      </c>
      <c r="F41" s="128">
        <v>2</v>
      </c>
      <c r="G41" s="148">
        <f t="shared" ref="G41:G43" si="5">F41*E41</f>
        <v>41534.392975481198</v>
      </c>
    </row>
    <row r="42" spans="1:13" x14ac:dyDescent="0.25">
      <c r="A42" s="129" t="s">
        <v>238</v>
      </c>
      <c r="B42" s="65" t="s">
        <v>239</v>
      </c>
      <c r="C42" s="126">
        <f>'Bombeiro Civil Folguista Noturn'!H120</f>
        <v>2461.8706668566665</v>
      </c>
      <c r="D42" s="128">
        <v>2</v>
      </c>
      <c r="E42" s="148">
        <f t="shared" si="4"/>
        <v>4923.741333713333</v>
      </c>
      <c r="F42" s="128">
        <v>1</v>
      </c>
      <c r="G42" s="148">
        <f t="shared" si="5"/>
        <v>4923.741333713333</v>
      </c>
    </row>
    <row r="43" spans="1:13" x14ac:dyDescent="0.25">
      <c r="A43" s="129" t="s">
        <v>238</v>
      </c>
      <c r="B43" s="65" t="s">
        <v>240</v>
      </c>
      <c r="C43" s="126">
        <f>'Bombeiro Civil Folguista Diurno'!H120</f>
        <v>2379.086666846667</v>
      </c>
      <c r="D43" s="128">
        <v>1</v>
      </c>
      <c r="E43" s="148">
        <f t="shared" si="4"/>
        <v>2379.086666846667</v>
      </c>
      <c r="F43" s="128">
        <v>1</v>
      </c>
      <c r="G43" s="148">
        <f t="shared" si="5"/>
        <v>2379.086666846667</v>
      </c>
    </row>
    <row r="44" spans="1:13" x14ac:dyDescent="0.25">
      <c r="A44" s="129" t="s">
        <v>241</v>
      </c>
      <c r="B44" s="141"/>
      <c r="C44" s="25"/>
      <c r="D44" s="15"/>
      <c r="E44" s="26"/>
      <c r="F44" s="15"/>
      <c r="G44" s="155">
        <f>SUM(G40:G43)</f>
        <v>105678.6809806012</v>
      </c>
    </row>
    <row r="45" spans="1:13" x14ac:dyDescent="0.25">
      <c r="A45" s="129" t="s">
        <v>242</v>
      </c>
      <c r="B45" s="141"/>
      <c r="C45" s="141"/>
      <c r="D45" s="141"/>
      <c r="E45" s="141"/>
      <c r="F45" s="141"/>
      <c r="G45" s="156">
        <f>G44*20</f>
        <v>2113573.6196120242</v>
      </c>
    </row>
    <row r="46" spans="1:13" x14ac:dyDescent="0.25">
      <c r="A46" s="129" t="s">
        <v>85</v>
      </c>
      <c r="B46" s="141"/>
      <c r="C46" s="141"/>
      <c r="D46" s="141"/>
      <c r="E46" s="141"/>
      <c r="F46" s="141"/>
      <c r="G46" s="155">
        <f>G45*5%</f>
        <v>105678.68098060122</v>
      </c>
    </row>
  </sheetData>
  <mergeCells count="14">
    <mergeCell ref="A6:G6"/>
    <mergeCell ref="A1:G1"/>
    <mergeCell ref="A2:G2"/>
    <mergeCell ref="A3:G3"/>
    <mergeCell ref="A4:G4"/>
    <mergeCell ref="A5:G5"/>
    <mergeCell ref="A13:G13"/>
    <mergeCell ref="A14:G14"/>
    <mergeCell ref="A7:G7"/>
    <mergeCell ref="A8:G8"/>
    <mergeCell ref="A9:G9"/>
    <mergeCell ref="A10:G10"/>
    <mergeCell ref="A11:G11"/>
    <mergeCell ref="A12:G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0BDF2-D320-4E3B-BC37-1B2DC5BAC009}">
  <dimension ref="A1:P24"/>
  <sheetViews>
    <sheetView tabSelected="1" workbookViewId="0">
      <selection activeCell="M32" sqref="M32"/>
    </sheetView>
  </sheetViews>
  <sheetFormatPr defaultColWidth="9" defaultRowHeight="15" x14ac:dyDescent="0.25"/>
  <cols>
    <col min="1" max="1" width="12.140625" bestFit="1" customWidth="1"/>
    <col min="2" max="2" width="8.7109375" bestFit="1" customWidth="1"/>
    <col min="3" max="3" width="15.85546875" bestFit="1" customWidth="1"/>
    <col min="4" max="4" width="15.85546875" customWidth="1"/>
    <col min="5" max="6" width="14.28515625" bestFit="1" customWidth="1"/>
    <col min="7" max="7" width="14.42578125" bestFit="1" customWidth="1"/>
    <col min="9" max="9" width="10.7109375" bestFit="1" customWidth="1"/>
    <col min="10" max="10" width="14.28515625" bestFit="1" customWidth="1"/>
    <col min="11" max="11" width="10.7109375" customWidth="1"/>
    <col min="12" max="12" width="14.28515625" bestFit="1" customWidth="1"/>
    <col min="13" max="13" width="10.7109375" bestFit="1" customWidth="1"/>
    <col min="14" max="14" width="14.28515625" bestFit="1" customWidth="1"/>
    <col min="15" max="15" width="10.7109375" bestFit="1" customWidth="1"/>
    <col min="16" max="16" width="14.28515625" bestFit="1" customWidth="1"/>
  </cols>
  <sheetData>
    <row r="1" spans="1:16" x14ac:dyDescent="0.25">
      <c r="I1" s="181" t="s">
        <v>252</v>
      </c>
      <c r="J1" s="181"/>
      <c r="K1" s="181" t="s">
        <v>259</v>
      </c>
      <c r="L1" s="181"/>
      <c r="M1" s="181" t="s">
        <v>255</v>
      </c>
      <c r="N1" s="181"/>
    </row>
    <row r="2" spans="1:16" ht="30" x14ac:dyDescent="0.25">
      <c r="B2" s="127" t="s">
        <v>248</v>
      </c>
      <c r="C2" s="127" t="s">
        <v>254</v>
      </c>
      <c r="D2" s="127" t="s">
        <v>253</v>
      </c>
      <c r="E2" s="127" t="s">
        <v>250</v>
      </c>
      <c r="F2" s="92" t="s">
        <v>258</v>
      </c>
      <c r="G2" s="92" t="s">
        <v>86</v>
      </c>
      <c r="I2" s="171" t="s">
        <v>251</v>
      </c>
      <c r="J2" s="171" t="s">
        <v>254</v>
      </c>
      <c r="K2" s="127" t="s">
        <v>251</v>
      </c>
      <c r="L2" s="127" t="s">
        <v>254</v>
      </c>
      <c r="M2" s="127" t="s">
        <v>251</v>
      </c>
      <c r="N2" s="127" t="s">
        <v>254</v>
      </c>
      <c r="O2" s="171" t="s">
        <v>251</v>
      </c>
      <c r="P2" s="171" t="s">
        <v>254</v>
      </c>
    </row>
    <row r="3" spans="1:16" x14ac:dyDescent="0.25">
      <c r="B3" s="160" t="s">
        <v>249</v>
      </c>
      <c r="C3" s="161">
        <f>D3/20</f>
        <v>92686.889583077602</v>
      </c>
      <c r="D3" s="161">
        <f>'Quadro Resumo'!G22</f>
        <v>1853737.7916615522</v>
      </c>
      <c r="E3" s="161">
        <f>D3*5%</f>
        <v>92686.889583077616</v>
      </c>
      <c r="G3" s="6"/>
      <c r="I3" s="222">
        <v>44491</v>
      </c>
      <c r="J3" s="163">
        <f>(1/20)*$E$4</f>
        <v>5117.9734406429243</v>
      </c>
      <c r="K3" s="164">
        <v>44491</v>
      </c>
      <c r="L3" s="165">
        <f t="shared" ref="L3:N5" si="0">(1/20)*$E$3</f>
        <v>4634.3444791538814</v>
      </c>
      <c r="M3" s="164">
        <v>44491</v>
      </c>
      <c r="N3" s="165">
        <f t="shared" si="0"/>
        <v>4634.3444791538814</v>
      </c>
      <c r="O3" s="168">
        <v>45099</v>
      </c>
      <c r="P3" s="169">
        <f>$E$6*(1/20)</f>
        <v>5283.934049030061</v>
      </c>
    </row>
    <row r="4" spans="1:16" x14ac:dyDescent="0.25">
      <c r="A4" s="159" t="s">
        <v>256</v>
      </c>
      <c r="B4" s="160" t="s">
        <v>252</v>
      </c>
      <c r="C4" s="161">
        <f>'Quadro Resumo'!G34</f>
        <v>102359.46881285848</v>
      </c>
      <c r="D4" s="6"/>
      <c r="E4" s="162">
        <f>C4</f>
        <v>102359.46881285848</v>
      </c>
      <c r="F4" s="163">
        <f>E3+G4</f>
        <v>100908.58192839134</v>
      </c>
      <c r="G4" s="162">
        <f>L24</f>
        <v>8221.6923453137279</v>
      </c>
      <c r="I4" s="222">
        <v>44522</v>
      </c>
      <c r="J4" s="163">
        <f t="shared" ref="J4:J22" si="1">(1/20)*$E$4</f>
        <v>5117.9734406429243</v>
      </c>
      <c r="K4" s="164">
        <v>44522</v>
      </c>
      <c r="L4" s="165">
        <f t="shared" si="0"/>
        <v>4634.3444791538814</v>
      </c>
      <c r="M4" s="164">
        <v>44522</v>
      </c>
      <c r="N4" s="165">
        <f t="shared" si="0"/>
        <v>4634.3444791538814</v>
      </c>
      <c r="O4" s="168">
        <v>44764</v>
      </c>
      <c r="P4" s="169">
        <f t="shared" ref="P4:P22" si="2">$E$6*(1/20)</f>
        <v>5283.934049030061</v>
      </c>
    </row>
    <row r="5" spans="1:16" x14ac:dyDescent="0.25">
      <c r="A5" s="159" t="s">
        <v>256</v>
      </c>
      <c r="B5" s="181" t="s">
        <v>255</v>
      </c>
      <c r="C5" s="162">
        <f>'Quadro Resumo'!G44</f>
        <v>105678.6809806012</v>
      </c>
      <c r="D5" s="6"/>
      <c r="E5" s="162">
        <f>C5</f>
        <v>105678.6809806012</v>
      </c>
      <c r="F5" s="163">
        <f>F4+G5</f>
        <v>101738.38497032708</v>
      </c>
      <c r="G5" s="162">
        <f>N24</f>
        <v>829.80304193573829</v>
      </c>
      <c r="I5" s="222">
        <v>44552</v>
      </c>
      <c r="J5" s="163">
        <f t="shared" si="1"/>
        <v>5117.9734406429243</v>
      </c>
      <c r="K5" s="164">
        <v>44552</v>
      </c>
      <c r="L5" s="165">
        <f t="shared" si="0"/>
        <v>4634.3444791538814</v>
      </c>
      <c r="M5" s="164">
        <v>44552</v>
      </c>
      <c r="N5" s="165">
        <f t="shared" si="0"/>
        <v>4634.3444791538814</v>
      </c>
      <c r="O5" s="168">
        <v>45160</v>
      </c>
      <c r="P5" s="169">
        <f t="shared" si="2"/>
        <v>5283.934049030061</v>
      </c>
    </row>
    <row r="6" spans="1:16" x14ac:dyDescent="0.25">
      <c r="A6" s="159" t="s">
        <v>257</v>
      </c>
      <c r="B6" s="181"/>
      <c r="C6" s="161">
        <f>D6/20</f>
        <v>105678.6809806012</v>
      </c>
      <c r="D6" s="163">
        <f>'Quadro Resumo'!G45</f>
        <v>2113573.6196120242</v>
      </c>
      <c r="E6" s="161">
        <f>D6*5%</f>
        <v>105678.68098060122</v>
      </c>
      <c r="I6" s="222">
        <v>44583</v>
      </c>
      <c r="J6" s="163">
        <f t="shared" si="1"/>
        <v>5117.9734406429243</v>
      </c>
      <c r="K6" s="166">
        <v>44583</v>
      </c>
      <c r="L6" s="167">
        <f>(1/20)*$E$4</f>
        <v>5117.9734406429243</v>
      </c>
      <c r="M6" s="166">
        <v>44583</v>
      </c>
      <c r="N6" s="167">
        <f>(1/20)*$E$4</f>
        <v>5117.9734406429243</v>
      </c>
      <c r="O6" s="168">
        <v>45191</v>
      </c>
      <c r="P6" s="169">
        <f t="shared" si="2"/>
        <v>5283.934049030061</v>
      </c>
    </row>
    <row r="7" spans="1:16" x14ac:dyDescent="0.25">
      <c r="I7" s="222">
        <v>44614</v>
      </c>
      <c r="J7" s="163">
        <f t="shared" si="1"/>
        <v>5117.9734406429243</v>
      </c>
      <c r="K7" s="166">
        <v>44614</v>
      </c>
      <c r="L7" s="167">
        <f>(1/20)*$E$4</f>
        <v>5117.9734406429243</v>
      </c>
      <c r="M7" s="166">
        <v>44614</v>
      </c>
      <c r="N7" s="167">
        <f>(1/20)*$E$4</f>
        <v>5117.9734406429243</v>
      </c>
      <c r="O7" s="168">
        <v>45221</v>
      </c>
      <c r="P7" s="169">
        <f t="shared" si="2"/>
        <v>5283.934049030061</v>
      </c>
    </row>
    <row r="8" spans="1:16" x14ac:dyDescent="0.25">
      <c r="I8" s="222">
        <v>44642</v>
      </c>
      <c r="J8" s="163">
        <f t="shared" si="1"/>
        <v>5117.9734406429243</v>
      </c>
      <c r="K8" s="166">
        <v>44642</v>
      </c>
      <c r="L8" s="167">
        <f t="shared" ref="L8:N22" si="3">(1/20)*$E$4</f>
        <v>5117.9734406429243</v>
      </c>
      <c r="M8" s="166">
        <v>44642</v>
      </c>
      <c r="N8" s="167">
        <f t="shared" si="3"/>
        <v>5117.9734406429243</v>
      </c>
      <c r="O8" s="168">
        <v>45252</v>
      </c>
      <c r="P8" s="169">
        <f t="shared" si="2"/>
        <v>5283.934049030061</v>
      </c>
    </row>
    <row r="9" spans="1:16" x14ac:dyDescent="0.25">
      <c r="I9" s="222">
        <v>44673</v>
      </c>
      <c r="J9" s="163">
        <f t="shared" si="1"/>
        <v>5117.9734406429243</v>
      </c>
      <c r="K9" s="166">
        <v>44673</v>
      </c>
      <c r="L9" s="167">
        <f t="shared" si="3"/>
        <v>5117.9734406429243</v>
      </c>
      <c r="M9" s="166">
        <v>44673</v>
      </c>
      <c r="N9" s="167">
        <f t="shared" si="3"/>
        <v>5117.9734406429243</v>
      </c>
      <c r="O9" s="168">
        <v>45282</v>
      </c>
      <c r="P9" s="169">
        <f t="shared" si="2"/>
        <v>5283.934049030061</v>
      </c>
    </row>
    <row r="10" spans="1:16" x14ac:dyDescent="0.25">
      <c r="I10" s="222">
        <v>44703</v>
      </c>
      <c r="J10" s="163">
        <f t="shared" si="1"/>
        <v>5117.9734406429243</v>
      </c>
      <c r="K10" s="166">
        <v>44703</v>
      </c>
      <c r="L10" s="167">
        <f t="shared" si="3"/>
        <v>5117.9734406429243</v>
      </c>
      <c r="M10" s="166">
        <v>44703</v>
      </c>
      <c r="N10" s="167">
        <f t="shared" si="3"/>
        <v>5117.9734406429243</v>
      </c>
      <c r="O10" s="168">
        <v>45313</v>
      </c>
      <c r="P10" s="169">
        <f t="shared" si="2"/>
        <v>5283.934049030061</v>
      </c>
    </row>
    <row r="11" spans="1:16" x14ac:dyDescent="0.25">
      <c r="I11" s="222">
        <v>44734</v>
      </c>
      <c r="J11" s="163">
        <f t="shared" si="1"/>
        <v>5117.9734406429243</v>
      </c>
      <c r="K11" s="166">
        <v>44734</v>
      </c>
      <c r="L11" s="167">
        <f t="shared" si="3"/>
        <v>5117.9734406429243</v>
      </c>
      <c r="M11" s="166">
        <v>44734</v>
      </c>
      <c r="N11" s="167">
        <f t="shared" si="3"/>
        <v>5117.9734406429243</v>
      </c>
      <c r="O11" s="168">
        <v>45344</v>
      </c>
      <c r="P11" s="169">
        <f t="shared" si="2"/>
        <v>5283.934049030061</v>
      </c>
    </row>
    <row r="12" spans="1:16" x14ac:dyDescent="0.25">
      <c r="I12" s="222">
        <v>44764</v>
      </c>
      <c r="J12" s="163">
        <f t="shared" si="1"/>
        <v>5117.9734406429243</v>
      </c>
      <c r="K12" s="166">
        <v>44764</v>
      </c>
      <c r="L12" s="167">
        <f t="shared" si="3"/>
        <v>5117.9734406429243</v>
      </c>
      <c r="M12" s="166">
        <v>44764</v>
      </c>
      <c r="N12" s="167">
        <f t="shared" si="3"/>
        <v>5117.9734406429243</v>
      </c>
      <c r="O12" s="168">
        <v>45373</v>
      </c>
      <c r="P12" s="169">
        <f t="shared" si="2"/>
        <v>5283.934049030061</v>
      </c>
    </row>
    <row r="13" spans="1:16" x14ac:dyDescent="0.25">
      <c r="I13" s="222">
        <v>44795</v>
      </c>
      <c r="J13" s="163">
        <f t="shared" si="1"/>
        <v>5117.9734406429243</v>
      </c>
      <c r="K13" s="166">
        <v>44795</v>
      </c>
      <c r="L13" s="167">
        <f t="shared" si="3"/>
        <v>5117.9734406429243</v>
      </c>
      <c r="M13" s="166">
        <v>44795</v>
      </c>
      <c r="N13" s="167">
        <f t="shared" si="3"/>
        <v>5117.9734406429243</v>
      </c>
      <c r="O13" s="168">
        <v>45404</v>
      </c>
      <c r="P13" s="169">
        <f t="shared" si="2"/>
        <v>5283.934049030061</v>
      </c>
    </row>
    <row r="14" spans="1:16" x14ac:dyDescent="0.25">
      <c r="I14" s="222">
        <v>44826</v>
      </c>
      <c r="J14" s="163">
        <f t="shared" si="1"/>
        <v>5117.9734406429243</v>
      </c>
      <c r="K14" s="166">
        <v>44826</v>
      </c>
      <c r="L14" s="167">
        <f t="shared" si="3"/>
        <v>5117.9734406429243</v>
      </c>
      <c r="M14" s="166">
        <v>44826</v>
      </c>
      <c r="N14" s="167">
        <f t="shared" si="3"/>
        <v>5117.9734406429243</v>
      </c>
      <c r="O14" s="168">
        <v>45434</v>
      </c>
      <c r="P14" s="169">
        <f t="shared" si="2"/>
        <v>5283.934049030061</v>
      </c>
    </row>
    <row r="15" spans="1:16" x14ac:dyDescent="0.25">
      <c r="I15" s="222">
        <v>44856</v>
      </c>
      <c r="J15" s="163">
        <f t="shared" si="1"/>
        <v>5117.9734406429243</v>
      </c>
      <c r="K15" s="166">
        <v>44856</v>
      </c>
      <c r="L15" s="167">
        <f t="shared" si="3"/>
        <v>5117.9734406429243</v>
      </c>
      <c r="M15" s="166">
        <v>44856</v>
      </c>
      <c r="N15" s="167">
        <f t="shared" si="3"/>
        <v>5117.9734406429243</v>
      </c>
      <c r="O15" s="168">
        <v>45465</v>
      </c>
      <c r="P15" s="169">
        <f t="shared" si="2"/>
        <v>5283.934049030061</v>
      </c>
    </row>
    <row r="16" spans="1:16" x14ac:dyDescent="0.25">
      <c r="I16" s="222">
        <v>44887</v>
      </c>
      <c r="J16" s="163">
        <f t="shared" si="1"/>
        <v>5117.9734406429243</v>
      </c>
      <c r="K16" s="166">
        <v>44887</v>
      </c>
      <c r="L16" s="167">
        <f t="shared" si="3"/>
        <v>5117.9734406429243</v>
      </c>
      <c r="M16" s="166">
        <v>44887</v>
      </c>
      <c r="N16" s="167">
        <f t="shared" si="3"/>
        <v>5117.9734406429243</v>
      </c>
      <c r="O16" s="168">
        <v>45495</v>
      </c>
      <c r="P16" s="169">
        <f t="shared" si="2"/>
        <v>5283.934049030061</v>
      </c>
    </row>
    <row r="17" spans="9:16" x14ac:dyDescent="0.25">
      <c r="I17" s="222">
        <v>44917</v>
      </c>
      <c r="J17" s="163">
        <f t="shared" si="1"/>
        <v>5117.9734406429243</v>
      </c>
      <c r="K17" s="166">
        <v>44917</v>
      </c>
      <c r="L17" s="167">
        <f t="shared" si="3"/>
        <v>5117.9734406429243</v>
      </c>
      <c r="M17" s="166">
        <v>44917</v>
      </c>
      <c r="N17" s="167">
        <f t="shared" si="3"/>
        <v>5117.9734406429243</v>
      </c>
      <c r="O17" s="168">
        <v>45526</v>
      </c>
      <c r="P17" s="169">
        <f t="shared" si="2"/>
        <v>5283.934049030061</v>
      </c>
    </row>
    <row r="18" spans="9:16" x14ac:dyDescent="0.25">
      <c r="I18" s="222">
        <v>44948</v>
      </c>
      <c r="J18" s="163">
        <f t="shared" si="1"/>
        <v>5117.9734406429243</v>
      </c>
      <c r="K18" s="166">
        <v>44948</v>
      </c>
      <c r="L18" s="167">
        <f t="shared" si="3"/>
        <v>5117.9734406429243</v>
      </c>
      <c r="M18" s="168">
        <v>44948</v>
      </c>
      <c r="N18" s="169">
        <f>(1/20)*$E$5</f>
        <v>5283.9340490300601</v>
      </c>
      <c r="O18" s="168">
        <v>45557</v>
      </c>
      <c r="P18" s="169">
        <f t="shared" si="2"/>
        <v>5283.934049030061</v>
      </c>
    </row>
    <row r="19" spans="9:16" x14ac:dyDescent="0.25">
      <c r="I19" s="222">
        <v>44979</v>
      </c>
      <c r="J19" s="163">
        <f t="shared" si="1"/>
        <v>5117.9734406429243</v>
      </c>
      <c r="K19" s="166">
        <v>44979</v>
      </c>
      <c r="L19" s="167">
        <f t="shared" si="3"/>
        <v>5117.9734406429243</v>
      </c>
      <c r="M19" s="168">
        <v>44979</v>
      </c>
      <c r="N19" s="169">
        <f>(1/20)*$E$5</f>
        <v>5283.9340490300601</v>
      </c>
      <c r="O19" s="168">
        <v>45587</v>
      </c>
      <c r="P19" s="169">
        <f t="shared" si="2"/>
        <v>5283.934049030061</v>
      </c>
    </row>
    <row r="20" spans="9:16" x14ac:dyDescent="0.25">
      <c r="I20" s="222">
        <v>45007</v>
      </c>
      <c r="J20" s="163">
        <f t="shared" si="1"/>
        <v>5117.9734406429243</v>
      </c>
      <c r="K20" s="166">
        <v>45007</v>
      </c>
      <c r="L20" s="167">
        <f t="shared" si="3"/>
        <v>5117.9734406429243</v>
      </c>
      <c r="M20" s="168">
        <v>45007</v>
      </c>
      <c r="N20" s="169">
        <f>(1/20)*$E$5</f>
        <v>5283.9340490300601</v>
      </c>
      <c r="O20" s="168">
        <v>45618</v>
      </c>
      <c r="P20" s="169">
        <f t="shared" si="2"/>
        <v>5283.934049030061</v>
      </c>
    </row>
    <row r="21" spans="9:16" x14ac:dyDescent="0.25">
      <c r="I21" s="222">
        <v>45038</v>
      </c>
      <c r="J21" s="163">
        <f t="shared" si="1"/>
        <v>5117.9734406429243</v>
      </c>
      <c r="K21" s="166">
        <v>45038</v>
      </c>
      <c r="L21" s="167">
        <f t="shared" si="3"/>
        <v>5117.9734406429243</v>
      </c>
      <c r="M21" s="168">
        <v>45038</v>
      </c>
      <c r="N21" s="169">
        <f>(1/20)*$E$5</f>
        <v>5283.9340490300601</v>
      </c>
      <c r="O21" s="168">
        <v>45648</v>
      </c>
      <c r="P21" s="169">
        <f t="shared" si="2"/>
        <v>5283.934049030061</v>
      </c>
    </row>
    <row r="22" spans="9:16" x14ac:dyDescent="0.25">
      <c r="I22" s="222">
        <v>45068</v>
      </c>
      <c r="J22" s="163">
        <f t="shared" si="1"/>
        <v>5117.9734406429243</v>
      </c>
      <c r="K22" s="166">
        <v>45068</v>
      </c>
      <c r="L22" s="167">
        <f t="shared" si="3"/>
        <v>5117.9734406429243</v>
      </c>
      <c r="M22" s="168">
        <v>45068</v>
      </c>
      <c r="N22" s="169">
        <f>(1/20)*$E$5</f>
        <v>5283.9340490300601</v>
      </c>
      <c r="O22" s="168">
        <v>45679</v>
      </c>
      <c r="P22" s="169">
        <f t="shared" si="2"/>
        <v>5283.934049030061</v>
      </c>
    </row>
    <row r="23" spans="9:16" x14ac:dyDescent="0.25">
      <c r="J23" s="163">
        <f>SUM(J3:J22)</f>
        <v>102359.46881285847</v>
      </c>
      <c r="K23" s="157"/>
      <c r="L23" s="163">
        <f>SUM(L3:L22)</f>
        <v>100908.58192839134</v>
      </c>
      <c r="M23" s="157"/>
      <c r="N23" s="163">
        <f>SUM(N3:N22)</f>
        <v>101738.38497032708</v>
      </c>
      <c r="P23" s="163">
        <f>SUM(P3:P22)</f>
        <v>105678.68098060126</v>
      </c>
    </row>
    <row r="24" spans="9:16" x14ac:dyDescent="0.25">
      <c r="J24" s="163">
        <f>J23-E3</f>
        <v>9672.5792297808512</v>
      </c>
      <c r="L24" s="163">
        <f>L23-E3</f>
        <v>8221.6923453137279</v>
      </c>
      <c r="N24" s="163">
        <f>N23-F4</f>
        <v>829.80304193573829</v>
      </c>
    </row>
  </sheetData>
  <mergeCells count="4">
    <mergeCell ref="K1:L1"/>
    <mergeCell ref="M1:N1"/>
    <mergeCell ref="B5:B6"/>
    <mergeCell ref="I1:J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8B98C-FF10-48FD-A519-29A693E8DE26}">
  <dimension ref="A1:H120"/>
  <sheetViews>
    <sheetView showGridLines="0" topLeftCell="A85" workbookViewId="0">
      <selection activeCell="J91" sqref="J91"/>
    </sheetView>
  </sheetViews>
  <sheetFormatPr defaultColWidth="70" defaultRowHeight="15" x14ac:dyDescent="0.25"/>
  <cols>
    <col min="1" max="1" width="4.42578125" style="79" bestFit="1" customWidth="1"/>
    <col min="2" max="2" width="60.28515625" style="79" bestFit="1" customWidth="1"/>
    <col min="3" max="3" width="30.7109375" style="79" bestFit="1" customWidth="1"/>
    <col min="4" max="4" width="12.140625" style="79" bestFit="1" customWidth="1"/>
    <col min="5" max="5" width="22" style="79" bestFit="1" customWidth="1"/>
    <col min="6" max="6" width="12.140625" style="79" bestFit="1" customWidth="1"/>
    <col min="7" max="7" width="22" style="70" bestFit="1" customWidth="1"/>
    <col min="8" max="8" width="12.140625" style="56" bestFit="1" customWidth="1"/>
    <col min="9" max="131" width="15.5703125" style="2" customWidth="1"/>
    <col min="132" max="16384" width="70" style="2"/>
  </cols>
  <sheetData>
    <row r="1" spans="1:8" ht="30" customHeight="1" x14ac:dyDescent="0.25">
      <c r="A1" s="196" t="s">
        <v>91</v>
      </c>
      <c r="B1" s="197"/>
      <c r="C1" s="197"/>
      <c r="D1" s="197"/>
      <c r="E1" s="182" t="s">
        <v>90</v>
      </c>
      <c r="F1" s="182"/>
      <c r="G1" s="183" t="s">
        <v>215</v>
      </c>
      <c r="H1" s="183"/>
    </row>
    <row r="2" spans="1:8" ht="15.75" x14ac:dyDescent="0.25">
      <c r="A2" s="198" t="s">
        <v>38</v>
      </c>
      <c r="B2" s="198"/>
      <c r="C2" s="198"/>
      <c r="D2" s="198"/>
      <c r="E2" s="182"/>
      <c r="F2" s="182"/>
      <c r="G2" s="183"/>
      <c r="H2" s="183"/>
    </row>
    <row r="3" spans="1:8" x14ac:dyDescent="0.25">
      <c r="A3" s="193" t="s">
        <v>37</v>
      </c>
      <c r="B3" s="194"/>
      <c r="C3" s="194"/>
      <c r="D3" s="195"/>
      <c r="E3" s="182"/>
      <c r="F3" s="182"/>
      <c r="G3" s="183"/>
      <c r="H3" s="183"/>
    </row>
    <row r="4" spans="1:8" x14ac:dyDescent="0.25">
      <c r="A4" s="184" t="s">
        <v>92</v>
      </c>
      <c r="B4" s="185"/>
      <c r="C4" s="73"/>
      <c r="D4" s="73"/>
      <c r="E4" s="73"/>
      <c r="F4" s="73"/>
      <c r="G4" s="85"/>
      <c r="H4" s="48"/>
    </row>
    <row r="5" spans="1:8" ht="25.5" x14ac:dyDescent="0.25">
      <c r="A5" s="74">
        <v>1</v>
      </c>
      <c r="B5" s="72" t="s">
        <v>93</v>
      </c>
      <c r="C5" s="98" t="s">
        <v>94</v>
      </c>
      <c r="D5" s="90"/>
      <c r="E5" s="98" t="s">
        <v>94</v>
      </c>
      <c r="F5" s="90"/>
      <c r="G5" s="98" t="s">
        <v>30</v>
      </c>
      <c r="H5" s="48"/>
    </row>
    <row r="6" spans="1:8" x14ac:dyDescent="0.25">
      <c r="A6" s="75">
        <v>2</v>
      </c>
      <c r="B6" s="65" t="s">
        <v>95</v>
      </c>
      <c r="C6" s="75">
        <v>5171</v>
      </c>
      <c r="D6" s="73"/>
      <c r="E6" s="75">
        <v>5171</v>
      </c>
      <c r="F6" s="73"/>
      <c r="G6" s="9">
        <v>5171</v>
      </c>
      <c r="H6" s="48"/>
    </row>
    <row r="7" spans="1:8" x14ac:dyDescent="0.25">
      <c r="A7" s="75">
        <v>3</v>
      </c>
      <c r="B7" s="65" t="s">
        <v>96</v>
      </c>
      <c r="C7" s="11">
        <v>3044.5</v>
      </c>
      <c r="D7" s="73"/>
      <c r="E7" s="11">
        <v>3303.28</v>
      </c>
      <c r="F7" s="73"/>
      <c r="G7" s="54">
        <v>3494.54</v>
      </c>
      <c r="H7" s="48"/>
    </row>
    <row r="8" spans="1:8" ht="51" x14ac:dyDescent="0.25">
      <c r="A8" s="75">
        <v>4</v>
      </c>
      <c r="B8" s="65" t="s">
        <v>97</v>
      </c>
      <c r="C8" s="73" t="s">
        <v>98</v>
      </c>
      <c r="D8" s="73"/>
      <c r="E8" s="65" t="s">
        <v>87</v>
      </c>
      <c r="F8" s="73"/>
      <c r="G8" s="65" t="s">
        <v>87</v>
      </c>
      <c r="H8" s="48"/>
    </row>
    <row r="9" spans="1:8" x14ac:dyDescent="0.25">
      <c r="A9" s="75">
        <v>5</v>
      </c>
      <c r="B9" s="65" t="s">
        <v>99</v>
      </c>
      <c r="C9" s="65" t="s">
        <v>100</v>
      </c>
      <c r="D9" s="73"/>
      <c r="E9" s="65" t="s">
        <v>72</v>
      </c>
      <c r="F9" s="73"/>
      <c r="G9" s="55" t="s">
        <v>216</v>
      </c>
      <c r="H9" s="48"/>
    </row>
    <row r="10" spans="1:8" x14ac:dyDescent="0.25">
      <c r="A10" s="75">
        <v>6</v>
      </c>
      <c r="B10" s="65" t="s">
        <v>101</v>
      </c>
      <c r="C10" s="65" t="s">
        <v>102</v>
      </c>
      <c r="D10" s="73"/>
      <c r="E10" s="65" t="s">
        <v>73</v>
      </c>
      <c r="F10" s="73"/>
      <c r="G10" s="55" t="s">
        <v>217</v>
      </c>
      <c r="H10" s="48"/>
    </row>
    <row r="11" spans="1:8" x14ac:dyDescent="0.25">
      <c r="A11" s="193" t="s">
        <v>103</v>
      </c>
      <c r="B11" s="195"/>
      <c r="C11" s="73"/>
      <c r="D11" s="73"/>
      <c r="E11" s="73"/>
      <c r="F11" s="73"/>
      <c r="G11" s="67"/>
      <c r="H11" s="48"/>
    </row>
    <row r="12" spans="1:8" x14ac:dyDescent="0.25">
      <c r="A12" s="76">
        <v>1</v>
      </c>
      <c r="B12" s="66" t="s">
        <v>104</v>
      </c>
      <c r="C12" s="98" t="s">
        <v>219</v>
      </c>
      <c r="D12" s="99" t="s">
        <v>218</v>
      </c>
      <c r="E12" s="98" t="s">
        <v>219</v>
      </c>
      <c r="F12" s="99" t="s">
        <v>218</v>
      </c>
      <c r="G12" s="98" t="s">
        <v>219</v>
      </c>
      <c r="H12" s="99" t="s">
        <v>218</v>
      </c>
    </row>
    <row r="13" spans="1:8" x14ac:dyDescent="0.25">
      <c r="A13" s="71" t="s">
        <v>106</v>
      </c>
      <c r="B13" s="65" t="s">
        <v>107</v>
      </c>
      <c r="C13" s="90" t="s">
        <v>35</v>
      </c>
      <c r="D13" s="86">
        <f>C7</f>
        <v>3044.5</v>
      </c>
      <c r="E13" s="90" t="s">
        <v>35</v>
      </c>
      <c r="F13" s="86">
        <f>E7</f>
        <v>3303.28</v>
      </c>
      <c r="G13" s="92" t="s">
        <v>35</v>
      </c>
      <c r="H13" s="88">
        <f>G7</f>
        <v>3494.54</v>
      </c>
    </row>
    <row r="14" spans="1:8" x14ac:dyDescent="0.25">
      <c r="A14" s="71" t="s">
        <v>108</v>
      </c>
      <c r="B14" s="65" t="s">
        <v>109</v>
      </c>
      <c r="C14" s="104">
        <v>0.3</v>
      </c>
      <c r="D14" s="86">
        <f>D13*30%</f>
        <v>913.35</v>
      </c>
      <c r="E14" s="104">
        <v>0.3</v>
      </c>
      <c r="F14" s="86">
        <f>F13*30%</f>
        <v>990.98400000000004</v>
      </c>
      <c r="G14" s="105">
        <v>0.3</v>
      </c>
      <c r="H14" s="88">
        <f>ROUND(H13*G14,2)</f>
        <v>1048.3599999999999</v>
      </c>
    </row>
    <row r="15" spans="1:8" x14ac:dyDescent="0.25">
      <c r="A15" s="71" t="s">
        <v>110</v>
      </c>
      <c r="B15" s="65" t="s">
        <v>111</v>
      </c>
      <c r="C15" s="90" t="s">
        <v>35</v>
      </c>
      <c r="D15" s="86" t="s">
        <v>35</v>
      </c>
      <c r="E15" s="90" t="s">
        <v>35</v>
      </c>
      <c r="F15" s="86" t="s">
        <v>35</v>
      </c>
      <c r="G15" s="92" t="s">
        <v>35</v>
      </c>
      <c r="H15" s="88" t="s">
        <v>35</v>
      </c>
    </row>
    <row r="16" spans="1:8" x14ac:dyDescent="0.25">
      <c r="A16" s="71" t="s">
        <v>112</v>
      </c>
      <c r="B16" s="65" t="s">
        <v>113</v>
      </c>
      <c r="C16" s="90" t="s">
        <v>35</v>
      </c>
      <c r="D16" s="86" t="s">
        <v>35</v>
      </c>
      <c r="E16" s="90" t="s">
        <v>35</v>
      </c>
      <c r="F16" s="86" t="s">
        <v>35</v>
      </c>
      <c r="G16" s="92" t="s">
        <v>35</v>
      </c>
      <c r="H16" s="88" t="s">
        <v>35</v>
      </c>
    </row>
    <row r="17" spans="1:8" x14ac:dyDescent="0.25">
      <c r="A17" s="71" t="s">
        <v>114</v>
      </c>
      <c r="B17" s="65" t="s">
        <v>77</v>
      </c>
      <c r="C17" s="90" t="s">
        <v>35</v>
      </c>
      <c r="D17" s="86" t="s">
        <v>35</v>
      </c>
      <c r="E17" s="90" t="s">
        <v>35</v>
      </c>
      <c r="F17" s="86" t="s">
        <v>35</v>
      </c>
      <c r="G17" s="92" t="s">
        <v>35</v>
      </c>
      <c r="H17" s="88" t="s">
        <v>35</v>
      </c>
    </row>
    <row r="18" spans="1:8" x14ac:dyDescent="0.25">
      <c r="A18" s="71" t="s">
        <v>6</v>
      </c>
      <c r="B18" s="65" t="s">
        <v>115</v>
      </c>
      <c r="C18" s="90" t="s">
        <v>35</v>
      </c>
      <c r="D18" s="86" t="s">
        <v>35</v>
      </c>
      <c r="E18" s="90" t="s">
        <v>35</v>
      </c>
      <c r="F18" s="86" t="s">
        <v>35</v>
      </c>
      <c r="G18" s="92" t="s">
        <v>35</v>
      </c>
      <c r="H18" s="88" t="s">
        <v>35</v>
      </c>
    </row>
    <row r="19" spans="1:8" x14ac:dyDescent="0.25">
      <c r="A19" s="184" t="s">
        <v>71</v>
      </c>
      <c r="B19" s="185"/>
      <c r="C19" s="90" t="s">
        <v>35</v>
      </c>
      <c r="D19" s="87">
        <f>SUM(D13:D18)</f>
        <v>3957.85</v>
      </c>
      <c r="E19" s="90" t="s">
        <v>35</v>
      </c>
      <c r="F19" s="87">
        <f>SUM(F13:F18)</f>
        <v>4294.2640000000001</v>
      </c>
      <c r="G19" s="92" t="s">
        <v>35</v>
      </c>
      <c r="H19" s="89">
        <f>SUM(H13:H18)</f>
        <v>4542.8999999999996</v>
      </c>
    </row>
    <row r="20" spans="1:8" ht="30" customHeight="1" x14ac:dyDescent="0.25">
      <c r="A20" s="186" t="s">
        <v>116</v>
      </c>
      <c r="B20" s="186"/>
      <c r="C20" s="42"/>
      <c r="D20" s="42"/>
      <c r="E20" s="42"/>
      <c r="F20" s="42"/>
      <c r="G20" s="42"/>
      <c r="H20" s="50"/>
    </row>
    <row r="21" spans="1:8" x14ac:dyDescent="0.25">
      <c r="A21" s="187" t="s">
        <v>117</v>
      </c>
      <c r="B21" s="187"/>
      <c r="C21" s="77"/>
      <c r="D21" s="77"/>
      <c r="E21" s="77"/>
      <c r="F21" s="77"/>
      <c r="G21" s="7"/>
      <c r="H21" s="51"/>
    </row>
    <row r="22" spans="1:8" ht="27.75" customHeight="1" x14ac:dyDescent="0.25">
      <c r="A22" s="188" t="s">
        <v>118</v>
      </c>
      <c r="B22" s="188"/>
      <c r="C22" s="77"/>
      <c r="D22" s="77"/>
      <c r="E22" s="77"/>
      <c r="F22" s="77"/>
      <c r="G22" s="7"/>
      <c r="H22" s="51"/>
    </row>
    <row r="23" spans="1:8" x14ac:dyDescent="0.25">
      <c r="A23" s="72" t="s">
        <v>119</v>
      </c>
      <c r="B23" s="72" t="s">
        <v>120</v>
      </c>
      <c r="C23" s="98" t="s">
        <v>105</v>
      </c>
      <c r="D23" s="98" t="s">
        <v>218</v>
      </c>
      <c r="E23" s="98" t="s">
        <v>219</v>
      </c>
      <c r="F23" s="98" t="s">
        <v>218</v>
      </c>
      <c r="G23" s="98" t="s">
        <v>219</v>
      </c>
      <c r="H23" s="98" t="s">
        <v>218</v>
      </c>
    </row>
    <row r="24" spans="1:8" x14ac:dyDescent="0.25">
      <c r="A24" s="71" t="s">
        <v>106</v>
      </c>
      <c r="B24" s="65" t="s">
        <v>121</v>
      </c>
      <c r="C24" s="101">
        <v>9.0899999999999995E-2</v>
      </c>
      <c r="D24" s="94">
        <f>ROUND($C24*D$19,2)</f>
        <v>359.77</v>
      </c>
      <c r="E24" s="101">
        <v>9.0899999999999995E-2</v>
      </c>
      <c r="F24" s="94">
        <f>ROUND(E$24*F$19,2)</f>
        <v>390.35</v>
      </c>
      <c r="G24" s="103">
        <v>9.0899999999999995E-2</v>
      </c>
      <c r="H24" s="96">
        <f>ROUND(G$24*H$19,2)</f>
        <v>412.95</v>
      </c>
    </row>
    <row r="25" spans="1:8" x14ac:dyDescent="0.25">
      <c r="A25" s="71" t="s">
        <v>108</v>
      </c>
      <c r="B25" s="65" t="s">
        <v>122</v>
      </c>
      <c r="C25" s="101">
        <v>0.1212</v>
      </c>
      <c r="D25" s="94">
        <f>ROUND($C25*D$19,2)</f>
        <v>479.69</v>
      </c>
      <c r="E25" s="101">
        <v>0.1212</v>
      </c>
      <c r="F25" s="94">
        <f>ROUND(E$25*F$19,2)</f>
        <v>520.46</v>
      </c>
      <c r="G25" s="103">
        <v>0.1212</v>
      </c>
      <c r="H25" s="96">
        <f>ROUND(G$25*H$19,2)</f>
        <v>550.6</v>
      </c>
    </row>
    <row r="26" spans="1:8" x14ac:dyDescent="0.25">
      <c r="A26" s="184" t="s">
        <v>71</v>
      </c>
      <c r="B26" s="185"/>
      <c r="C26" s="104">
        <f t="shared" ref="C26:H26" si="0">SUM(C24:C25)</f>
        <v>0.21210000000000001</v>
      </c>
      <c r="D26" s="95">
        <f t="shared" si="0"/>
        <v>839.46</v>
      </c>
      <c r="E26" s="104">
        <f t="shared" si="0"/>
        <v>0.21210000000000001</v>
      </c>
      <c r="F26" s="95">
        <f t="shared" si="0"/>
        <v>910.81000000000006</v>
      </c>
      <c r="G26" s="105">
        <f t="shared" si="0"/>
        <v>0.21210000000000001</v>
      </c>
      <c r="H26" s="97">
        <f t="shared" si="0"/>
        <v>963.55</v>
      </c>
    </row>
    <row r="27" spans="1:8" ht="58.5" customHeight="1" x14ac:dyDescent="0.25">
      <c r="A27" s="186" t="s">
        <v>75</v>
      </c>
      <c r="B27" s="197"/>
      <c r="C27" s="77"/>
      <c r="D27" s="77"/>
      <c r="E27" s="77"/>
      <c r="F27" s="77"/>
      <c r="G27" s="7"/>
      <c r="H27" s="51"/>
    </row>
    <row r="28" spans="1:8" ht="43.5" customHeight="1" x14ac:dyDescent="0.25">
      <c r="A28" s="186" t="s">
        <v>88</v>
      </c>
      <c r="B28" s="186"/>
      <c r="C28" s="42"/>
      <c r="D28" s="42"/>
      <c r="E28" s="42"/>
      <c r="F28" s="42"/>
      <c r="G28" s="42"/>
      <c r="H28" s="50"/>
    </row>
    <row r="29" spans="1:8" ht="56.25" customHeight="1" x14ac:dyDescent="0.25">
      <c r="A29" s="186" t="s">
        <v>89</v>
      </c>
      <c r="B29" s="186"/>
      <c r="C29" s="42"/>
      <c r="D29" s="42"/>
      <c r="E29" s="42"/>
      <c r="F29" s="42"/>
      <c r="G29" s="42"/>
      <c r="H29" s="50"/>
    </row>
    <row r="30" spans="1:8" ht="36" customHeight="1" x14ac:dyDescent="0.25">
      <c r="A30" s="188" t="s">
        <v>123</v>
      </c>
      <c r="B30" s="188"/>
      <c r="C30" s="77"/>
      <c r="D30" s="77"/>
      <c r="E30" s="77"/>
      <c r="F30" s="77"/>
      <c r="G30" s="7"/>
      <c r="H30" s="51"/>
    </row>
    <row r="31" spans="1:8" x14ac:dyDescent="0.25">
      <c r="A31" s="66" t="s">
        <v>124</v>
      </c>
      <c r="B31" s="66" t="s">
        <v>125</v>
      </c>
      <c r="C31" s="99" t="s">
        <v>219</v>
      </c>
      <c r="D31" s="99" t="s">
        <v>218</v>
      </c>
      <c r="E31" s="99" t="s">
        <v>219</v>
      </c>
      <c r="F31" s="99" t="s">
        <v>218</v>
      </c>
      <c r="G31" s="99" t="s">
        <v>219</v>
      </c>
      <c r="H31" s="100" t="s">
        <v>218</v>
      </c>
    </row>
    <row r="32" spans="1:8" x14ac:dyDescent="0.25">
      <c r="A32" s="71" t="s">
        <v>106</v>
      </c>
      <c r="B32" s="65" t="s">
        <v>126</v>
      </c>
      <c r="C32" s="101">
        <v>0.2</v>
      </c>
      <c r="D32" s="94">
        <f>ROUND($C32*(D$26+D$19),2)</f>
        <v>959.46</v>
      </c>
      <c r="E32" s="101">
        <v>0.2</v>
      </c>
      <c r="F32" s="94">
        <f>ROUND(E$32*(F$26+F$19),2)</f>
        <v>1041.01</v>
      </c>
      <c r="G32" s="172">
        <v>0.2</v>
      </c>
      <c r="H32" s="96">
        <f>ROUND(G$32*(H$26+H$19),2)</f>
        <v>1101.29</v>
      </c>
    </row>
    <row r="33" spans="1:8" x14ac:dyDescent="0.25">
      <c r="A33" s="71" t="s">
        <v>108</v>
      </c>
      <c r="B33" s="65" t="s">
        <v>127</v>
      </c>
      <c r="C33" s="101">
        <v>2.5000000000000001E-2</v>
      </c>
      <c r="D33" s="94">
        <f t="shared" ref="D33:D39" si="1">ROUND($C33*(D$26+D$19),2)</f>
        <v>119.93</v>
      </c>
      <c r="E33" s="101">
        <v>2.5000000000000001E-2</v>
      </c>
      <c r="F33" s="94">
        <f>ROUND(E$33*(F$26+F$19),2)</f>
        <v>130.13</v>
      </c>
      <c r="G33" s="172">
        <v>2.5000000000000001E-2</v>
      </c>
      <c r="H33" s="96">
        <f>ROUND(G$33*(H$26+H$19),2)</f>
        <v>137.66</v>
      </c>
    </row>
    <row r="34" spans="1:8" x14ac:dyDescent="0.25">
      <c r="A34" s="71" t="s">
        <v>110</v>
      </c>
      <c r="B34" s="65" t="s">
        <v>128</v>
      </c>
      <c r="C34" s="101">
        <f>3%*1</f>
        <v>0.03</v>
      </c>
      <c r="D34" s="94">
        <f t="shared" si="1"/>
        <v>143.91999999999999</v>
      </c>
      <c r="E34" s="101">
        <f>3%*1.7299</f>
        <v>5.1896999999999999E-2</v>
      </c>
      <c r="F34" s="94">
        <f>ROUND(E$34*(F$26+F$19),2)</f>
        <v>270.13</v>
      </c>
      <c r="G34" s="173">
        <f>3%*0.5</f>
        <v>1.4999999999999999E-2</v>
      </c>
      <c r="H34" s="96">
        <f>ROUND(G$34*(H$26+H$19),2)</f>
        <v>82.6</v>
      </c>
    </row>
    <row r="35" spans="1:8" x14ac:dyDescent="0.25">
      <c r="A35" s="71" t="s">
        <v>112</v>
      </c>
      <c r="B35" s="65" t="s">
        <v>129</v>
      </c>
      <c r="C35" s="101">
        <v>1.4999999999999999E-2</v>
      </c>
      <c r="D35" s="94">
        <f t="shared" si="1"/>
        <v>71.959999999999994</v>
      </c>
      <c r="E35" s="101">
        <v>1.4999999999999999E-2</v>
      </c>
      <c r="F35" s="94">
        <f>ROUND(E$35*(F$26+F$19),2)</f>
        <v>78.08</v>
      </c>
      <c r="G35" s="172">
        <v>1.4999999999999999E-2</v>
      </c>
      <c r="H35" s="96">
        <f>ROUND(G$35*(H$26+H$19),2)</f>
        <v>82.6</v>
      </c>
    </row>
    <row r="36" spans="1:8" x14ac:dyDescent="0.25">
      <c r="A36" s="71" t="s">
        <v>114</v>
      </c>
      <c r="B36" s="65" t="s">
        <v>130</v>
      </c>
      <c r="C36" s="101">
        <v>0.01</v>
      </c>
      <c r="D36" s="94">
        <f t="shared" si="1"/>
        <v>47.97</v>
      </c>
      <c r="E36" s="101">
        <v>0.01</v>
      </c>
      <c r="F36" s="94">
        <f>ROUND(E$36*(F$26+F$19),2)</f>
        <v>52.05</v>
      </c>
      <c r="G36" s="172">
        <v>0.01</v>
      </c>
      <c r="H36" s="96">
        <f>ROUND(G$36*(H$26+H$19),2)</f>
        <v>55.06</v>
      </c>
    </row>
    <row r="37" spans="1:8" x14ac:dyDescent="0.25">
      <c r="A37" s="71" t="s">
        <v>6</v>
      </c>
      <c r="B37" s="65" t="s">
        <v>131</v>
      </c>
      <c r="C37" s="101">
        <v>6.0000000000000001E-3</v>
      </c>
      <c r="D37" s="94">
        <f t="shared" si="1"/>
        <v>28.78</v>
      </c>
      <c r="E37" s="101">
        <v>6.0000000000000001E-3</v>
      </c>
      <c r="F37" s="94">
        <f>ROUND(E$37*(F$26+F$19),2)</f>
        <v>31.23</v>
      </c>
      <c r="G37" s="172">
        <v>6.0000000000000001E-3</v>
      </c>
      <c r="H37" s="96">
        <f>ROUND(G$37*(H$26+H$19),2)</f>
        <v>33.04</v>
      </c>
    </row>
    <row r="38" spans="1:8" x14ac:dyDescent="0.25">
      <c r="A38" s="71" t="s">
        <v>132</v>
      </c>
      <c r="B38" s="65" t="s">
        <v>133</v>
      </c>
      <c r="C38" s="101">
        <v>2E-3</v>
      </c>
      <c r="D38" s="94">
        <f t="shared" si="1"/>
        <v>9.59</v>
      </c>
      <c r="E38" s="101">
        <v>2E-3</v>
      </c>
      <c r="F38" s="94">
        <f>ROUND(E$38*(F$26+F$19),2)</f>
        <v>10.41</v>
      </c>
      <c r="G38" s="172">
        <v>2E-3</v>
      </c>
      <c r="H38" s="96">
        <f>ROUND(G$38*(H$26+H$19),2)</f>
        <v>11.01</v>
      </c>
    </row>
    <row r="39" spans="1:8" x14ac:dyDescent="0.25">
      <c r="A39" s="71" t="s">
        <v>134</v>
      </c>
      <c r="B39" s="65" t="s">
        <v>135</v>
      </c>
      <c r="C39" s="101">
        <v>0.08</v>
      </c>
      <c r="D39" s="94">
        <f t="shared" si="1"/>
        <v>383.78</v>
      </c>
      <c r="E39" s="101">
        <v>0.08</v>
      </c>
      <c r="F39" s="94">
        <f>ROUND(E$39*(F$26+F$19),2)</f>
        <v>416.41</v>
      </c>
      <c r="G39" s="172">
        <v>0.08</v>
      </c>
      <c r="H39" s="96">
        <f>ROUND(G$39*(H$26+H$19),2)</f>
        <v>440.52</v>
      </c>
    </row>
    <row r="40" spans="1:8" x14ac:dyDescent="0.25">
      <c r="A40" s="184" t="s">
        <v>71</v>
      </c>
      <c r="B40" s="185"/>
      <c r="C40" s="102">
        <f t="shared" ref="C40:H40" si="2">SUM(C32:C39)</f>
        <v>0.36800000000000005</v>
      </c>
      <c r="D40" s="95">
        <f t="shared" si="2"/>
        <v>1765.39</v>
      </c>
      <c r="E40" s="102">
        <f t="shared" si="2"/>
        <v>0.38989700000000005</v>
      </c>
      <c r="F40" s="95">
        <f t="shared" si="2"/>
        <v>2029.45</v>
      </c>
      <c r="G40" s="174">
        <f t="shared" si="2"/>
        <v>0.35300000000000004</v>
      </c>
      <c r="H40" s="97">
        <f t="shared" si="2"/>
        <v>1943.7799999999997</v>
      </c>
    </row>
    <row r="41" spans="1:8" ht="31.5" customHeight="1" x14ac:dyDescent="0.25">
      <c r="A41" s="186" t="s">
        <v>136</v>
      </c>
      <c r="B41" s="186"/>
      <c r="C41" s="77"/>
      <c r="D41" s="77"/>
      <c r="E41" s="77"/>
      <c r="F41" s="77"/>
      <c r="G41" s="7"/>
      <c r="H41" s="51"/>
    </row>
    <row r="42" spans="1:8" ht="31.5" customHeight="1" x14ac:dyDescent="0.25">
      <c r="A42" s="186" t="s">
        <v>137</v>
      </c>
      <c r="B42" s="186"/>
      <c r="C42" s="77"/>
      <c r="D42" s="77"/>
      <c r="E42" s="77"/>
      <c r="F42" s="77"/>
      <c r="G42" s="7"/>
      <c r="H42" s="51"/>
    </row>
    <row r="43" spans="1:8" ht="41.25" customHeight="1" x14ac:dyDescent="0.25">
      <c r="A43" s="186" t="s">
        <v>138</v>
      </c>
      <c r="B43" s="186"/>
      <c r="C43" s="77"/>
      <c r="D43" s="77"/>
      <c r="E43" s="77"/>
      <c r="F43" s="77"/>
      <c r="G43" s="7"/>
      <c r="H43" s="51"/>
    </row>
    <row r="44" spans="1:8" ht="18.75" customHeight="1" x14ac:dyDescent="0.25">
      <c r="A44" s="186" t="s">
        <v>139</v>
      </c>
      <c r="B44" s="186"/>
      <c r="C44" s="77"/>
      <c r="D44" s="77"/>
      <c r="E44" s="77"/>
      <c r="F44" s="77"/>
      <c r="G44" s="7"/>
      <c r="H44" s="51"/>
    </row>
    <row r="45" spans="1:8" ht="24.75" customHeight="1" x14ac:dyDescent="0.25">
      <c r="A45" s="186" t="s">
        <v>140</v>
      </c>
      <c r="B45" s="186"/>
      <c r="C45" s="77"/>
      <c r="D45" s="77"/>
      <c r="E45" s="77"/>
      <c r="F45" s="77"/>
      <c r="G45" s="7"/>
      <c r="H45" s="51"/>
    </row>
    <row r="46" spans="1:8" x14ac:dyDescent="0.25">
      <c r="A46" s="188" t="s">
        <v>141</v>
      </c>
      <c r="B46" s="188"/>
      <c r="C46" s="77"/>
      <c r="D46" s="77"/>
      <c r="E46" s="77"/>
      <c r="F46" s="77"/>
      <c r="G46" s="7"/>
      <c r="H46" s="51"/>
    </row>
    <row r="47" spans="1:8" x14ac:dyDescent="0.25">
      <c r="A47" s="72" t="s">
        <v>142</v>
      </c>
      <c r="B47" s="72" t="s">
        <v>143</v>
      </c>
      <c r="C47" s="98" t="s">
        <v>144</v>
      </c>
      <c r="D47" s="98" t="s">
        <v>218</v>
      </c>
      <c r="E47" s="98" t="s">
        <v>144</v>
      </c>
      <c r="F47" s="98" t="s">
        <v>218</v>
      </c>
      <c r="G47" s="98" t="s">
        <v>34</v>
      </c>
      <c r="H47" s="98" t="s">
        <v>218</v>
      </c>
    </row>
    <row r="48" spans="1:8" x14ac:dyDescent="0.25">
      <c r="A48" s="71" t="s">
        <v>106</v>
      </c>
      <c r="B48" s="65" t="s">
        <v>32</v>
      </c>
      <c r="C48" s="106">
        <v>13</v>
      </c>
      <c r="D48" s="110">
        <f>ROUND(($C48*2*5.5)-(D13*0.06),2)</f>
        <v>-39.67</v>
      </c>
      <c r="E48" s="106">
        <v>13</v>
      </c>
      <c r="F48" s="110">
        <f>ROUND((E$48*2*5.5)-(F13*0.06),2)</f>
        <v>-55.2</v>
      </c>
      <c r="G48" s="108">
        <v>13</v>
      </c>
      <c r="H48" s="112">
        <f>ROUND((G$48*2*5.5)-(H13*0.06),2)</f>
        <v>-66.67</v>
      </c>
    </row>
    <row r="49" spans="1:8" x14ac:dyDescent="0.25">
      <c r="A49" s="71" t="s">
        <v>108</v>
      </c>
      <c r="B49" s="65" t="s">
        <v>145</v>
      </c>
      <c r="C49" s="106">
        <v>13</v>
      </c>
      <c r="D49" s="94">
        <f>$C49*38</f>
        <v>494</v>
      </c>
      <c r="E49" s="106">
        <v>13</v>
      </c>
      <c r="F49" s="94">
        <f>E$49*41.23</f>
        <v>535.99</v>
      </c>
      <c r="G49" s="108">
        <v>13</v>
      </c>
      <c r="H49" s="96">
        <f>G$49*43.62</f>
        <v>567.05999999999995</v>
      </c>
    </row>
    <row r="50" spans="1:8" x14ac:dyDescent="0.25">
      <c r="A50" s="71" t="s">
        <v>110</v>
      </c>
      <c r="B50" s="65" t="s">
        <v>78</v>
      </c>
      <c r="C50" s="107" t="s">
        <v>35</v>
      </c>
      <c r="D50" s="94">
        <v>153.77000000000001</v>
      </c>
      <c r="E50" s="107" t="s">
        <v>35</v>
      </c>
      <c r="F50" s="94">
        <v>169.67</v>
      </c>
      <c r="G50" s="109" t="s">
        <v>35</v>
      </c>
      <c r="H50" s="96">
        <v>175.76</v>
      </c>
    </row>
    <row r="51" spans="1:8" x14ac:dyDescent="0.25">
      <c r="A51" s="71" t="s">
        <v>112</v>
      </c>
      <c r="B51" s="65" t="s">
        <v>146</v>
      </c>
      <c r="C51" s="107" t="s">
        <v>35</v>
      </c>
      <c r="D51" s="94">
        <v>10.63</v>
      </c>
      <c r="E51" s="107" t="s">
        <v>35</v>
      </c>
      <c r="F51" s="94">
        <v>11.53</v>
      </c>
      <c r="G51" s="109" t="s">
        <v>35</v>
      </c>
      <c r="H51" s="96">
        <v>12.2</v>
      </c>
    </row>
    <row r="52" spans="1:8" x14ac:dyDescent="0.25">
      <c r="A52" s="71" t="s">
        <v>6</v>
      </c>
      <c r="B52" s="65" t="s">
        <v>33</v>
      </c>
      <c r="C52" s="107" t="s">
        <v>35</v>
      </c>
      <c r="D52" s="94">
        <v>9.25</v>
      </c>
      <c r="E52" s="107" t="s">
        <v>35</v>
      </c>
      <c r="F52" s="94">
        <v>10.039999999999999</v>
      </c>
      <c r="G52" s="109" t="s">
        <v>35</v>
      </c>
      <c r="H52" s="96">
        <v>12.14</v>
      </c>
    </row>
    <row r="53" spans="1:8" x14ac:dyDescent="0.25">
      <c r="A53" s="191" t="s">
        <v>147</v>
      </c>
      <c r="B53" s="192"/>
      <c r="C53" s="90"/>
      <c r="D53" s="111">
        <f>SUM(D49:D52)</f>
        <v>667.65</v>
      </c>
      <c r="E53" s="90"/>
      <c r="F53" s="111">
        <f>SUM(F49:F52)</f>
        <v>727.2299999999999</v>
      </c>
      <c r="G53" s="92"/>
      <c r="H53" s="113">
        <f>SUM(H49:H52)</f>
        <v>767.16</v>
      </c>
    </row>
    <row r="54" spans="1:8" ht="27" customHeight="1" x14ac:dyDescent="0.25">
      <c r="A54" s="186" t="s">
        <v>148</v>
      </c>
      <c r="B54" s="186"/>
      <c r="C54" s="77"/>
      <c r="D54" s="77"/>
      <c r="E54" s="77"/>
      <c r="F54" s="77"/>
      <c r="G54" s="7"/>
      <c r="H54" s="51"/>
    </row>
    <row r="55" spans="1:8" ht="24.75" customHeight="1" x14ac:dyDescent="0.25">
      <c r="A55" s="186" t="s">
        <v>149</v>
      </c>
      <c r="B55" s="186"/>
      <c r="C55" s="77"/>
      <c r="D55" s="77"/>
      <c r="E55" s="77"/>
      <c r="F55" s="77"/>
      <c r="G55" s="7"/>
      <c r="H55" s="51"/>
    </row>
    <row r="56" spans="1:8" ht="24.75" customHeight="1" x14ac:dyDescent="0.25">
      <c r="A56" s="187" t="s">
        <v>150</v>
      </c>
      <c r="B56" s="187"/>
      <c r="C56" s="77"/>
      <c r="D56" s="77"/>
      <c r="E56" s="77"/>
      <c r="F56" s="77"/>
      <c r="G56" s="7"/>
      <c r="H56" s="51"/>
    </row>
    <row r="57" spans="1:8" x14ac:dyDescent="0.25">
      <c r="A57" s="76">
        <v>2</v>
      </c>
      <c r="B57" s="66" t="s">
        <v>151</v>
      </c>
      <c r="C57" s="73"/>
      <c r="D57" s="99" t="s">
        <v>218</v>
      </c>
      <c r="E57" s="90"/>
      <c r="F57" s="99" t="s">
        <v>218</v>
      </c>
      <c r="G57" s="92"/>
      <c r="H57" s="100" t="s">
        <v>218</v>
      </c>
    </row>
    <row r="58" spans="1:8" x14ac:dyDescent="0.25">
      <c r="A58" s="71" t="s">
        <v>119</v>
      </c>
      <c r="B58" s="65" t="s">
        <v>120</v>
      </c>
      <c r="C58" s="73"/>
      <c r="D58" s="94">
        <f>D26</f>
        <v>839.46</v>
      </c>
      <c r="E58" s="73"/>
      <c r="F58" s="94">
        <f>F26</f>
        <v>910.81000000000006</v>
      </c>
      <c r="G58" s="67"/>
      <c r="H58" s="96">
        <f>H26</f>
        <v>963.55</v>
      </c>
    </row>
    <row r="59" spans="1:8" x14ac:dyDescent="0.25">
      <c r="A59" s="71" t="s">
        <v>124</v>
      </c>
      <c r="B59" s="65" t="s">
        <v>125</v>
      </c>
      <c r="C59" s="73"/>
      <c r="D59" s="94">
        <f>D40</f>
        <v>1765.39</v>
      </c>
      <c r="E59" s="73"/>
      <c r="F59" s="94">
        <f>F40</f>
        <v>2029.45</v>
      </c>
      <c r="G59" s="67"/>
      <c r="H59" s="96">
        <f>H40</f>
        <v>1943.7799999999997</v>
      </c>
    </row>
    <row r="60" spans="1:8" x14ac:dyDescent="0.25">
      <c r="A60" s="71" t="s">
        <v>142</v>
      </c>
      <c r="B60" s="65" t="s">
        <v>143</v>
      </c>
      <c r="C60" s="73"/>
      <c r="D60" s="94">
        <f>D53</f>
        <v>667.65</v>
      </c>
      <c r="E60" s="73"/>
      <c r="F60" s="94">
        <f>F53</f>
        <v>727.2299999999999</v>
      </c>
      <c r="G60" s="67"/>
      <c r="H60" s="96">
        <f>H53</f>
        <v>767.16</v>
      </c>
    </row>
    <row r="61" spans="1:8" x14ac:dyDescent="0.25">
      <c r="A61" s="184" t="s">
        <v>71</v>
      </c>
      <c r="B61" s="185"/>
      <c r="C61" s="73"/>
      <c r="D61" s="95">
        <f>SUM(D58:D60)</f>
        <v>3272.5000000000005</v>
      </c>
      <c r="E61" s="73"/>
      <c r="F61" s="95">
        <f>SUM(F58:F60)</f>
        <v>3667.4900000000002</v>
      </c>
      <c r="G61" s="67"/>
      <c r="H61" s="97">
        <f>SUM(H58:H60)</f>
        <v>3674.49</v>
      </c>
    </row>
    <row r="62" spans="1:8" x14ac:dyDescent="0.25">
      <c r="A62" s="187" t="s">
        <v>152</v>
      </c>
      <c r="B62" s="187"/>
      <c r="C62" s="77"/>
      <c r="D62" s="77"/>
      <c r="E62" s="77"/>
      <c r="F62" s="77"/>
      <c r="G62" s="7"/>
      <c r="H62" s="51"/>
    </row>
    <row r="63" spans="1:8" x14ac:dyDescent="0.25">
      <c r="A63" s="76">
        <v>3</v>
      </c>
      <c r="B63" s="66" t="s">
        <v>153</v>
      </c>
      <c r="C63" s="99" t="s">
        <v>219</v>
      </c>
      <c r="D63" s="99" t="s">
        <v>218</v>
      </c>
      <c r="E63" s="99" t="s">
        <v>219</v>
      </c>
      <c r="F63" s="99" t="s">
        <v>218</v>
      </c>
      <c r="G63" s="99" t="s">
        <v>219</v>
      </c>
      <c r="H63" s="99" t="s">
        <v>218</v>
      </c>
    </row>
    <row r="64" spans="1:8" x14ac:dyDescent="0.25">
      <c r="A64" s="71" t="s">
        <v>106</v>
      </c>
      <c r="B64" s="65" t="s">
        <v>154</v>
      </c>
      <c r="C64" s="115">
        <f>((0.002*(1/12)))</f>
        <v>1.6666666666666666E-4</v>
      </c>
      <c r="D64" s="94">
        <f>ROUND($C64*D$19,2)</f>
        <v>0.66</v>
      </c>
      <c r="E64" s="115">
        <v>1.6666666666666666E-4</v>
      </c>
      <c r="F64" s="94">
        <f>ROUND(E$64*F$19,2)</f>
        <v>0.72</v>
      </c>
      <c r="G64" s="117">
        <v>1.6666666666666666E-4</v>
      </c>
      <c r="H64" s="96">
        <f>ROUND(G$64*H$19,2)</f>
        <v>0.76</v>
      </c>
    </row>
    <row r="65" spans="1:8" x14ac:dyDescent="0.25">
      <c r="A65" s="71" t="s">
        <v>108</v>
      </c>
      <c r="B65" s="65" t="s">
        <v>155</v>
      </c>
      <c r="C65" s="115">
        <f>C39*C64</f>
        <v>1.3333333333333333E-5</v>
      </c>
      <c r="D65" s="94">
        <f>ROUND(D$64*$C39,2)</f>
        <v>0.05</v>
      </c>
      <c r="E65" s="115">
        <v>1.3333333333333333E-5</v>
      </c>
      <c r="F65" s="94">
        <f>ROUND(F$64*E$39,2)</f>
        <v>0.06</v>
      </c>
      <c r="G65" s="117">
        <v>1.3333333333333333E-5</v>
      </c>
      <c r="H65" s="94">
        <f>ROUND(H$64*G$39,2)</f>
        <v>0.06</v>
      </c>
    </row>
    <row r="66" spans="1:8" x14ac:dyDescent="0.25">
      <c r="A66" s="71" t="s">
        <v>110</v>
      </c>
      <c r="B66" s="65" t="s">
        <v>156</v>
      </c>
      <c r="C66" s="115">
        <v>9.9999999999999995E-7</v>
      </c>
      <c r="D66" s="94">
        <f>$C66*D$64</f>
        <v>6.6000000000000003E-7</v>
      </c>
      <c r="E66" s="115">
        <v>9.9999999999999995E-7</v>
      </c>
      <c r="F66" s="94">
        <f>E$66*F$64</f>
        <v>7.1999999999999999E-7</v>
      </c>
      <c r="G66" s="117">
        <v>9.9999999999999995E-7</v>
      </c>
      <c r="H66" s="94">
        <f>G$66*H$64</f>
        <v>7.5999999999999992E-7</v>
      </c>
    </row>
    <row r="67" spans="1:8" x14ac:dyDescent="0.25">
      <c r="A67" s="71" t="s">
        <v>112</v>
      </c>
      <c r="B67" s="65" t="s">
        <v>157</v>
      </c>
      <c r="C67" s="115">
        <f>(((0.1/30)*7)/12)</f>
        <v>1.9444444444444446E-3</v>
      </c>
      <c r="D67" s="94">
        <f>ROUND($C67*D$19,2)</f>
        <v>7.7</v>
      </c>
      <c r="E67" s="115">
        <v>1.9444444444444446E-3</v>
      </c>
      <c r="F67" s="94">
        <f>ROUND(E$67*F$19,2)</f>
        <v>8.35</v>
      </c>
      <c r="G67" s="117">
        <v>1.9444444444444446E-3</v>
      </c>
      <c r="H67" s="96">
        <f>ROUND(G$67*H$19,2)</f>
        <v>8.83</v>
      </c>
    </row>
    <row r="68" spans="1:8" ht="25.5" x14ac:dyDescent="0.25">
      <c r="A68" s="71" t="s">
        <v>114</v>
      </c>
      <c r="B68" s="65" t="s">
        <v>158</v>
      </c>
      <c r="C68" s="115">
        <f>C67*C40</f>
        <v>7.1555555555555576E-4</v>
      </c>
      <c r="D68" s="94">
        <f>ROUND(D$67*$C40,2)</f>
        <v>2.83</v>
      </c>
      <c r="E68" s="115">
        <v>7.1555555555555576E-4</v>
      </c>
      <c r="F68" s="94">
        <f>ROUND(F$67*E$40,2)</f>
        <v>3.26</v>
      </c>
      <c r="G68" s="115">
        <v>7.1555555555555576E-4</v>
      </c>
      <c r="H68" s="96">
        <f>ROUND(H$67*G$40,2)</f>
        <v>3.12</v>
      </c>
    </row>
    <row r="69" spans="1:8" x14ac:dyDescent="0.25">
      <c r="A69" s="71" t="s">
        <v>6</v>
      </c>
      <c r="B69" s="65" t="s">
        <v>159</v>
      </c>
      <c r="C69" s="115">
        <v>1E-4</v>
      </c>
      <c r="D69" s="94">
        <f>ROUND(D$67*$C69,2)</f>
        <v>0</v>
      </c>
      <c r="E69" s="115">
        <v>1E-4</v>
      </c>
      <c r="F69" s="94">
        <f>ROUND(F$67*E$69,2)</f>
        <v>0</v>
      </c>
      <c r="G69" s="117">
        <v>1E-4</v>
      </c>
      <c r="H69" s="94">
        <f>ROUND(H$67*G$69,2)</f>
        <v>0</v>
      </c>
    </row>
    <row r="70" spans="1:8" x14ac:dyDescent="0.25">
      <c r="A70" s="71" t="s">
        <v>132</v>
      </c>
      <c r="B70" s="65" t="s">
        <v>160</v>
      </c>
      <c r="C70" s="115">
        <v>3.49E-2</v>
      </c>
      <c r="D70" s="94">
        <f>ROUND($C70*D$19,2)</f>
        <v>138.13</v>
      </c>
      <c r="E70" s="115">
        <v>3.49E-2</v>
      </c>
      <c r="F70" s="94">
        <f>ROUND(E$70*F$19,2)</f>
        <v>149.87</v>
      </c>
      <c r="G70" s="117">
        <v>3.49E-2</v>
      </c>
      <c r="H70" s="96">
        <f>ROUND(G$70*H$19,2)</f>
        <v>158.55000000000001</v>
      </c>
    </row>
    <row r="71" spans="1:8" x14ac:dyDescent="0.25">
      <c r="A71" s="66"/>
      <c r="B71" s="66" t="s">
        <v>71</v>
      </c>
      <c r="C71" s="102">
        <f t="shared" ref="C71:H71" si="3">SUM(C64:C70)</f>
        <v>3.7841E-2</v>
      </c>
      <c r="D71" s="95">
        <f t="shared" si="3"/>
        <v>149.37000065999999</v>
      </c>
      <c r="E71" s="102">
        <f t="shared" si="3"/>
        <v>3.7841E-2</v>
      </c>
      <c r="F71" s="95">
        <f t="shared" si="3"/>
        <v>162.26000071999999</v>
      </c>
      <c r="G71" s="102">
        <f t="shared" si="3"/>
        <v>3.7841E-2</v>
      </c>
      <c r="H71" s="97">
        <f t="shared" si="3"/>
        <v>171.32000076000003</v>
      </c>
    </row>
    <row r="72" spans="1:8" ht="27" customHeight="1" x14ac:dyDescent="0.25">
      <c r="A72" s="186" t="s">
        <v>161</v>
      </c>
      <c r="B72" s="186"/>
      <c r="C72" s="77"/>
      <c r="D72" s="77"/>
      <c r="E72" s="77"/>
      <c r="F72" s="77"/>
      <c r="G72" s="7"/>
      <c r="H72" s="51"/>
    </row>
    <row r="73" spans="1:8" ht="25.5" customHeight="1" x14ac:dyDescent="0.25">
      <c r="A73" s="186" t="s">
        <v>162</v>
      </c>
      <c r="B73" s="186"/>
      <c r="C73" s="77"/>
      <c r="D73" s="77"/>
      <c r="E73" s="77"/>
      <c r="F73" s="77"/>
      <c r="G73" s="7"/>
      <c r="H73" s="51"/>
    </row>
    <row r="74" spans="1:8" x14ac:dyDescent="0.25">
      <c r="A74" s="187" t="s">
        <v>163</v>
      </c>
      <c r="B74" s="187"/>
      <c r="C74" s="77"/>
      <c r="D74" s="77"/>
      <c r="E74" s="77"/>
      <c r="F74" s="77"/>
      <c r="G74" s="7"/>
      <c r="H74" s="51"/>
    </row>
    <row r="75" spans="1:8" ht="53.25" customHeight="1" x14ac:dyDescent="0.25">
      <c r="A75" s="186" t="s">
        <v>79</v>
      </c>
      <c r="B75" s="186"/>
      <c r="C75" s="77"/>
      <c r="D75" s="77"/>
      <c r="E75" s="77"/>
      <c r="F75" s="77"/>
      <c r="G75" s="7"/>
      <c r="H75" s="51"/>
    </row>
    <row r="76" spans="1:8" x14ac:dyDescent="0.25">
      <c r="A76" s="188" t="s">
        <v>164</v>
      </c>
      <c r="B76" s="188"/>
      <c r="C76" s="77"/>
      <c r="D76" s="77"/>
      <c r="E76" s="77"/>
      <c r="F76" s="77"/>
      <c r="G76" s="7"/>
      <c r="H76" s="51"/>
    </row>
    <row r="77" spans="1:8" x14ac:dyDescent="0.25">
      <c r="A77" s="72" t="s">
        <v>165</v>
      </c>
      <c r="B77" s="72" t="s">
        <v>166</v>
      </c>
      <c r="C77" s="72" t="s">
        <v>219</v>
      </c>
      <c r="D77" s="72" t="s">
        <v>218</v>
      </c>
      <c r="E77" s="72" t="s">
        <v>219</v>
      </c>
      <c r="F77" s="72" t="s">
        <v>218</v>
      </c>
      <c r="G77" s="72" t="s">
        <v>219</v>
      </c>
      <c r="H77" s="72" t="s">
        <v>218</v>
      </c>
    </row>
    <row r="78" spans="1:8" x14ac:dyDescent="0.25">
      <c r="A78" s="71" t="s">
        <v>106</v>
      </c>
      <c r="B78" s="65" t="s">
        <v>167</v>
      </c>
      <c r="C78" s="114">
        <v>7.6E-3</v>
      </c>
      <c r="D78" s="94">
        <f>ROUND($C78*D$19,2)</f>
        <v>30.08</v>
      </c>
      <c r="E78" s="114">
        <v>7.6E-3</v>
      </c>
      <c r="F78" s="94">
        <f>ROUND(E$78*F$19,2)</f>
        <v>32.64</v>
      </c>
      <c r="G78" s="116">
        <v>7.6E-3</v>
      </c>
      <c r="H78" s="96">
        <f>ROUND(G$78*H$19,2)</f>
        <v>34.53</v>
      </c>
    </row>
    <row r="79" spans="1:8" x14ac:dyDescent="0.25">
      <c r="A79" s="71" t="s">
        <v>108</v>
      </c>
      <c r="B79" s="65" t="s">
        <v>168</v>
      </c>
      <c r="C79" s="114">
        <f>((1/30)*0.015)/12</f>
        <v>4.1666666666666665E-5</v>
      </c>
      <c r="D79" s="94">
        <f>ROUND($C79*D$19,2)</f>
        <v>0.16</v>
      </c>
      <c r="E79" s="114">
        <f>((1/30)*0.015)/12</f>
        <v>4.1666666666666665E-5</v>
      </c>
      <c r="F79" s="94">
        <f>ROUND(E$79*F$19,2)</f>
        <v>0.18</v>
      </c>
      <c r="G79" s="116">
        <f>((1/30)*0.015)/12</f>
        <v>4.1666666666666665E-5</v>
      </c>
      <c r="H79" s="96">
        <f>ROUND(G$79*H$19,2)</f>
        <v>0.19</v>
      </c>
    </row>
    <row r="80" spans="1:8" x14ac:dyDescent="0.25">
      <c r="A80" s="71" t="s">
        <v>110</v>
      </c>
      <c r="B80" s="65" t="s">
        <v>169</v>
      </c>
      <c r="C80" s="114">
        <f>(((5/30)/12)*0.01)</f>
        <v>1.3888888888888889E-4</v>
      </c>
      <c r="D80" s="94">
        <f t="shared" ref="D80:D83" si="4">ROUND($C80*D$19,2)</f>
        <v>0.55000000000000004</v>
      </c>
      <c r="E80" s="114">
        <f>(((5/30)/12)*0.01)</f>
        <v>1.3888888888888889E-4</v>
      </c>
      <c r="F80" s="94">
        <f>ROUND(E$80*F$19,2)</f>
        <v>0.6</v>
      </c>
      <c r="G80" s="116">
        <f>(((5/30)/12)*0.01)</f>
        <v>1.3888888888888889E-4</v>
      </c>
      <c r="H80" s="96">
        <f>ROUND(G$80*H$19,2)</f>
        <v>0.63</v>
      </c>
    </row>
    <row r="81" spans="1:8" x14ac:dyDescent="0.25">
      <c r="A81" s="71" t="s">
        <v>112</v>
      </c>
      <c r="B81" s="65" t="s">
        <v>170</v>
      </c>
      <c r="C81" s="114">
        <f>(((1/30)/12)*0.03)</f>
        <v>8.3333333333333331E-5</v>
      </c>
      <c r="D81" s="94">
        <f t="shared" si="4"/>
        <v>0.33</v>
      </c>
      <c r="E81" s="114">
        <f>(((1/30)/12)*0.03)</f>
        <v>8.3333333333333331E-5</v>
      </c>
      <c r="F81" s="94">
        <f>ROUND(E$81*F$19,2)</f>
        <v>0.36</v>
      </c>
      <c r="G81" s="116">
        <f>(((1/30)/12)*0.03)</f>
        <v>8.3333333333333331E-5</v>
      </c>
      <c r="H81" s="96">
        <f>ROUND(G$81*H$19,2)</f>
        <v>0.38</v>
      </c>
    </row>
    <row r="82" spans="1:8" x14ac:dyDescent="0.25">
      <c r="A82" s="71" t="s">
        <v>114</v>
      </c>
      <c r="B82" s="65" t="s">
        <v>171</v>
      </c>
      <c r="C82" s="114">
        <f>((((1/12)*4)+((1.33/12)*4))/12)*0.0025</f>
        <v>1.6180555555555555E-4</v>
      </c>
      <c r="D82" s="94">
        <f t="shared" si="4"/>
        <v>0.64</v>
      </c>
      <c r="E82" s="114">
        <f>((((1/12)*4)+((1.33/12)*4))/12)*0.0025</f>
        <v>1.6180555555555555E-4</v>
      </c>
      <c r="F82" s="94">
        <f>ROUND(E$82*F$19,2)</f>
        <v>0.69</v>
      </c>
      <c r="G82" s="116">
        <f>((((1/12)*4)+((1.33/12)*4))/12)*0.0025</f>
        <v>1.6180555555555555E-4</v>
      </c>
      <c r="H82" s="96">
        <f>ROUND(G$82*H$19,2)</f>
        <v>0.74</v>
      </c>
    </row>
    <row r="83" spans="1:8" x14ac:dyDescent="0.25">
      <c r="A83" s="71" t="s">
        <v>6</v>
      </c>
      <c r="B83" s="65" t="s">
        <v>172</v>
      </c>
      <c r="C83" s="114">
        <f>((1/30)*0.015)/12</f>
        <v>4.1666666666666665E-5</v>
      </c>
      <c r="D83" s="94">
        <f t="shared" si="4"/>
        <v>0.16</v>
      </c>
      <c r="E83" s="114">
        <f>((1/30)*0.015)/12</f>
        <v>4.1666666666666665E-5</v>
      </c>
      <c r="F83" s="94">
        <f>ROUND(E$83*F$19,2)</f>
        <v>0.18</v>
      </c>
      <c r="G83" s="116">
        <f>((1/30)*0.015)/12</f>
        <v>4.1666666666666665E-5</v>
      </c>
      <c r="H83" s="96">
        <f>ROUND(G$83*H$19,2)</f>
        <v>0.19</v>
      </c>
    </row>
    <row r="84" spans="1:8" x14ac:dyDescent="0.25">
      <c r="A84" s="184" t="s">
        <v>71</v>
      </c>
      <c r="B84" s="185"/>
      <c r="C84" s="102">
        <f t="shared" ref="C84:H84" si="5">SUM(C78:C83)</f>
        <v>8.067361111111112E-3</v>
      </c>
      <c r="D84" s="95">
        <f t="shared" si="5"/>
        <v>31.919999999999998</v>
      </c>
      <c r="E84" s="102">
        <f t="shared" si="5"/>
        <v>8.067361111111112E-3</v>
      </c>
      <c r="F84" s="95">
        <f t="shared" si="5"/>
        <v>34.65</v>
      </c>
      <c r="G84" s="118">
        <f t="shared" si="5"/>
        <v>8.067361111111112E-3</v>
      </c>
      <c r="H84" s="97">
        <f t="shared" si="5"/>
        <v>36.660000000000004</v>
      </c>
    </row>
    <row r="85" spans="1:8" ht="30" customHeight="1" x14ac:dyDescent="0.25">
      <c r="A85" s="186" t="s">
        <v>173</v>
      </c>
      <c r="B85" s="186"/>
      <c r="C85" s="77"/>
      <c r="D85" s="77"/>
      <c r="E85" s="77"/>
      <c r="F85" s="77"/>
      <c r="G85" s="7"/>
      <c r="H85" s="51"/>
    </row>
    <row r="86" spans="1:8" ht="29.25" customHeight="1" x14ac:dyDescent="0.25">
      <c r="A86" s="187" t="s">
        <v>174</v>
      </c>
      <c r="B86" s="187"/>
      <c r="C86" s="77"/>
      <c r="D86" s="77"/>
      <c r="E86" s="77"/>
      <c r="F86" s="77"/>
      <c r="G86" s="7"/>
      <c r="H86" s="51"/>
    </row>
    <row r="87" spans="1:8" x14ac:dyDescent="0.25">
      <c r="A87" s="76">
        <v>4</v>
      </c>
      <c r="B87" s="66" t="s">
        <v>175</v>
      </c>
      <c r="C87" s="73"/>
      <c r="D87" s="66" t="s">
        <v>84</v>
      </c>
      <c r="E87" s="73"/>
      <c r="F87" s="66" t="s">
        <v>84</v>
      </c>
      <c r="G87" s="67"/>
      <c r="H87" s="49" t="s">
        <v>84</v>
      </c>
    </row>
    <row r="88" spans="1:8" x14ac:dyDescent="0.25">
      <c r="A88" s="71" t="s">
        <v>165</v>
      </c>
      <c r="B88" s="65" t="s">
        <v>166</v>
      </c>
      <c r="C88" s="73"/>
      <c r="D88" s="57">
        <f>D84</f>
        <v>31.919999999999998</v>
      </c>
      <c r="E88" s="73"/>
      <c r="F88" s="57">
        <f>F84</f>
        <v>34.65</v>
      </c>
      <c r="G88" s="67"/>
      <c r="H88" s="28">
        <f>H84</f>
        <v>36.660000000000004</v>
      </c>
    </row>
    <row r="89" spans="1:8" x14ac:dyDescent="0.25">
      <c r="A89" s="184" t="s">
        <v>71</v>
      </c>
      <c r="B89" s="185"/>
      <c r="C89" s="73"/>
      <c r="D89" s="58">
        <f>D88</f>
        <v>31.919999999999998</v>
      </c>
      <c r="E89" s="73"/>
      <c r="F89" s="58">
        <f>F88</f>
        <v>34.65</v>
      </c>
      <c r="G89" s="67"/>
      <c r="H89" s="52">
        <f>H88</f>
        <v>36.660000000000004</v>
      </c>
    </row>
    <row r="90" spans="1:8" x14ac:dyDescent="0.25">
      <c r="A90" s="187" t="s">
        <v>176</v>
      </c>
      <c r="B90" s="187"/>
      <c r="C90" s="77"/>
      <c r="D90" s="77"/>
      <c r="E90" s="77"/>
      <c r="F90" s="77"/>
      <c r="G90" s="7"/>
      <c r="H90" s="51"/>
    </row>
    <row r="91" spans="1:8" x14ac:dyDescent="0.25">
      <c r="A91" s="74">
        <v>5</v>
      </c>
      <c r="B91" s="72" t="s">
        <v>177</v>
      </c>
      <c r="C91" s="73"/>
      <c r="D91" s="72" t="s">
        <v>84</v>
      </c>
      <c r="E91" s="73"/>
      <c r="F91" s="72" t="s">
        <v>84</v>
      </c>
      <c r="G91" s="67"/>
      <c r="H91" s="72" t="s">
        <v>84</v>
      </c>
    </row>
    <row r="92" spans="1:8" x14ac:dyDescent="0.25">
      <c r="A92" s="71" t="s">
        <v>106</v>
      </c>
      <c r="B92" s="65" t="s">
        <v>178</v>
      </c>
      <c r="C92" s="73"/>
      <c r="D92" s="57">
        <f>Uniformes!D13</f>
        <v>53.916666666666664</v>
      </c>
      <c r="E92" s="73"/>
      <c r="F92" s="57">
        <f>Uniformes!D33</f>
        <v>53.916666666666664</v>
      </c>
      <c r="G92" s="67"/>
      <c r="H92" s="57">
        <f>Uniformes!D33</f>
        <v>53.916666666666664</v>
      </c>
    </row>
    <row r="93" spans="1:8" x14ac:dyDescent="0.25">
      <c r="A93" s="71" t="s">
        <v>108</v>
      </c>
      <c r="B93" s="65" t="s">
        <v>179</v>
      </c>
      <c r="C93" s="73"/>
      <c r="D93" s="57">
        <v>0</v>
      </c>
      <c r="E93" s="73"/>
      <c r="F93" s="57">
        <v>0</v>
      </c>
      <c r="G93" s="67"/>
      <c r="H93" s="57">
        <v>0</v>
      </c>
    </row>
    <row r="94" spans="1:8" x14ac:dyDescent="0.25">
      <c r="A94" s="71" t="s">
        <v>110</v>
      </c>
      <c r="B94" s="65" t="s">
        <v>180</v>
      </c>
      <c r="C94" s="73"/>
      <c r="D94" s="57">
        <v>0</v>
      </c>
      <c r="E94" s="73"/>
      <c r="F94" s="57">
        <v>0</v>
      </c>
      <c r="G94" s="67"/>
      <c r="H94" s="57">
        <v>0</v>
      </c>
    </row>
    <row r="95" spans="1:8" x14ac:dyDescent="0.25">
      <c r="A95" s="71" t="s">
        <v>112</v>
      </c>
      <c r="B95" s="65" t="s">
        <v>115</v>
      </c>
      <c r="C95" s="73"/>
      <c r="D95" s="57">
        <v>0</v>
      </c>
      <c r="E95" s="73"/>
      <c r="F95" s="57">
        <v>0</v>
      </c>
      <c r="G95" s="67"/>
      <c r="H95" s="57">
        <v>0</v>
      </c>
    </row>
    <row r="96" spans="1:8" x14ac:dyDescent="0.25">
      <c r="A96" s="184" t="s">
        <v>71</v>
      </c>
      <c r="B96" s="185"/>
      <c r="C96" s="73"/>
      <c r="D96" s="58">
        <f>D92</f>
        <v>53.916666666666664</v>
      </c>
      <c r="E96" s="73"/>
      <c r="F96" s="58">
        <f>F92</f>
        <v>53.916666666666664</v>
      </c>
      <c r="G96" s="67"/>
      <c r="H96" s="58">
        <f>H92</f>
        <v>53.916666666666664</v>
      </c>
    </row>
    <row r="97" spans="1:8" x14ac:dyDescent="0.25">
      <c r="A97" s="186" t="s">
        <v>181</v>
      </c>
      <c r="B97" s="186"/>
      <c r="C97" s="77"/>
      <c r="D97" s="77"/>
      <c r="E97" s="77"/>
      <c r="F97" s="77"/>
      <c r="G97" s="7"/>
      <c r="H97" s="51"/>
    </row>
    <row r="98" spans="1:8" x14ac:dyDescent="0.25">
      <c r="A98" s="187" t="s">
        <v>39</v>
      </c>
      <c r="B98" s="187"/>
      <c r="C98" s="77"/>
      <c r="D98" s="77"/>
      <c r="E98" s="77"/>
      <c r="F98" s="77"/>
      <c r="G98" s="7"/>
      <c r="H98" s="51"/>
    </row>
    <row r="99" spans="1:8" x14ac:dyDescent="0.25">
      <c r="A99" s="189" t="s">
        <v>43</v>
      </c>
      <c r="B99" s="190"/>
      <c r="C99" s="119" t="s">
        <v>182</v>
      </c>
      <c r="D99" s="119"/>
      <c r="E99" s="119" t="s">
        <v>182</v>
      </c>
      <c r="F99" s="119"/>
      <c r="G99" s="119" t="s">
        <v>36</v>
      </c>
      <c r="H99" s="120"/>
    </row>
    <row r="100" spans="1:8" x14ac:dyDescent="0.25">
      <c r="A100" s="76">
        <v>6</v>
      </c>
      <c r="B100" s="66" t="s">
        <v>183</v>
      </c>
      <c r="C100" s="99" t="s">
        <v>219</v>
      </c>
      <c r="D100" s="99" t="s">
        <v>218</v>
      </c>
      <c r="E100" s="99" t="s">
        <v>219</v>
      </c>
      <c r="F100" s="99" t="s">
        <v>218</v>
      </c>
      <c r="G100" s="99" t="s">
        <v>219</v>
      </c>
      <c r="H100" s="99" t="s">
        <v>218</v>
      </c>
    </row>
    <row r="101" spans="1:8" x14ac:dyDescent="0.25">
      <c r="A101" s="71" t="s">
        <v>106</v>
      </c>
      <c r="B101" s="65" t="s">
        <v>184</v>
      </c>
      <c r="C101" s="101">
        <v>1.01E-2</v>
      </c>
      <c r="D101" s="94">
        <f>ROUND($C101*D$118,2)</f>
        <v>75.400000000000006</v>
      </c>
      <c r="E101" s="101">
        <v>1.01E-2</v>
      </c>
      <c r="F101" s="94">
        <f>ROUND(E$101*F$118,2)</f>
        <v>82.95</v>
      </c>
      <c r="G101" s="103">
        <v>1.01E-2</v>
      </c>
      <c r="H101" s="96">
        <f>ROUND(G$101*H$118,2)</f>
        <v>85.64</v>
      </c>
    </row>
    <row r="102" spans="1:8" x14ac:dyDescent="0.25">
      <c r="A102" s="71" t="s">
        <v>108</v>
      </c>
      <c r="B102" s="65" t="s">
        <v>185</v>
      </c>
      <c r="C102" s="101">
        <v>1.0411999999999999E-2</v>
      </c>
      <c r="D102" s="94">
        <f>ROUND($C102*(D$118+D$101),2)</f>
        <v>78.52</v>
      </c>
      <c r="E102" s="101">
        <v>1.0411999999999999E-2</v>
      </c>
      <c r="F102" s="94">
        <f>ROUND(E$102*(F$118+F$101),2)</f>
        <v>86.37</v>
      </c>
      <c r="G102" s="103">
        <v>1.0411999999999999E-2</v>
      </c>
      <c r="H102" s="96">
        <f>ROUND(G$102*(H$118+H$101),2)</f>
        <v>89.18</v>
      </c>
    </row>
    <row r="103" spans="1:8" x14ac:dyDescent="0.25">
      <c r="A103" s="71" t="s">
        <v>110</v>
      </c>
      <c r="B103" s="65" t="s">
        <v>186</v>
      </c>
      <c r="C103" s="121">
        <f>SUM($C104:$C107)</f>
        <v>8.6499999999999994E-2</v>
      </c>
      <c r="D103" s="94">
        <f>SUM(D104:D106)</f>
        <v>721.5</v>
      </c>
      <c r="E103" s="121">
        <f>SUM($C104:$C107)</f>
        <v>8.6499999999999994E-2</v>
      </c>
      <c r="F103" s="94">
        <f>SUM(F104:F106)</f>
        <v>793.68999999999994</v>
      </c>
      <c r="G103" s="123">
        <f>SUM($C104:$C107)</f>
        <v>8.6499999999999994E-2</v>
      </c>
      <c r="H103" s="96">
        <f>SUM(H104:H106)</f>
        <v>819.47</v>
      </c>
    </row>
    <row r="104" spans="1:8" x14ac:dyDescent="0.25">
      <c r="A104" s="71" t="s">
        <v>187</v>
      </c>
      <c r="B104" s="65" t="s">
        <v>188</v>
      </c>
      <c r="C104" s="121">
        <v>6.4999999999999997E-3</v>
      </c>
      <c r="D104" s="94">
        <f>ROUND($C104*((D$118+D$101+D$102))/$C109,2)</f>
        <v>54.22</v>
      </c>
      <c r="E104" s="121">
        <v>6.4999999999999997E-3</v>
      </c>
      <c r="F104" s="94">
        <f>ROUND(E$104*((F$118+F$101+F$102))/$E109,2)</f>
        <v>59.64</v>
      </c>
      <c r="G104" s="123">
        <v>6.4999999999999997E-3</v>
      </c>
      <c r="H104" s="96">
        <f>ROUND(G$104*((H$118+H$101+H$102))/$E109,2)</f>
        <v>61.58</v>
      </c>
    </row>
    <row r="105" spans="1:8" x14ac:dyDescent="0.25">
      <c r="A105" s="71" t="s">
        <v>189</v>
      </c>
      <c r="B105" s="65" t="s">
        <v>190</v>
      </c>
      <c r="C105" s="121">
        <v>0.03</v>
      </c>
      <c r="D105" s="94">
        <f>ROUND($C105*((D$118+D$101+D$102))/$C109,2)</f>
        <v>250.23</v>
      </c>
      <c r="E105" s="121">
        <v>0.03</v>
      </c>
      <c r="F105" s="94">
        <f>ROUND(E$105*((F$118+F$101+F$102))/E$109,2)</f>
        <v>275.27</v>
      </c>
      <c r="G105" s="123">
        <v>0.03</v>
      </c>
      <c r="H105" s="96">
        <f>ROUND(G$105*((H$118+H$101+H$102))/G$109,2)</f>
        <v>284.20999999999998</v>
      </c>
    </row>
    <row r="106" spans="1:8" x14ac:dyDescent="0.25">
      <c r="A106" s="71" t="s">
        <v>191</v>
      </c>
      <c r="B106" s="65" t="s">
        <v>192</v>
      </c>
      <c r="C106" s="121">
        <v>0.05</v>
      </c>
      <c r="D106" s="94">
        <f>ROUND($C106*((D$118+D$101+D$102))/$C109,2)</f>
        <v>417.05</v>
      </c>
      <c r="E106" s="121">
        <v>0.05</v>
      </c>
      <c r="F106" s="94">
        <f>ROUND(E$106*((F$118+F$101+F$102))/E$109,2)</f>
        <v>458.78</v>
      </c>
      <c r="G106" s="123">
        <v>0.05</v>
      </c>
      <c r="H106" s="96">
        <f>ROUND(G$106*((H$118+H$101+H$102))/G$109,2)</f>
        <v>473.68</v>
      </c>
    </row>
    <row r="107" spans="1:8" x14ac:dyDescent="0.25">
      <c r="A107" s="71" t="s">
        <v>112</v>
      </c>
      <c r="B107" s="65" t="s">
        <v>193</v>
      </c>
      <c r="C107" s="121">
        <v>0</v>
      </c>
      <c r="D107" s="94">
        <f>ROUND($C107*((D$118+D$102+D$103))/$C109,2)</f>
        <v>0</v>
      </c>
      <c r="E107" s="121">
        <v>0</v>
      </c>
      <c r="F107" s="94">
        <f>ROUND(E$107*((F$118+F$102+F$103))/E$109,2)</f>
        <v>0</v>
      </c>
      <c r="G107" s="123">
        <v>0</v>
      </c>
      <c r="H107" s="94">
        <f>ROUND(G$107*((H$118+H$102+H$103))/G$109,2)</f>
        <v>0</v>
      </c>
    </row>
    <row r="108" spans="1:8" x14ac:dyDescent="0.25">
      <c r="A108" s="184" t="s">
        <v>71</v>
      </c>
      <c r="B108" s="185"/>
      <c r="C108" s="102">
        <f>SUM($C101:$C103)</f>
        <v>0.107012</v>
      </c>
      <c r="D108" s="124">
        <f>SUM(D101:D103)</f>
        <v>875.42000000000007</v>
      </c>
      <c r="E108" s="102">
        <f>SUM(E101:E103)</f>
        <v>0.107012</v>
      </c>
      <c r="F108" s="124">
        <f>SUM(F101:F103)</f>
        <v>963.01</v>
      </c>
      <c r="G108" s="118">
        <f>SUM(G101:G103)</f>
        <v>0.107012</v>
      </c>
      <c r="H108" s="125">
        <f>SUM(H101:H103)</f>
        <v>994.29</v>
      </c>
    </row>
    <row r="109" spans="1:8" x14ac:dyDescent="0.25">
      <c r="A109" s="65"/>
      <c r="B109" s="73"/>
      <c r="C109" s="122">
        <f>ABS(SUM($C104:$C107)/100%-1)</f>
        <v>0.91349999999999998</v>
      </c>
      <c r="D109" s="73"/>
      <c r="E109" s="122">
        <f>ABS(SUM(E$104:E$107)/100%-1)</f>
        <v>0.91349999999999998</v>
      </c>
      <c r="F109" s="73"/>
      <c r="G109" s="122">
        <f>ABS(SUM(G$104:G$107)/100%-1)</f>
        <v>0.91349999999999998</v>
      </c>
      <c r="H109" s="48"/>
    </row>
    <row r="110" spans="1:8" s="29" customFormat="1" x14ac:dyDescent="0.25">
      <c r="A110" s="42"/>
      <c r="B110" s="77"/>
      <c r="C110" s="43"/>
      <c r="D110" s="77"/>
      <c r="E110" s="43"/>
      <c r="F110" s="77"/>
      <c r="G110" s="43"/>
      <c r="H110" s="51"/>
    </row>
    <row r="111" spans="1:8" x14ac:dyDescent="0.25">
      <c r="A111" s="187" t="s">
        <v>194</v>
      </c>
      <c r="B111" s="187"/>
      <c r="C111" s="77"/>
      <c r="D111" s="77"/>
      <c r="E111" s="77"/>
      <c r="F111" s="77"/>
      <c r="G111" s="7"/>
      <c r="H111" s="51"/>
    </row>
    <row r="112" spans="1:8" x14ac:dyDescent="0.25">
      <c r="A112" s="191" t="s">
        <v>195</v>
      </c>
      <c r="B112" s="192"/>
      <c r="C112" s="99" t="s">
        <v>219</v>
      </c>
      <c r="D112" s="98" t="s">
        <v>218</v>
      </c>
      <c r="E112" s="99" t="s">
        <v>219</v>
      </c>
      <c r="F112" s="98" t="s">
        <v>218</v>
      </c>
      <c r="G112" s="99" t="s">
        <v>219</v>
      </c>
      <c r="H112" s="98" t="s">
        <v>218</v>
      </c>
    </row>
    <row r="113" spans="1:8" x14ac:dyDescent="0.25">
      <c r="A113" s="71" t="s">
        <v>106</v>
      </c>
      <c r="B113" s="65" t="s">
        <v>103</v>
      </c>
      <c r="C113" s="73" t="s">
        <v>35</v>
      </c>
      <c r="D113" s="86">
        <f>D$19</f>
        <v>3957.85</v>
      </c>
      <c r="E113" s="73" t="s">
        <v>35</v>
      </c>
      <c r="F113" s="86">
        <f>F$19</f>
        <v>4294.2640000000001</v>
      </c>
      <c r="G113" s="67" t="s">
        <v>35</v>
      </c>
      <c r="H113" s="88">
        <f>H$19</f>
        <v>4542.8999999999996</v>
      </c>
    </row>
    <row r="114" spans="1:8" x14ac:dyDescent="0.25">
      <c r="A114" s="71" t="s">
        <v>108</v>
      </c>
      <c r="B114" s="65" t="s">
        <v>117</v>
      </c>
      <c r="C114" s="73" t="s">
        <v>35</v>
      </c>
      <c r="D114" s="94">
        <f>D$61</f>
        <v>3272.5000000000005</v>
      </c>
      <c r="E114" s="73" t="s">
        <v>35</v>
      </c>
      <c r="F114" s="94">
        <f>F$61</f>
        <v>3667.4900000000002</v>
      </c>
      <c r="G114" s="67" t="s">
        <v>35</v>
      </c>
      <c r="H114" s="96">
        <f>H$61</f>
        <v>3674.49</v>
      </c>
    </row>
    <row r="115" spans="1:8" x14ac:dyDescent="0.25">
      <c r="A115" s="71" t="s">
        <v>110</v>
      </c>
      <c r="B115" s="65" t="s">
        <v>152</v>
      </c>
      <c r="C115" s="73" t="s">
        <v>35</v>
      </c>
      <c r="D115" s="94">
        <f>D$71</f>
        <v>149.37000065999999</v>
      </c>
      <c r="E115" s="73" t="s">
        <v>35</v>
      </c>
      <c r="F115" s="94">
        <f>F$71</f>
        <v>162.26000071999999</v>
      </c>
      <c r="G115" s="67" t="s">
        <v>35</v>
      </c>
      <c r="H115" s="96">
        <f>H$71</f>
        <v>171.32000076000003</v>
      </c>
    </row>
    <row r="116" spans="1:8" x14ac:dyDescent="0.25">
      <c r="A116" s="71" t="s">
        <v>112</v>
      </c>
      <c r="B116" s="65" t="s">
        <v>163</v>
      </c>
      <c r="C116" s="73" t="s">
        <v>35</v>
      </c>
      <c r="D116" s="94">
        <f>D$89</f>
        <v>31.919999999999998</v>
      </c>
      <c r="E116" s="73" t="s">
        <v>35</v>
      </c>
      <c r="F116" s="94">
        <f>F$89</f>
        <v>34.65</v>
      </c>
      <c r="G116" s="67" t="s">
        <v>35</v>
      </c>
      <c r="H116" s="96">
        <f>H$89</f>
        <v>36.660000000000004</v>
      </c>
    </row>
    <row r="117" spans="1:8" x14ac:dyDescent="0.25">
      <c r="A117" s="71" t="s">
        <v>114</v>
      </c>
      <c r="B117" s="65" t="s">
        <v>176</v>
      </c>
      <c r="C117" s="73" t="s">
        <v>35</v>
      </c>
      <c r="D117" s="94">
        <f>D$96</f>
        <v>53.916666666666664</v>
      </c>
      <c r="E117" s="73" t="s">
        <v>35</v>
      </c>
      <c r="F117" s="94">
        <f>F$96</f>
        <v>53.916666666666664</v>
      </c>
      <c r="G117" s="67" t="s">
        <v>35</v>
      </c>
      <c r="H117" s="94">
        <f>H$96</f>
        <v>53.916666666666664</v>
      </c>
    </row>
    <row r="118" spans="1:8" x14ac:dyDescent="0.25">
      <c r="A118" s="184" t="s">
        <v>196</v>
      </c>
      <c r="B118" s="185"/>
      <c r="C118" s="73"/>
      <c r="D118" s="95">
        <f>SUM(D$113:D$117)</f>
        <v>7465.5566673266676</v>
      </c>
      <c r="E118" s="73"/>
      <c r="F118" s="95">
        <f>SUM(F$113:F$117)</f>
        <v>8212.5806673866664</v>
      </c>
      <c r="G118" s="67"/>
      <c r="H118" s="97">
        <f>SUM(H$113:H$117)</f>
        <v>8479.2866674266661</v>
      </c>
    </row>
    <row r="119" spans="1:8" x14ac:dyDescent="0.25">
      <c r="A119" s="71" t="s">
        <v>6</v>
      </c>
      <c r="B119" s="65" t="s">
        <v>197</v>
      </c>
      <c r="C119" s="73" t="s">
        <v>35</v>
      </c>
      <c r="D119" s="94">
        <f>D$108</f>
        <v>875.42000000000007</v>
      </c>
      <c r="E119" s="73" t="s">
        <v>35</v>
      </c>
      <c r="F119" s="94">
        <f>F$108</f>
        <v>963.01</v>
      </c>
      <c r="G119" s="67" t="s">
        <v>35</v>
      </c>
      <c r="H119" s="96">
        <f>H$108</f>
        <v>994.29</v>
      </c>
    </row>
    <row r="120" spans="1:8" x14ac:dyDescent="0.25">
      <c r="A120" s="189" t="s">
        <v>7</v>
      </c>
      <c r="B120" s="190"/>
      <c r="C120" s="73"/>
      <c r="D120" s="111">
        <f>SUM(D$118:D$119)</f>
        <v>8340.9766673266677</v>
      </c>
      <c r="E120" s="73"/>
      <c r="F120" s="111">
        <f>SUM(F$118:F$119)</f>
        <v>9175.5906673866666</v>
      </c>
      <c r="G120" s="67"/>
      <c r="H120" s="113">
        <f>SUM(H$118:H$119)</f>
        <v>9473.576667426667</v>
      </c>
    </row>
  </sheetData>
  <mergeCells count="48">
    <mergeCell ref="A3:D3"/>
    <mergeCell ref="A1:D1"/>
    <mergeCell ref="A2:D2"/>
    <mergeCell ref="A20:B20"/>
    <mergeCell ref="A27:B27"/>
    <mergeCell ref="A26:B26"/>
    <mergeCell ref="A22:B22"/>
    <mergeCell ref="A21:B21"/>
    <mergeCell ref="A19:B19"/>
    <mergeCell ref="A11:B11"/>
    <mergeCell ref="A4:B4"/>
    <mergeCell ref="A53:B53"/>
    <mergeCell ref="A86:B86"/>
    <mergeCell ref="A84:B84"/>
    <mergeCell ref="A46:B46"/>
    <mergeCell ref="A85:B85"/>
    <mergeCell ref="A54:B54"/>
    <mergeCell ref="A55:B55"/>
    <mergeCell ref="A72:B72"/>
    <mergeCell ref="A73:B73"/>
    <mergeCell ref="A75:B75"/>
    <mergeCell ref="A56:B56"/>
    <mergeCell ref="A120:B120"/>
    <mergeCell ref="A112:B112"/>
    <mergeCell ref="A111:B111"/>
    <mergeCell ref="A99:B99"/>
    <mergeCell ref="A74:B74"/>
    <mergeCell ref="A76:B76"/>
    <mergeCell ref="A89:B89"/>
    <mergeCell ref="A90:B90"/>
    <mergeCell ref="A98:B98"/>
    <mergeCell ref="A96:B96"/>
    <mergeCell ref="E1:F3"/>
    <mergeCell ref="G1:H3"/>
    <mergeCell ref="A118:B118"/>
    <mergeCell ref="A97:B97"/>
    <mergeCell ref="A108:B108"/>
    <mergeCell ref="A62:B62"/>
    <mergeCell ref="A61:B61"/>
    <mergeCell ref="A28:B28"/>
    <mergeCell ref="A29:B29"/>
    <mergeCell ref="A41:B41"/>
    <mergeCell ref="A42:B42"/>
    <mergeCell ref="A43:B43"/>
    <mergeCell ref="A44:B44"/>
    <mergeCell ref="A40:B40"/>
    <mergeCell ref="A30:B30"/>
    <mergeCell ref="A45:B4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894E1-6E3F-4E9B-B2FD-72973CE49A5A}">
  <dimension ref="A1:H145"/>
  <sheetViews>
    <sheetView showGridLines="0" topLeftCell="A16" workbookViewId="0">
      <selection activeCell="E31" sqref="E31"/>
    </sheetView>
  </sheetViews>
  <sheetFormatPr defaultColWidth="4.5703125" defaultRowHeight="15" x14ac:dyDescent="0.25"/>
  <cols>
    <col min="1" max="1" width="4.42578125" style="81" bestFit="1" customWidth="1"/>
    <col min="2" max="2" width="55" style="81" bestFit="1" customWidth="1"/>
    <col min="3" max="3" width="29.85546875" style="81" bestFit="1" customWidth="1"/>
    <col min="4" max="4" width="12.140625" style="81" bestFit="1" customWidth="1"/>
    <col min="5" max="5" width="29.85546875" style="81" bestFit="1" customWidth="1"/>
    <col min="6" max="6" width="13.28515625" style="81" bestFit="1" customWidth="1"/>
    <col min="7" max="7" width="29.85546875" style="6" bestFit="1" customWidth="1"/>
    <col min="8" max="8" width="13.28515625" style="47" bestFit="1" customWidth="1"/>
    <col min="9" max="16384" width="4.5703125" style="6"/>
  </cols>
  <sheetData>
    <row r="1" spans="1:8" ht="30" customHeight="1" x14ac:dyDescent="0.25">
      <c r="A1" s="205" t="s">
        <v>198</v>
      </c>
      <c r="B1" s="205"/>
      <c r="C1" s="205"/>
      <c r="D1" s="206"/>
      <c r="E1" s="182" t="s">
        <v>90</v>
      </c>
      <c r="F1" s="182"/>
      <c r="G1" s="183" t="s">
        <v>215</v>
      </c>
      <c r="H1" s="183"/>
    </row>
    <row r="2" spans="1:8" ht="15.75" x14ac:dyDescent="0.25">
      <c r="A2" s="203" t="s">
        <v>199</v>
      </c>
      <c r="B2" s="203"/>
      <c r="C2" s="203"/>
      <c r="D2" s="204"/>
      <c r="E2" s="182"/>
      <c r="F2" s="182"/>
      <c r="G2" s="183"/>
      <c r="H2" s="183"/>
    </row>
    <row r="3" spans="1:8" x14ac:dyDescent="0.25">
      <c r="A3" s="187" t="s">
        <v>37</v>
      </c>
      <c r="B3" s="187"/>
      <c r="C3" s="187"/>
      <c r="D3" s="193"/>
      <c r="E3" s="182"/>
      <c r="F3" s="182"/>
      <c r="G3" s="183"/>
      <c r="H3" s="183"/>
    </row>
    <row r="4" spans="1:8" x14ac:dyDescent="0.25">
      <c r="A4" s="188" t="s">
        <v>92</v>
      </c>
      <c r="B4" s="188"/>
      <c r="C4" s="77"/>
      <c r="D4" s="77"/>
      <c r="E4" s="182"/>
      <c r="F4" s="182"/>
      <c r="G4" s="183"/>
      <c r="H4" s="183"/>
    </row>
    <row r="5" spans="1:8" ht="25.5" x14ac:dyDescent="0.25">
      <c r="A5" s="74">
        <v>1</v>
      </c>
      <c r="B5" s="72" t="s">
        <v>93</v>
      </c>
      <c r="C5" s="72" t="s">
        <v>76</v>
      </c>
      <c r="D5" s="73"/>
      <c r="E5" s="72" t="s">
        <v>76</v>
      </c>
      <c r="F5" s="73"/>
      <c r="G5" s="72" t="s">
        <v>76</v>
      </c>
      <c r="H5" s="48"/>
    </row>
    <row r="6" spans="1:8" x14ac:dyDescent="0.25">
      <c r="A6" s="75">
        <v>2</v>
      </c>
      <c r="B6" s="65" t="s">
        <v>95</v>
      </c>
      <c r="C6" s="75">
        <v>5171</v>
      </c>
      <c r="D6" s="73"/>
      <c r="E6" s="75">
        <v>5171</v>
      </c>
      <c r="F6" s="73"/>
      <c r="G6" s="9">
        <v>5171</v>
      </c>
      <c r="H6" s="48"/>
    </row>
    <row r="7" spans="1:8" x14ac:dyDescent="0.25">
      <c r="A7" s="75">
        <v>3</v>
      </c>
      <c r="B7" s="65" t="s">
        <v>96</v>
      </c>
      <c r="C7" s="11">
        <v>3044.5</v>
      </c>
      <c r="D7" s="73"/>
      <c r="E7" s="11">
        <v>3303.28</v>
      </c>
      <c r="F7" s="73"/>
      <c r="G7" s="54">
        <v>3494.54</v>
      </c>
      <c r="H7" s="48"/>
    </row>
    <row r="8" spans="1:8" ht="51" x14ac:dyDescent="0.25">
      <c r="A8" s="75">
        <v>4</v>
      </c>
      <c r="B8" s="65" t="s">
        <v>97</v>
      </c>
      <c r="C8" s="73" t="s">
        <v>98</v>
      </c>
      <c r="D8" s="73"/>
      <c r="E8" s="65" t="s">
        <v>87</v>
      </c>
      <c r="F8" s="73"/>
      <c r="G8" s="65" t="s">
        <v>87</v>
      </c>
      <c r="H8" s="48"/>
    </row>
    <row r="9" spans="1:8" x14ac:dyDescent="0.25">
      <c r="A9" s="75">
        <v>5</v>
      </c>
      <c r="B9" s="65" t="s">
        <v>99</v>
      </c>
      <c r="C9" s="65" t="s">
        <v>100</v>
      </c>
      <c r="D9" s="73"/>
      <c r="E9" s="65" t="s">
        <v>72</v>
      </c>
      <c r="F9" s="73"/>
      <c r="G9" s="55" t="s">
        <v>216</v>
      </c>
      <c r="H9" s="48"/>
    </row>
    <row r="10" spans="1:8" x14ac:dyDescent="0.25">
      <c r="A10" s="75">
        <v>6</v>
      </c>
      <c r="B10" s="65" t="s">
        <v>101</v>
      </c>
      <c r="C10" s="65" t="s">
        <v>102</v>
      </c>
      <c r="D10" s="73"/>
      <c r="E10" s="65" t="s">
        <v>73</v>
      </c>
      <c r="F10" s="73"/>
      <c r="G10" s="55" t="s">
        <v>217</v>
      </c>
      <c r="H10" s="48"/>
    </row>
    <row r="11" spans="1:8" x14ac:dyDescent="0.25">
      <c r="A11" s="187" t="s">
        <v>103</v>
      </c>
      <c r="B11" s="187"/>
      <c r="C11" s="77"/>
      <c r="D11" s="77"/>
      <c r="E11" s="77"/>
      <c r="F11" s="77"/>
      <c r="G11" s="7"/>
      <c r="H11" s="51"/>
    </row>
    <row r="12" spans="1:8" x14ac:dyDescent="0.25">
      <c r="A12" s="76">
        <v>1</v>
      </c>
      <c r="B12" s="66" t="s">
        <v>104</v>
      </c>
      <c r="C12" s="98" t="s">
        <v>219</v>
      </c>
      <c r="D12" s="99" t="s">
        <v>218</v>
      </c>
      <c r="E12" s="98" t="s">
        <v>219</v>
      </c>
      <c r="F12" s="99" t="s">
        <v>218</v>
      </c>
      <c r="G12" s="98" t="s">
        <v>219</v>
      </c>
      <c r="H12" s="99" t="s">
        <v>218</v>
      </c>
    </row>
    <row r="13" spans="1:8" x14ac:dyDescent="0.25">
      <c r="A13" s="71" t="s">
        <v>106</v>
      </c>
      <c r="B13" s="65" t="s">
        <v>107</v>
      </c>
      <c r="C13" s="90" t="s">
        <v>35</v>
      </c>
      <c r="D13" s="86">
        <f>C7</f>
        <v>3044.5</v>
      </c>
      <c r="E13" s="90" t="s">
        <v>35</v>
      </c>
      <c r="F13" s="86">
        <f>E7</f>
        <v>3303.28</v>
      </c>
      <c r="G13" s="92" t="s">
        <v>35</v>
      </c>
      <c r="H13" s="88">
        <f>G7</f>
        <v>3494.54</v>
      </c>
    </row>
    <row r="14" spans="1:8" x14ac:dyDescent="0.25">
      <c r="A14" s="71" t="s">
        <v>108</v>
      </c>
      <c r="B14" s="65" t="s">
        <v>109</v>
      </c>
      <c r="C14" s="91">
        <v>0.3</v>
      </c>
      <c r="D14" s="86">
        <f>D13*C14</f>
        <v>913.35</v>
      </c>
      <c r="E14" s="91">
        <v>0.3</v>
      </c>
      <c r="F14" s="86">
        <f>F13*E14</f>
        <v>990.98400000000004</v>
      </c>
      <c r="G14" s="91">
        <v>0.3</v>
      </c>
      <c r="H14" s="88">
        <f>H13*G14</f>
        <v>1048.3619999999999</v>
      </c>
    </row>
    <row r="15" spans="1:8" x14ac:dyDescent="0.25">
      <c r="A15" s="71" t="s">
        <v>110</v>
      </c>
      <c r="B15" s="65" t="s">
        <v>111</v>
      </c>
      <c r="C15" s="90" t="s">
        <v>35</v>
      </c>
      <c r="D15" s="86" t="s">
        <v>35</v>
      </c>
      <c r="E15" s="90" t="s">
        <v>35</v>
      </c>
      <c r="F15" s="86" t="s">
        <v>35</v>
      </c>
      <c r="G15" s="92" t="s">
        <v>35</v>
      </c>
      <c r="H15" s="88" t="s">
        <v>35</v>
      </c>
    </row>
    <row r="16" spans="1:8" x14ac:dyDescent="0.25">
      <c r="A16" s="71" t="s">
        <v>112</v>
      </c>
      <c r="B16" s="65" t="s">
        <v>113</v>
      </c>
      <c r="C16" s="91">
        <v>0.2</v>
      </c>
      <c r="D16" s="132">
        <f>((D$13+D$14)/220)*C16*8*13</f>
        <v>374.19672727272729</v>
      </c>
      <c r="E16" s="104">
        <v>0.22500000000000001</v>
      </c>
      <c r="F16" s="132">
        <f>((F$13+F$14)/220)*E16*8*13</f>
        <v>456.75353454545461</v>
      </c>
      <c r="G16" s="105">
        <v>0.22500000000000001</v>
      </c>
      <c r="H16" s="133">
        <f>((H$13+H$14)/220)*G16*8*13</f>
        <v>483.19957636363637</v>
      </c>
    </row>
    <row r="17" spans="1:8" x14ac:dyDescent="0.25">
      <c r="A17" s="71" t="s">
        <v>114</v>
      </c>
      <c r="B17" s="65" t="s">
        <v>77</v>
      </c>
      <c r="C17" s="90" t="s">
        <v>35</v>
      </c>
      <c r="D17" s="86" t="s">
        <v>35</v>
      </c>
      <c r="E17" s="90" t="s">
        <v>35</v>
      </c>
      <c r="F17" s="86" t="s">
        <v>35</v>
      </c>
      <c r="G17" s="92" t="s">
        <v>35</v>
      </c>
      <c r="H17" s="88" t="s">
        <v>35</v>
      </c>
    </row>
    <row r="18" spans="1:8" x14ac:dyDescent="0.25">
      <c r="A18" s="71" t="s">
        <v>6</v>
      </c>
      <c r="B18" s="65" t="s">
        <v>115</v>
      </c>
      <c r="C18" s="90" t="s">
        <v>35</v>
      </c>
      <c r="D18" s="86" t="s">
        <v>35</v>
      </c>
      <c r="E18" s="90" t="s">
        <v>35</v>
      </c>
      <c r="F18" s="86" t="s">
        <v>35</v>
      </c>
      <c r="G18" s="92" t="s">
        <v>35</v>
      </c>
      <c r="H18" s="88" t="s">
        <v>35</v>
      </c>
    </row>
    <row r="19" spans="1:8" x14ac:dyDescent="0.25">
      <c r="A19" s="188" t="s">
        <v>71</v>
      </c>
      <c r="B19" s="188"/>
      <c r="C19" s="90" t="s">
        <v>35</v>
      </c>
      <c r="D19" s="87">
        <f>SUM(D13:D18)</f>
        <v>4332.0467272727274</v>
      </c>
      <c r="E19" s="90" t="s">
        <v>35</v>
      </c>
      <c r="F19" s="87">
        <f>SUM(F13:F18)</f>
        <v>4751.0175345454545</v>
      </c>
      <c r="G19" s="92" t="s">
        <v>35</v>
      </c>
      <c r="H19" s="89">
        <f>SUM(H13:H18)</f>
        <v>5026.101576363636</v>
      </c>
    </row>
    <row r="20" spans="1:8" ht="30.75" customHeight="1" x14ac:dyDescent="0.25">
      <c r="A20" s="186" t="s">
        <v>116</v>
      </c>
      <c r="B20" s="186"/>
      <c r="C20" s="42"/>
      <c r="D20" s="42"/>
      <c r="E20" s="42"/>
      <c r="F20" s="42"/>
      <c r="G20" s="42"/>
      <c r="H20" s="50"/>
    </row>
    <row r="21" spans="1:8" x14ac:dyDescent="0.25">
      <c r="A21" s="187" t="s">
        <v>117</v>
      </c>
      <c r="B21" s="187"/>
      <c r="C21" s="77"/>
      <c r="D21" s="77"/>
      <c r="E21" s="77"/>
      <c r="F21" s="77"/>
      <c r="G21" s="7"/>
      <c r="H21" s="51"/>
    </row>
    <row r="22" spans="1:8" ht="24.75" customHeight="1" x14ac:dyDescent="0.25">
      <c r="A22" s="188" t="s">
        <v>118</v>
      </c>
      <c r="B22" s="188"/>
      <c r="C22" s="77"/>
      <c r="D22" s="77"/>
      <c r="E22" s="77"/>
      <c r="F22" s="77"/>
      <c r="G22" s="7"/>
      <c r="H22" s="51"/>
    </row>
    <row r="23" spans="1:8" x14ac:dyDescent="0.25">
      <c r="A23" s="72" t="s">
        <v>119</v>
      </c>
      <c r="B23" s="72" t="s">
        <v>120</v>
      </c>
      <c r="C23" s="98" t="s">
        <v>219</v>
      </c>
      <c r="D23" s="99" t="s">
        <v>218</v>
      </c>
      <c r="E23" s="98" t="s">
        <v>219</v>
      </c>
      <c r="F23" s="99" t="s">
        <v>218</v>
      </c>
      <c r="G23" s="98" t="s">
        <v>219</v>
      </c>
      <c r="H23" s="99" t="s">
        <v>218</v>
      </c>
    </row>
    <row r="24" spans="1:8" x14ac:dyDescent="0.25">
      <c r="A24" s="71" t="s">
        <v>106</v>
      </c>
      <c r="B24" s="65" t="s">
        <v>121</v>
      </c>
      <c r="C24" s="101">
        <v>9.0899999999999995E-2</v>
      </c>
      <c r="D24" s="94">
        <f>ROUND($C24*D$19,2)</f>
        <v>393.78</v>
      </c>
      <c r="E24" s="101">
        <v>9.0899999999999995E-2</v>
      </c>
      <c r="F24" s="94">
        <f>ROUND($C24*F$19,2)</f>
        <v>431.87</v>
      </c>
      <c r="G24" s="103">
        <v>9.0899999999999995E-2</v>
      </c>
      <c r="H24" s="96">
        <f>ROUND($C24*H$19,2)</f>
        <v>456.87</v>
      </c>
    </row>
    <row r="25" spans="1:8" x14ac:dyDescent="0.25">
      <c r="A25" s="71" t="s">
        <v>108</v>
      </c>
      <c r="B25" s="65" t="s">
        <v>122</v>
      </c>
      <c r="C25" s="101">
        <v>0.1212</v>
      </c>
      <c r="D25" s="94">
        <f>ROUND($C25*D$19,2)</f>
        <v>525.04</v>
      </c>
      <c r="E25" s="101">
        <v>0.1212</v>
      </c>
      <c r="F25" s="94">
        <f>ROUND($C25*F$19,2)</f>
        <v>575.82000000000005</v>
      </c>
      <c r="G25" s="103">
        <v>0.1212</v>
      </c>
      <c r="H25" s="96">
        <f>ROUND($C25*H$19,2)</f>
        <v>609.16</v>
      </c>
    </row>
    <row r="26" spans="1:8" x14ac:dyDescent="0.25">
      <c r="A26" s="188" t="s">
        <v>71</v>
      </c>
      <c r="B26" s="188"/>
      <c r="C26" s="104">
        <f t="shared" ref="C26:H26" si="0">SUM(C24:C25)</f>
        <v>0.21210000000000001</v>
      </c>
      <c r="D26" s="95">
        <f t="shared" si="0"/>
        <v>918.81999999999994</v>
      </c>
      <c r="E26" s="104">
        <f t="shared" si="0"/>
        <v>0.21210000000000001</v>
      </c>
      <c r="F26" s="95">
        <f t="shared" si="0"/>
        <v>1007.69</v>
      </c>
      <c r="G26" s="105">
        <f t="shared" si="0"/>
        <v>0.21210000000000001</v>
      </c>
      <c r="H26" s="97">
        <f t="shared" si="0"/>
        <v>1066.03</v>
      </c>
    </row>
    <row r="27" spans="1:8" ht="39" customHeight="1" x14ac:dyDescent="0.25">
      <c r="A27" s="197" t="s">
        <v>200</v>
      </c>
      <c r="B27" s="197"/>
      <c r="C27" s="77"/>
      <c r="D27" s="77"/>
      <c r="E27" s="77"/>
      <c r="F27" s="77"/>
      <c r="G27" s="7"/>
      <c r="H27" s="51"/>
    </row>
    <row r="28" spans="1:8" ht="42" customHeight="1" x14ac:dyDescent="0.25">
      <c r="A28" s="186" t="s">
        <v>88</v>
      </c>
      <c r="B28" s="186"/>
      <c r="C28" s="42"/>
      <c r="D28" s="42"/>
      <c r="E28" s="42"/>
      <c r="F28" s="42"/>
      <c r="G28" s="42"/>
      <c r="H28" s="50"/>
    </row>
    <row r="29" spans="1:8" ht="51.75" customHeight="1" x14ac:dyDescent="0.25">
      <c r="A29" s="186" t="s">
        <v>89</v>
      </c>
      <c r="B29" s="186"/>
      <c r="C29" s="42"/>
      <c r="D29" s="42"/>
      <c r="E29" s="42"/>
      <c r="F29" s="42"/>
      <c r="G29" s="42"/>
      <c r="H29" s="50"/>
    </row>
    <row r="30" spans="1:8" ht="27.75" customHeight="1" x14ac:dyDescent="0.25">
      <c r="A30" s="188" t="s">
        <v>123</v>
      </c>
      <c r="B30" s="188"/>
      <c r="C30" s="77"/>
      <c r="D30" s="77"/>
      <c r="E30" s="77"/>
      <c r="F30" s="77"/>
      <c r="G30" s="7"/>
      <c r="H30" s="51"/>
    </row>
    <row r="31" spans="1:8" x14ac:dyDescent="0.25">
      <c r="A31" s="66" t="s">
        <v>124</v>
      </c>
      <c r="B31" s="66" t="s">
        <v>125</v>
      </c>
      <c r="C31" s="98" t="s">
        <v>219</v>
      </c>
      <c r="D31" s="99" t="s">
        <v>218</v>
      </c>
      <c r="E31" s="98" t="s">
        <v>219</v>
      </c>
      <c r="F31" s="99" t="s">
        <v>218</v>
      </c>
      <c r="G31" s="98" t="s">
        <v>219</v>
      </c>
      <c r="H31" s="99" t="s">
        <v>218</v>
      </c>
    </row>
    <row r="32" spans="1:8" x14ac:dyDescent="0.25">
      <c r="A32" s="71" t="s">
        <v>106</v>
      </c>
      <c r="B32" s="65" t="s">
        <v>126</v>
      </c>
      <c r="C32" s="101">
        <v>0.2</v>
      </c>
      <c r="D32" s="94">
        <f>ROUND($C32*(D$26+D$19),2)</f>
        <v>1050.17</v>
      </c>
      <c r="E32" s="101">
        <v>0.2</v>
      </c>
      <c r="F32" s="94">
        <f>ROUND(E$32*(F$26+F$19),2)</f>
        <v>1151.74</v>
      </c>
      <c r="G32" s="101">
        <v>0.2</v>
      </c>
      <c r="H32" s="96">
        <f>ROUND(G$32*(H$26+H$19),2)</f>
        <v>1218.43</v>
      </c>
    </row>
    <row r="33" spans="1:8" x14ac:dyDescent="0.25">
      <c r="A33" s="71" t="s">
        <v>108</v>
      </c>
      <c r="B33" s="65" t="s">
        <v>127</v>
      </c>
      <c r="C33" s="101">
        <v>2.5000000000000001E-2</v>
      </c>
      <c r="D33" s="94">
        <f t="shared" ref="D33:D39" si="1">ROUND($C33*(D$26+D$19),2)</f>
        <v>131.27000000000001</v>
      </c>
      <c r="E33" s="101">
        <v>2.5000000000000001E-2</v>
      </c>
      <c r="F33" s="94">
        <f>ROUND(E$33*(F$26+F$19),2)</f>
        <v>143.97</v>
      </c>
      <c r="G33" s="101">
        <v>2.5000000000000001E-2</v>
      </c>
      <c r="H33" s="96">
        <f>ROUND(G$33*(H$26+H$19),2)</f>
        <v>152.30000000000001</v>
      </c>
    </row>
    <row r="34" spans="1:8" x14ac:dyDescent="0.25">
      <c r="A34" s="71" t="s">
        <v>110</v>
      </c>
      <c r="B34" s="65" t="s">
        <v>128</v>
      </c>
      <c r="C34" s="101">
        <f>3%*1</f>
        <v>0.03</v>
      </c>
      <c r="D34" s="94">
        <f t="shared" si="1"/>
        <v>157.53</v>
      </c>
      <c r="E34" s="101">
        <f>3%*1.7299</f>
        <v>5.1896999999999999E-2</v>
      </c>
      <c r="F34" s="94">
        <f>ROUND(E$34*(F$26+F$19),2)</f>
        <v>298.86</v>
      </c>
      <c r="G34" s="173">
        <f>3%*0.5</f>
        <v>1.4999999999999999E-2</v>
      </c>
      <c r="H34" s="96">
        <f>ROUND(G$34*(H$26+H$19),2)</f>
        <v>91.38</v>
      </c>
    </row>
    <row r="35" spans="1:8" x14ac:dyDescent="0.25">
      <c r="A35" s="71" t="s">
        <v>112</v>
      </c>
      <c r="B35" s="65" t="s">
        <v>129</v>
      </c>
      <c r="C35" s="101">
        <v>1.4999999999999999E-2</v>
      </c>
      <c r="D35" s="94">
        <f t="shared" si="1"/>
        <v>78.760000000000005</v>
      </c>
      <c r="E35" s="101">
        <v>1.4999999999999999E-2</v>
      </c>
      <c r="F35" s="94">
        <f>ROUND(E$35*(F$26+F$19),2)</f>
        <v>86.38</v>
      </c>
      <c r="G35" s="101">
        <v>1.4999999999999999E-2</v>
      </c>
      <c r="H35" s="96">
        <f>ROUND(G$35*(H$26+H$19),2)</f>
        <v>91.38</v>
      </c>
    </row>
    <row r="36" spans="1:8" x14ac:dyDescent="0.25">
      <c r="A36" s="71" t="s">
        <v>114</v>
      </c>
      <c r="B36" s="65" t="s">
        <v>130</v>
      </c>
      <c r="C36" s="101">
        <v>0.01</v>
      </c>
      <c r="D36" s="94">
        <f t="shared" si="1"/>
        <v>52.51</v>
      </c>
      <c r="E36" s="101">
        <v>0.01</v>
      </c>
      <c r="F36" s="94">
        <f>ROUND(E$36*(F$26+F$19),2)</f>
        <v>57.59</v>
      </c>
      <c r="G36" s="101">
        <v>0.01</v>
      </c>
      <c r="H36" s="96">
        <f>ROUND(G$36*(H$26+H$19),2)</f>
        <v>60.92</v>
      </c>
    </row>
    <row r="37" spans="1:8" x14ac:dyDescent="0.25">
      <c r="A37" s="71" t="s">
        <v>6</v>
      </c>
      <c r="B37" s="65" t="s">
        <v>131</v>
      </c>
      <c r="C37" s="101">
        <v>6.0000000000000001E-3</v>
      </c>
      <c r="D37" s="94">
        <f t="shared" si="1"/>
        <v>31.51</v>
      </c>
      <c r="E37" s="101">
        <v>6.0000000000000001E-3</v>
      </c>
      <c r="F37" s="94">
        <f>ROUND(E$37*(F$26+F$19),2)</f>
        <v>34.549999999999997</v>
      </c>
      <c r="G37" s="101">
        <v>6.0000000000000001E-3</v>
      </c>
      <c r="H37" s="96">
        <f>ROUND(G$37*(H$26+H$19),2)</f>
        <v>36.549999999999997</v>
      </c>
    </row>
    <row r="38" spans="1:8" x14ac:dyDescent="0.25">
      <c r="A38" s="71" t="s">
        <v>132</v>
      </c>
      <c r="B38" s="65" t="s">
        <v>133</v>
      </c>
      <c r="C38" s="101">
        <v>2E-3</v>
      </c>
      <c r="D38" s="94">
        <f t="shared" si="1"/>
        <v>10.5</v>
      </c>
      <c r="E38" s="101">
        <v>2E-3</v>
      </c>
      <c r="F38" s="94">
        <f>ROUND(E$38*(F$26+F$19),2)</f>
        <v>11.52</v>
      </c>
      <c r="G38" s="101">
        <v>2E-3</v>
      </c>
      <c r="H38" s="96">
        <f>ROUND(G$38*(H$26+H$19),2)</f>
        <v>12.18</v>
      </c>
    </row>
    <row r="39" spans="1:8" x14ac:dyDescent="0.25">
      <c r="A39" s="71" t="s">
        <v>134</v>
      </c>
      <c r="B39" s="65" t="s">
        <v>135</v>
      </c>
      <c r="C39" s="101">
        <v>0.08</v>
      </c>
      <c r="D39" s="94">
        <f t="shared" si="1"/>
        <v>420.07</v>
      </c>
      <c r="E39" s="101">
        <v>0.08</v>
      </c>
      <c r="F39" s="94">
        <f>ROUND(E$39*(F$26+F$19),2)</f>
        <v>460.7</v>
      </c>
      <c r="G39" s="101">
        <v>0.08</v>
      </c>
      <c r="H39" s="96">
        <f>ROUND(G$39*(H$26+H$19),2)</f>
        <v>487.37</v>
      </c>
    </row>
    <row r="40" spans="1:8" x14ac:dyDescent="0.25">
      <c r="A40" s="188" t="s">
        <v>71</v>
      </c>
      <c r="B40" s="188"/>
      <c r="C40" s="102">
        <f t="shared" ref="C40:H40" si="2">SUM(C32:C39)</f>
        <v>0.36800000000000005</v>
      </c>
      <c r="D40" s="95">
        <f t="shared" si="2"/>
        <v>1932.32</v>
      </c>
      <c r="E40" s="102">
        <f t="shared" si="2"/>
        <v>0.38989700000000005</v>
      </c>
      <c r="F40" s="95">
        <f t="shared" si="2"/>
        <v>2245.31</v>
      </c>
      <c r="G40" s="174">
        <f t="shared" si="2"/>
        <v>0.35300000000000004</v>
      </c>
      <c r="H40" s="97">
        <f t="shared" si="2"/>
        <v>2150.5100000000002</v>
      </c>
    </row>
    <row r="41" spans="1:8" ht="29.25" customHeight="1" x14ac:dyDescent="0.25">
      <c r="A41" s="186" t="s">
        <v>136</v>
      </c>
      <c r="B41" s="186"/>
      <c r="C41" s="77"/>
      <c r="D41" s="77"/>
      <c r="E41" s="77"/>
      <c r="F41" s="77"/>
      <c r="G41" s="7"/>
      <c r="H41" s="51"/>
    </row>
    <row r="42" spans="1:8" ht="39" customHeight="1" x14ac:dyDescent="0.25">
      <c r="A42" s="186" t="s">
        <v>137</v>
      </c>
      <c r="B42" s="186"/>
      <c r="C42" s="77"/>
      <c r="D42" s="77"/>
      <c r="E42" s="77"/>
      <c r="F42" s="77"/>
      <c r="G42" s="7"/>
      <c r="H42" s="51"/>
    </row>
    <row r="43" spans="1:8" ht="38.25" customHeight="1" x14ac:dyDescent="0.25">
      <c r="A43" s="186" t="s">
        <v>138</v>
      </c>
      <c r="B43" s="186"/>
      <c r="C43" s="77"/>
      <c r="D43" s="77"/>
      <c r="E43" s="77"/>
      <c r="F43" s="77"/>
      <c r="G43" s="7"/>
      <c r="H43" s="51"/>
    </row>
    <row r="44" spans="1:8" ht="28.5" customHeight="1" x14ac:dyDescent="0.25">
      <c r="A44" s="186" t="s">
        <v>139</v>
      </c>
      <c r="B44" s="186"/>
      <c r="C44" s="77"/>
      <c r="D44" s="77"/>
      <c r="E44" s="77"/>
      <c r="F44" s="77"/>
      <c r="G44" s="7"/>
      <c r="H44" s="51"/>
    </row>
    <row r="45" spans="1:8" ht="26.25" customHeight="1" x14ac:dyDescent="0.25">
      <c r="A45" s="186" t="s">
        <v>140</v>
      </c>
      <c r="B45" s="186"/>
      <c r="C45" s="77"/>
      <c r="D45" s="77"/>
      <c r="E45" s="77"/>
      <c r="F45" s="77"/>
      <c r="G45" s="7"/>
      <c r="H45" s="51"/>
    </row>
    <row r="46" spans="1:8" x14ac:dyDescent="0.25">
      <c r="A46" s="188" t="s">
        <v>141</v>
      </c>
      <c r="B46" s="188"/>
      <c r="C46" s="77"/>
      <c r="D46" s="77"/>
      <c r="E46" s="77"/>
      <c r="F46" s="77"/>
      <c r="G46" s="7"/>
      <c r="H46" s="51"/>
    </row>
    <row r="47" spans="1:8" x14ac:dyDescent="0.25">
      <c r="A47" s="72" t="s">
        <v>142</v>
      </c>
      <c r="B47" s="72" t="s">
        <v>143</v>
      </c>
      <c r="C47" s="98" t="s">
        <v>144</v>
      </c>
      <c r="D47" s="98" t="s">
        <v>218</v>
      </c>
      <c r="E47" s="98" t="s">
        <v>144</v>
      </c>
      <c r="F47" s="98" t="s">
        <v>218</v>
      </c>
      <c r="G47" s="98" t="s">
        <v>34</v>
      </c>
      <c r="H47" s="98" t="s">
        <v>218</v>
      </c>
    </row>
    <row r="48" spans="1:8" x14ac:dyDescent="0.25">
      <c r="A48" s="71" t="s">
        <v>106</v>
      </c>
      <c r="B48" s="65" t="s">
        <v>32</v>
      </c>
      <c r="C48" s="106">
        <v>13</v>
      </c>
      <c r="D48" s="110">
        <f>ROUND(($C48*2*5.5)-(D13*0.06),2)</f>
        <v>-39.67</v>
      </c>
      <c r="E48" s="106">
        <v>13</v>
      </c>
      <c r="F48" s="110">
        <f>ROUND((E$48*2*5.5)-(F13*0.06),2)</f>
        <v>-55.2</v>
      </c>
      <c r="G48" s="108">
        <v>13</v>
      </c>
      <c r="H48" s="112">
        <f>ROUND((G$48*2*5.5)-(H13*0.06),2)</f>
        <v>-66.67</v>
      </c>
    </row>
    <row r="49" spans="1:8" x14ac:dyDescent="0.25">
      <c r="A49" s="71" t="s">
        <v>108</v>
      </c>
      <c r="B49" s="65" t="s">
        <v>145</v>
      </c>
      <c r="C49" s="106">
        <v>13</v>
      </c>
      <c r="D49" s="94">
        <f>$C49*38</f>
        <v>494</v>
      </c>
      <c r="E49" s="106">
        <v>13</v>
      </c>
      <c r="F49" s="94">
        <f>E$49*41.23</f>
        <v>535.99</v>
      </c>
      <c r="G49" s="108">
        <v>13</v>
      </c>
      <c r="H49" s="96">
        <f>G$49*43.62</f>
        <v>567.05999999999995</v>
      </c>
    </row>
    <row r="50" spans="1:8" x14ac:dyDescent="0.25">
      <c r="A50" s="71" t="s">
        <v>110</v>
      </c>
      <c r="B50" s="65" t="s">
        <v>78</v>
      </c>
      <c r="C50" s="107" t="s">
        <v>35</v>
      </c>
      <c r="D50" s="94">
        <v>153.77000000000001</v>
      </c>
      <c r="E50" s="107" t="s">
        <v>35</v>
      </c>
      <c r="F50" s="94">
        <v>169.67</v>
      </c>
      <c r="G50" s="109" t="s">
        <v>35</v>
      </c>
      <c r="H50" s="96">
        <v>175.76</v>
      </c>
    </row>
    <row r="51" spans="1:8" x14ac:dyDescent="0.25">
      <c r="A51" s="71" t="s">
        <v>112</v>
      </c>
      <c r="B51" s="65" t="s">
        <v>146</v>
      </c>
      <c r="C51" s="107" t="s">
        <v>35</v>
      </c>
      <c r="D51" s="94">
        <v>10.63</v>
      </c>
      <c r="E51" s="107" t="s">
        <v>35</v>
      </c>
      <c r="F51" s="94">
        <v>11.53</v>
      </c>
      <c r="G51" s="109" t="s">
        <v>35</v>
      </c>
      <c r="H51" s="96">
        <v>12.2</v>
      </c>
    </row>
    <row r="52" spans="1:8" x14ac:dyDescent="0.25">
      <c r="A52" s="71" t="s">
        <v>6</v>
      </c>
      <c r="B52" s="65" t="s">
        <v>33</v>
      </c>
      <c r="C52" s="107" t="s">
        <v>35</v>
      </c>
      <c r="D52" s="94">
        <v>9.25</v>
      </c>
      <c r="E52" s="107" t="s">
        <v>35</v>
      </c>
      <c r="F52" s="94">
        <v>10.039999999999999</v>
      </c>
      <c r="G52" s="109" t="s">
        <v>35</v>
      </c>
      <c r="H52" s="96">
        <v>12.14</v>
      </c>
    </row>
    <row r="53" spans="1:8" x14ac:dyDescent="0.25">
      <c r="A53" s="208" t="s">
        <v>147</v>
      </c>
      <c r="B53" s="208"/>
      <c r="C53" s="90"/>
      <c r="D53" s="111">
        <f>SUM(D49:D52)</f>
        <v>667.65</v>
      </c>
      <c r="E53" s="90"/>
      <c r="F53" s="111">
        <f>SUM(F49:F52)</f>
        <v>727.2299999999999</v>
      </c>
      <c r="G53" s="92"/>
      <c r="H53" s="113">
        <f>SUM(H49:H52)</f>
        <v>767.16</v>
      </c>
    </row>
    <row r="54" spans="1:8" ht="30.75" customHeight="1" x14ac:dyDescent="0.25">
      <c r="A54" s="186" t="s">
        <v>148</v>
      </c>
      <c r="B54" s="186"/>
      <c r="C54" s="77"/>
      <c r="D54" s="77"/>
      <c r="E54" s="77"/>
      <c r="F54" s="77"/>
      <c r="G54" s="7"/>
      <c r="H54" s="51"/>
    </row>
    <row r="55" spans="1:8" ht="25.5" customHeight="1" x14ac:dyDescent="0.25">
      <c r="A55" s="186" t="s">
        <v>149</v>
      </c>
      <c r="B55" s="186"/>
      <c r="C55" s="77"/>
      <c r="D55" s="77"/>
      <c r="E55" s="77"/>
      <c r="F55" s="77"/>
      <c r="G55" s="7"/>
      <c r="H55" s="51"/>
    </row>
    <row r="56" spans="1:8" ht="27" customHeight="1" x14ac:dyDescent="0.25">
      <c r="A56" s="187" t="s">
        <v>150</v>
      </c>
      <c r="B56" s="187"/>
      <c r="C56" s="77"/>
      <c r="D56" s="77"/>
      <c r="E56" s="77"/>
      <c r="F56" s="77"/>
      <c r="G56" s="7"/>
      <c r="H56" s="51"/>
    </row>
    <row r="57" spans="1:8" x14ac:dyDescent="0.25">
      <c r="A57" s="76">
        <v>2</v>
      </c>
      <c r="B57" s="66" t="s">
        <v>151</v>
      </c>
      <c r="C57" s="73"/>
      <c r="D57" s="99" t="s">
        <v>218</v>
      </c>
      <c r="E57" s="73"/>
      <c r="F57" s="99" t="s">
        <v>218</v>
      </c>
      <c r="G57" s="67"/>
      <c r="H57" s="99" t="s">
        <v>218</v>
      </c>
    </row>
    <row r="58" spans="1:8" x14ac:dyDescent="0.25">
      <c r="A58" s="71" t="s">
        <v>119</v>
      </c>
      <c r="B58" s="65" t="s">
        <v>120</v>
      </c>
      <c r="C58" s="73"/>
      <c r="D58" s="94">
        <f>D26</f>
        <v>918.81999999999994</v>
      </c>
      <c r="E58" s="73"/>
      <c r="F58" s="94">
        <f>F26</f>
        <v>1007.69</v>
      </c>
      <c r="G58" s="67"/>
      <c r="H58" s="96">
        <f>H26</f>
        <v>1066.03</v>
      </c>
    </row>
    <row r="59" spans="1:8" x14ac:dyDescent="0.25">
      <c r="A59" s="71" t="s">
        <v>124</v>
      </c>
      <c r="B59" s="65" t="s">
        <v>125</v>
      </c>
      <c r="C59" s="73"/>
      <c r="D59" s="94">
        <f>D40</f>
        <v>1932.32</v>
      </c>
      <c r="E59" s="73"/>
      <c r="F59" s="94">
        <f>F40</f>
        <v>2245.31</v>
      </c>
      <c r="G59" s="67"/>
      <c r="H59" s="96">
        <f>H40</f>
        <v>2150.5100000000002</v>
      </c>
    </row>
    <row r="60" spans="1:8" x14ac:dyDescent="0.25">
      <c r="A60" s="71" t="s">
        <v>142</v>
      </c>
      <c r="B60" s="65" t="s">
        <v>143</v>
      </c>
      <c r="C60" s="73"/>
      <c r="D60" s="94">
        <f>D53</f>
        <v>667.65</v>
      </c>
      <c r="E60" s="73"/>
      <c r="F60" s="94">
        <f>F53</f>
        <v>727.2299999999999</v>
      </c>
      <c r="G60" s="67"/>
      <c r="H60" s="96">
        <f>H53</f>
        <v>767.16</v>
      </c>
    </row>
    <row r="61" spans="1:8" x14ac:dyDescent="0.25">
      <c r="A61" s="188" t="s">
        <v>71</v>
      </c>
      <c r="B61" s="188"/>
      <c r="C61" s="73"/>
      <c r="D61" s="95">
        <f>SUM(D58:D60)</f>
        <v>3518.79</v>
      </c>
      <c r="E61" s="73"/>
      <c r="F61" s="95">
        <f>SUM(F58:F60)</f>
        <v>3980.23</v>
      </c>
      <c r="G61" s="67"/>
      <c r="H61" s="97">
        <f>SUM(H58:H60)</f>
        <v>3983.7</v>
      </c>
    </row>
    <row r="62" spans="1:8" x14ac:dyDescent="0.25">
      <c r="A62" s="187" t="s">
        <v>152</v>
      </c>
      <c r="B62" s="187"/>
      <c r="C62" s="77"/>
      <c r="D62" s="77"/>
      <c r="E62" s="77"/>
      <c r="F62" s="77"/>
      <c r="G62" s="7"/>
      <c r="H62" s="51"/>
    </row>
    <row r="63" spans="1:8" x14ac:dyDescent="0.25">
      <c r="A63" s="76">
        <v>3</v>
      </c>
      <c r="B63" s="66" t="s">
        <v>153</v>
      </c>
      <c r="C63" s="98" t="s">
        <v>219</v>
      </c>
      <c r="D63" s="99" t="s">
        <v>218</v>
      </c>
      <c r="E63" s="98" t="s">
        <v>219</v>
      </c>
      <c r="F63" s="99" t="s">
        <v>218</v>
      </c>
      <c r="G63" s="98" t="s">
        <v>219</v>
      </c>
      <c r="H63" s="99" t="s">
        <v>218</v>
      </c>
    </row>
    <row r="64" spans="1:8" x14ac:dyDescent="0.25">
      <c r="A64" s="71" t="s">
        <v>106</v>
      </c>
      <c r="B64" s="65" t="s">
        <v>154</v>
      </c>
      <c r="C64" s="101">
        <f>((0.002*(1/12)))</f>
        <v>1.6666666666666666E-4</v>
      </c>
      <c r="D64" s="94">
        <f>ROUND($C64*D$19,2)</f>
        <v>0.72</v>
      </c>
      <c r="E64" s="101">
        <v>1.6666666666666666E-4</v>
      </c>
      <c r="F64" s="94">
        <f>ROUND(E$64*F$19,2)</f>
        <v>0.79</v>
      </c>
      <c r="G64" s="103">
        <v>1.6666666666666666E-4</v>
      </c>
      <c r="H64" s="96">
        <f>ROUND(G$64*H$19,2)</f>
        <v>0.84</v>
      </c>
    </row>
    <row r="65" spans="1:8" x14ac:dyDescent="0.25">
      <c r="A65" s="71" t="s">
        <v>108</v>
      </c>
      <c r="B65" s="65" t="s">
        <v>155</v>
      </c>
      <c r="C65" s="114">
        <f>C39*C64</f>
        <v>1.3333333333333333E-5</v>
      </c>
      <c r="D65" s="94">
        <f>ROUND(D$64*$C39,2)</f>
        <v>0.06</v>
      </c>
      <c r="E65" s="114">
        <v>1.3333333333333333E-5</v>
      </c>
      <c r="F65" s="94">
        <f>ROUND(F$64*E$39,2)</f>
        <v>0.06</v>
      </c>
      <c r="G65" s="116">
        <v>1.3333333333333333E-5</v>
      </c>
      <c r="H65" s="96">
        <f>ROUND(H$64*G$39,2)</f>
        <v>7.0000000000000007E-2</v>
      </c>
    </row>
    <row r="66" spans="1:8" ht="25.5" x14ac:dyDescent="0.25">
      <c r="A66" s="71" t="s">
        <v>110</v>
      </c>
      <c r="B66" s="65" t="s">
        <v>156</v>
      </c>
      <c r="C66" s="115">
        <v>9.9999999999999995E-7</v>
      </c>
      <c r="D66" s="94">
        <f>$C66*D$64</f>
        <v>7.1999999999999999E-7</v>
      </c>
      <c r="E66" s="115">
        <v>9.9999999999999995E-7</v>
      </c>
      <c r="F66" s="94">
        <f>E$66*F$64</f>
        <v>7.8999999999999995E-7</v>
      </c>
      <c r="G66" s="117">
        <v>9.9999999999999995E-7</v>
      </c>
      <c r="H66" s="94">
        <f>G$66*H$64</f>
        <v>8.399999999999999E-7</v>
      </c>
    </row>
    <row r="67" spans="1:8" x14ac:dyDescent="0.25">
      <c r="A67" s="71" t="s">
        <v>112</v>
      </c>
      <c r="B67" s="65" t="s">
        <v>157</v>
      </c>
      <c r="C67" s="114">
        <f>(((0.1/30)*7)/12)</f>
        <v>1.9444444444444446E-3</v>
      </c>
      <c r="D67" s="94">
        <f>ROUND($C67*D$19,2)</f>
        <v>8.42</v>
      </c>
      <c r="E67" s="114">
        <v>1.9444444444444446E-3</v>
      </c>
      <c r="F67" s="94">
        <f>ROUND(E$67*F$19,2)</f>
        <v>9.24</v>
      </c>
      <c r="G67" s="116">
        <v>1.9444444444444446E-3</v>
      </c>
      <c r="H67" s="96">
        <f>ROUND(G$67*H$19,2)</f>
        <v>9.77</v>
      </c>
    </row>
    <row r="68" spans="1:8" ht="25.5" x14ac:dyDescent="0.25">
      <c r="A68" s="71" t="s">
        <v>114</v>
      </c>
      <c r="B68" s="65" t="s">
        <v>158</v>
      </c>
      <c r="C68" s="101">
        <f>C67*C40</f>
        <v>7.1555555555555576E-4</v>
      </c>
      <c r="D68" s="94">
        <f>ROUND(D$67*$C40,2)</f>
        <v>3.1</v>
      </c>
      <c r="E68" s="101">
        <v>7.1555555555555576E-4</v>
      </c>
      <c r="F68" s="94">
        <f>ROUND(F$67*E$40,2)</f>
        <v>3.6</v>
      </c>
      <c r="G68" s="101">
        <v>7.1555555555555576E-4</v>
      </c>
      <c r="H68" s="96">
        <f>ROUND(H$67*G$40,2)</f>
        <v>3.45</v>
      </c>
    </row>
    <row r="69" spans="1:8" ht="25.5" x14ac:dyDescent="0.25">
      <c r="A69" s="71" t="s">
        <v>6</v>
      </c>
      <c r="B69" s="65" t="s">
        <v>159</v>
      </c>
      <c r="C69" s="101">
        <v>1E-4</v>
      </c>
      <c r="D69" s="94">
        <f>ROUND(D$67*$C69,2)</f>
        <v>0</v>
      </c>
      <c r="E69" s="101">
        <v>1E-4</v>
      </c>
      <c r="F69" s="94">
        <f>ROUND(F$67*E$69,2)</f>
        <v>0</v>
      </c>
      <c r="G69" s="103">
        <v>1E-4</v>
      </c>
      <c r="H69" s="94">
        <f>ROUND(H$67*G$69,2)</f>
        <v>0</v>
      </c>
    </row>
    <row r="70" spans="1:8" x14ac:dyDescent="0.25">
      <c r="A70" s="71" t="s">
        <v>132</v>
      </c>
      <c r="B70" s="65" t="s">
        <v>160</v>
      </c>
      <c r="C70" s="101">
        <v>3.49E-2</v>
      </c>
      <c r="D70" s="94">
        <f>ROUND($C70*D$19,2)</f>
        <v>151.19</v>
      </c>
      <c r="E70" s="101">
        <v>3.49E-2</v>
      </c>
      <c r="F70" s="94">
        <f>ROUND(E$70*F$19,2)</f>
        <v>165.81</v>
      </c>
      <c r="G70" s="103">
        <v>3.49E-2</v>
      </c>
      <c r="H70" s="96">
        <f>ROUND(G$70*H$19,2)</f>
        <v>175.41</v>
      </c>
    </row>
    <row r="71" spans="1:8" x14ac:dyDescent="0.25">
      <c r="A71" s="66"/>
      <c r="B71" s="66" t="s">
        <v>71</v>
      </c>
      <c r="C71" s="102">
        <f t="shared" ref="C71:H71" si="3">SUM(C64:C70)</f>
        <v>3.7841E-2</v>
      </c>
      <c r="D71" s="95">
        <f t="shared" si="3"/>
        <v>163.49000072000001</v>
      </c>
      <c r="E71" s="102">
        <f t="shared" si="3"/>
        <v>3.7841E-2</v>
      </c>
      <c r="F71" s="95">
        <f t="shared" si="3"/>
        <v>179.50000079</v>
      </c>
      <c r="G71" s="102">
        <f t="shared" si="3"/>
        <v>3.7841E-2</v>
      </c>
      <c r="H71" s="97">
        <f t="shared" si="3"/>
        <v>189.54000084</v>
      </c>
    </row>
    <row r="72" spans="1:8" ht="27" customHeight="1" x14ac:dyDescent="0.25">
      <c r="A72" s="186" t="s">
        <v>161</v>
      </c>
      <c r="B72" s="186"/>
      <c r="C72" s="77"/>
      <c r="D72" s="77"/>
      <c r="E72" s="77"/>
      <c r="F72" s="77"/>
      <c r="G72" s="7"/>
      <c r="H72" s="51"/>
    </row>
    <row r="73" spans="1:8" ht="27" customHeight="1" x14ac:dyDescent="0.25">
      <c r="A73" s="186" t="s">
        <v>162</v>
      </c>
      <c r="B73" s="186"/>
      <c r="C73" s="77"/>
      <c r="D73" s="77"/>
      <c r="E73" s="77"/>
      <c r="F73" s="77"/>
      <c r="G73" s="7"/>
      <c r="H73" s="51"/>
    </row>
    <row r="74" spans="1:8" x14ac:dyDescent="0.25">
      <c r="A74" s="187" t="s">
        <v>163</v>
      </c>
      <c r="B74" s="187"/>
      <c r="C74" s="77"/>
      <c r="D74" s="77"/>
      <c r="E74" s="77"/>
      <c r="F74" s="77"/>
      <c r="G74" s="7"/>
      <c r="H74" s="51"/>
    </row>
    <row r="75" spans="1:8" ht="54.75" customHeight="1" x14ac:dyDescent="0.25">
      <c r="A75" s="186" t="s">
        <v>79</v>
      </c>
      <c r="B75" s="186"/>
      <c r="C75" s="77"/>
      <c r="D75" s="77"/>
      <c r="E75" s="77"/>
      <c r="F75" s="77"/>
      <c r="G75" s="7"/>
      <c r="H75" s="51"/>
    </row>
    <row r="76" spans="1:8" x14ac:dyDescent="0.25">
      <c r="A76" s="188" t="s">
        <v>164</v>
      </c>
      <c r="B76" s="188"/>
      <c r="C76" s="77"/>
      <c r="D76" s="77"/>
      <c r="E76" s="77"/>
      <c r="F76" s="77"/>
      <c r="G76" s="7"/>
      <c r="H76" s="51"/>
    </row>
    <row r="77" spans="1:8" x14ac:dyDescent="0.25">
      <c r="A77" s="72" t="s">
        <v>165</v>
      </c>
      <c r="B77" s="72" t="s">
        <v>166</v>
      </c>
      <c r="C77" s="98" t="s">
        <v>219</v>
      </c>
      <c r="D77" s="99" t="s">
        <v>218</v>
      </c>
      <c r="E77" s="98" t="s">
        <v>219</v>
      </c>
      <c r="F77" s="99" t="s">
        <v>218</v>
      </c>
      <c r="G77" s="98" t="s">
        <v>219</v>
      </c>
      <c r="H77" s="99" t="s">
        <v>218</v>
      </c>
    </row>
    <row r="78" spans="1:8" x14ac:dyDescent="0.25">
      <c r="A78" s="71" t="s">
        <v>106</v>
      </c>
      <c r="B78" s="65" t="s">
        <v>167</v>
      </c>
      <c r="C78" s="101">
        <v>7.6E-3</v>
      </c>
      <c r="D78" s="94">
        <f>ROUND($C78*D$19,2)</f>
        <v>32.92</v>
      </c>
      <c r="E78" s="101">
        <v>7.6E-3</v>
      </c>
      <c r="F78" s="94">
        <f>ROUND(E$78*F$19,2)</f>
        <v>36.11</v>
      </c>
      <c r="G78" s="103">
        <v>7.6E-3</v>
      </c>
      <c r="H78" s="96">
        <f>ROUND(G$78*H$19,2)</f>
        <v>38.200000000000003</v>
      </c>
    </row>
    <row r="79" spans="1:8" x14ac:dyDescent="0.25">
      <c r="A79" s="71" t="s">
        <v>108</v>
      </c>
      <c r="B79" s="65" t="s">
        <v>168</v>
      </c>
      <c r="C79" s="114">
        <f>((1/30)*0.015)/12</f>
        <v>4.1666666666666665E-5</v>
      </c>
      <c r="D79" s="94">
        <f t="shared" ref="D79:D83" si="4">ROUND($C79*D$19,2)</f>
        <v>0.18</v>
      </c>
      <c r="E79" s="114">
        <f>((1/30)*0.015)/12</f>
        <v>4.1666666666666665E-5</v>
      </c>
      <c r="F79" s="94">
        <f>ROUND(E$79*F$19,2)</f>
        <v>0.2</v>
      </c>
      <c r="G79" s="116">
        <f>((1/30)*0.015)/12</f>
        <v>4.1666666666666665E-5</v>
      </c>
      <c r="H79" s="96">
        <f>ROUND(G$79*H$19,2)</f>
        <v>0.21</v>
      </c>
    </row>
    <row r="80" spans="1:8" x14ac:dyDescent="0.25">
      <c r="A80" s="71" t="s">
        <v>110</v>
      </c>
      <c r="B80" s="65" t="s">
        <v>169</v>
      </c>
      <c r="C80" s="101">
        <f>(((5/30)/12)*0.01)</f>
        <v>1.3888888888888889E-4</v>
      </c>
      <c r="D80" s="94">
        <f t="shared" si="4"/>
        <v>0.6</v>
      </c>
      <c r="E80" s="101">
        <f>(((5/30)/12)*0.01)</f>
        <v>1.3888888888888889E-4</v>
      </c>
      <c r="F80" s="94">
        <f>ROUND(E$80*F$19,2)</f>
        <v>0.66</v>
      </c>
      <c r="G80" s="103">
        <f>(((5/30)/12)*0.01)</f>
        <v>1.3888888888888889E-4</v>
      </c>
      <c r="H80" s="96">
        <f>ROUND(G$80*H$19,2)</f>
        <v>0.7</v>
      </c>
    </row>
    <row r="81" spans="1:8" x14ac:dyDescent="0.25">
      <c r="A81" s="71" t="s">
        <v>112</v>
      </c>
      <c r="B81" s="65" t="s">
        <v>170</v>
      </c>
      <c r="C81" s="101">
        <f>(((1/30)/12)*0.03)</f>
        <v>8.3333333333333331E-5</v>
      </c>
      <c r="D81" s="94">
        <f t="shared" si="4"/>
        <v>0.36</v>
      </c>
      <c r="E81" s="101">
        <f>(((1/30)/12)*0.03)</f>
        <v>8.3333333333333331E-5</v>
      </c>
      <c r="F81" s="94">
        <f>ROUND(E$81*F$19,2)</f>
        <v>0.4</v>
      </c>
      <c r="G81" s="103">
        <f>(((1/30)/12)*0.03)</f>
        <v>8.3333333333333331E-5</v>
      </c>
      <c r="H81" s="96">
        <f>ROUND(G$81*H$19,2)</f>
        <v>0.42</v>
      </c>
    </row>
    <row r="82" spans="1:8" x14ac:dyDescent="0.25">
      <c r="A82" s="71" t="s">
        <v>114</v>
      </c>
      <c r="B82" s="65" t="s">
        <v>171</v>
      </c>
      <c r="C82" s="101">
        <f>((((1/12)*4)+((1.33/12)*4))/12)*0.0025</f>
        <v>1.6180555555555555E-4</v>
      </c>
      <c r="D82" s="94">
        <f t="shared" si="4"/>
        <v>0.7</v>
      </c>
      <c r="E82" s="101">
        <f>((((1/12)*4)+((1.33/12)*4))/12)*0.0025</f>
        <v>1.6180555555555555E-4</v>
      </c>
      <c r="F82" s="94">
        <f>ROUND(E$82*F$19,2)</f>
        <v>0.77</v>
      </c>
      <c r="G82" s="103">
        <f>((((1/12)*4)+((1.33/12)*4))/12)*0.0025</f>
        <v>1.6180555555555555E-4</v>
      </c>
      <c r="H82" s="96">
        <f>ROUND(G$82*H$19,2)</f>
        <v>0.81</v>
      </c>
    </row>
    <row r="83" spans="1:8" ht="25.5" x14ac:dyDescent="0.25">
      <c r="A83" s="71" t="s">
        <v>6</v>
      </c>
      <c r="B83" s="65" t="s">
        <v>172</v>
      </c>
      <c r="C83" s="114">
        <f>((1/30)*0.015)/12</f>
        <v>4.1666666666666665E-5</v>
      </c>
      <c r="D83" s="94">
        <f t="shared" si="4"/>
        <v>0.18</v>
      </c>
      <c r="E83" s="114">
        <f>((1/30)*0.015)/12</f>
        <v>4.1666666666666665E-5</v>
      </c>
      <c r="F83" s="94">
        <f>ROUND(E$83*F$19,2)</f>
        <v>0.2</v>
      </c>
      <c r="G83" s="116">
        <f>((1/30)*0.015)/12</f>
        <v>4.1666666666666665E-5</v>
      </c>
      <c r="H83" s="96">
        <f>ROUND(G$83*H$19,2)</f>
        <v>0.21</v>
      </c>
    </row>
    <row r="84" spans="1:8" x14ac:dyDescent="0.25">
      <c r="A84" s="188" t="s">
        <v>71</v>
      </c>
      <c r="B84" s="188"/>
      <c r="C84" s="102">
        <f t="shared" ref="C84:H84" si="5">SUM(C78:C83)</f>
        <v>8.067361111111112E-3</v>
      </c>
      <c r="D84" s="95">
        <f t="shared" si="5"/>
        <v>34.940000000000005</v>
      </c>
      <c r="E84" s="102">
        <f t="shared" si="5"/>
        <v>8.067361111111112E-3</v>
      </c>
      <c r="F84" s="95">
        <f t="shared" si="5"/>
        <v>38.340000000000003</v>
      </c>
      <c r="G84" s="118">
        <f t="shared" si="5"/>
        <v>8.067361111111112E-3</v>
      </c>
      <c r="H84" s="97">
        <f t="shared" si="5"/>
        <v>40.550000000000011</v>
      </c>
    </row>
    <row r="85" spans="1:8" ht="27" customHeight="1" x14ac:dyDescent="0.25">
      <c r="A85" s="186" t="s">
        <v>173</v>
      </c>
      <c r="B85" s="186"/>
      <c r="C85" s="77"/>
      <c r="D85" s="77"/>
      <c r="E85" s="77"/>
      <c r="F85" s="77"/>
      <c r="G85" s="7"/>
      <c r="H85" s="51"/>
    </row>
    <row r="86" spans="1:8" ht="30" customHeight="1" x14ac:dyDescent="0.25">
      <c r="A86" s="187" t="s">
        <v>174</v>
      </c>
      <c r="B86" s="187"/>
      <c r="C86" s="77"/>
      <c r="D86" s="77"/>
      <c r="E86" s="77"/>
      <c r="F86" s="77"/>
      <c r="G86" s="7"/>
      <c r="H86" s="51"/>
    </row>
    <row r="87" spans="1:8" x14ac:dyDescent="0.25">
      <c r="A87" s="76">
        <v>4</v>
      </c>
      <c r="B87" s="66" t="s">
        <v>175</v>
      </c>
      <c r="C87" s="73"/>
      <c r="D87" s="99" t="s">
        <v>84</v>
      </c>
      <c r="E87" s="73"/>
      <c r="F87" s="99" t="s">
        <v>84</v>
      </c>
      <c r="G87" s="67"/>
      <c r="H87" s="100" t="s">
        <v>84</v>
      </c>
    </row>
    <row r="88" spans="1:8" x14ac:dyDescent="0.25">
      <c r="A88" s="71" t="s">
        <v>165</v>
      </c>
      <c r="B88" s="65" t="s">
        <v>166</v>
      </c>
      <c r="C88" s="73"/>
      <c r="D88" s="94">
        <f>D84</f>
        <v>34.940000000000005</v>
      </c>
      <c r="E88" s="73"/>
      <c r="F88" s="94">
        <f>F84</f>
        <v>38.340000000000003</v>
      </c>
      <c r="G88" s="67"/>
      <c r="H88" s="96">
        <f>H84</f>
        <v>40.550000000000011</v>
      </c>
    </row>
    <row r="89" spans="1:8" x14ac:dyDescent="0.25">
      <c r="A89" s="188" t="s">
        <v>71</v>
      </c>
      <c r="B89" s="188"/>
      <c r="C89" s="73"/>
      <c r="D89" s="95">
        <f>D88</f>
        <v>34.940000000000005</v>
      </c>
      <c r="E89" s="73"/>
      <c r="F89" s="95">
        <f>F88</f>
        <v>38.340000000000003</v>
      </c>
      <c r="G89" s="67"/>
      <c r="H89" s="97">
        <f>H88</f>
        <v>40.550000000000011</v>
      </c>
    </row>
    <row r="90" spans="1:8" x14ac:dyDescent="0.25">
      <c r="A90" s="187" t="s">
        <v>176</v>
      </c>
      <c r="B90" s="187"/>
      <c r="C90" s="73"/>
      <c r="D90" s="73"/>
      <c r="E90" s="73"/>
      <c r="F90" s="73"/>
      <c r="G90" s="67"/>
      <c r="H90" s="48"/>
    </row>
    <row r="91" spans="1:8" x14ac:dyDescent="0.25">
      <c r="A91" s="74">
        <v>5</v>
      </c>
      <c r="B91" s="72" t="s">
        <v>177</v>
      </c>
      <c r="C91" s="73"/>
      <c r="D91" s="98" t="s">
        <v>84</v>
      </c>
      <c r="E91" s="73"/>
      <c r="F91" s="98" t="s">
        <v>84</v>
      </c>
      <c r="G91" s="67"/>
      <c r="H91" s="98" t="s">
        <v>84</v>
      </c>
    </row>
    <row r="92" spans="1:8" x14ac:dyDescent="0.25">
      <c r="A92" s="71" t="s">
        <v>106</v>
      </c>
      <c r="B92" s="65" t="s">
        <v>178</v>
      </c>
      <c r="C92" s="73"/>
      <c r="D92" s="94">
        <f>Uniformes!D13</f>
        <v>53.916666666666664</v>
      </c>
      <c r="E92" s="73"/>
      <c r="F92" s="94">
        <f>Uniformes!D33</f>
        <v>53.916666666666664</v>
      </c>
      <c r="G92" s="67"/>
      <c r="H92" s="94">
        <f>Uniformes!D33</f>
        <v>53.916666666666664</v>
      </c>
    </row>
    <row r="93" spans="1:8" x14ac:dyDescent="0.25">
      <c r="A93" s="71" t="s">
        <v>108</v>
      </c>
      <c r="B93" s="65" t="s">
        <v>179</v>
      </c>
      <c r="C93" s="73"/>
      <c r="D93" s="94">
        <v>0</v>
      </c>
      <c r="E93" s="73"/>
      <c r="F93" s="94">
        <v>0</v>
      </c>
      <c r="G93" s="67"/>
      <c r="H93" s="94">
        <v>0</v>
      </c>
    </row>
    <row r="94" spans="1:8" x14ac:dyDescent="0.25">
      <c r="A94" s="71" t="s">
        <v>110</v>
      </c>
      <c r="B94" s="65" t="s">
        <v>180</v>
      </c>
      <c r="C94" s="73"/>
      <c r="D94" s="94">
        <v>0</v>
      </c>
      <c r="E94" s="73"/>
      <c r="F94" s="94">
        <v>0</v>
      </c>
      <c r="G94" s="67"/>
      <c r="H94" s="94">
        <v>0</v>
      </c>
    </row>
    <row r="95" spans="1:8" x14ac:dyDescent="0.25">
      <c r="A95" s="71" t="s">
        <v>112</v>
      </c>
      <c r="B95" s="65" t="s">
        <v>115</v>
      </c>
      <c r="C95" s="73"/>
      <c r="D95" s="94">
        <v>0</v>
      </c>
      <c r="E95" s="73"/>
      <c r="F95" s="94">
        <v>0</v>
      </c>
      <c r="G95" s="67"/>
      <c r="H95" s="94">
        <v>0</v>
      </c>
    </row>
    <row r="96" spans="1:8" x14ac:dyDescent="0.25">
      <c r="A96" s="188" t="s">
        <v>71</v>
      </c>
      <c r="B96" s="188"/>
      <c r="C96" s="73"/>
      <c r="D96" s="95">
        <f>D92</f>
        <v>53.916666666666664</v>
      </c>
      <c r="E96" s="73"/>
      <c r="F96" s="95">
        <f>F92</f>
        <v>53.916666666666664</v>
      </c>
      <c r="G96" s="67"/>
      <c r="H96" s="95">
        <f>H92</f>
        <v>53.916666666666664</v>
      </c>
    </row>
    <row r="97" spans="1:8" x14ac:dyDescent="0.25">
      <c r="A97" s="186" t="s">
        <v>181</v>
      </c>
      <c r="B97" s="186"/>
      <c r="C97" s="73"/>
      <c r="D97" s="73"/>
      <c r="E97" s="73"/>
      <c r="F97" s="73"/>
      <c r="G97" s="67"/>
      <c r="H97" s="48"/>
    </row>
    <row r="98" spans="1:8" x14ac:dyDescent="0.25">
      <c r="A98" s="187" t="s">
        <v>39</v>
      </c>
      <c r="B98" s="187"/>
      <c r="C98" s="73"/>
      <c r="D98" s="73"/>
      <c r="E98" s="73"/>
      <c r="F98" s="73"/>
      <c r="G98" s="67"/>
      <c r="H98" s="48"/>
    </row>
    <row r="99" spans="1:8" x14ac:dyDescent="0.25">
      <c r="A99" s="202" t="s">
        <v>43</v>
      </c>
      <c r="B99" s="202"/>
      <c r="C99" s="119" t="s">
        <v>182</v>
      </c>
      <c r="D99" s="71"/>
      <c r="E99" s="119" t="s">
        <v>182</v>
      </c>
      <c r="F99" s="71"/>
      <c r="G99" s="119" t="s">
        <v>36</v>
      </c>
      <c r="H99" s="53"/>
    </row>
    <row r="100" spans="1:8" x14ac:dyDescent="0.25">
      <c r="A100" s="76">
        <v>6</v>
      </c>
      <c r="B100" s="66" t="s">
        <v>183</v>
      </c>
      <c r="C100" s="98" t="s">
        <v>219</v>
      </c>
      <c r="D100" s="99" t="s">
        <v>218</v>
      </c>
      <c r="E100" s="98" t="s">
        <v>219</v>
      </c>
      <c r="F100" s="99" t="s">
        <v>218</v>
      </c>
      <c r="G100" s="98" t="s">
        <v>219</v>
      </c>
      <c r="H100" s="99" t="s">
        <v>218</v>
      </c>
    </row>
    <row r="101" spans="1:8" x14ac:dyDescent="0.25">
      <c r="A101" s="71" t="s">
        <v>106</v>
      </c>
      <c r="B101" s="65" t="s">
        <v>184</v>
      </c>
      <c r="C101" s="101">
        <v>1.01E-2</v>
      </c>
      <c r="D101" s="94">
        <f>ROUND($C101*D$118,2)</f>
        <v>81.84</v>
      </c>
      <c r="E101" s="101">
        <v>1.01E-2</v>
      </c>
      <c r="F101" s="94">
        <f>ROUND($C101*F$118,2)</f>
        <v>90.93</v>
      </c>
      <c r="G101" s="103">
        <v>1.01E-2</v>
      </c>
      <c r="H101" s="96">
        <f>ROUND($C101*H$118,2)</f>
        <v>93.87</v>
      </c>
    </row>
    <row r="102" spans="1:8" x14ac:dyDescent="0.25">
      <c r="A102" s="71" t="s">
        <v>108</v>
      </c>
      <c r="B102" s="65" t="s">
        <v>185</v>
      </c>
      <c r="C102" s="101">
        <v>1.0411999999999999E-2</v>
      </c>
      <c r="D102" s="94">
        <f>ROUND($C102*(D$118+D$101),2)</f>
        <v>85.22</v>
      </c>
      <c r="E102" s="101">
        <v>1.0411999999999999E-2</v>
      </c>
      <c r="F102" s="94">
        <f>ROUND($C102*(F$118+F$101),2)</f>
        <v>94.69</v>
      </c>
      <c r="G102" s="103">
        <v>1.0411999999999999E-2</v>
      </c>
      <c r="H102" s="96">
        <f>ROUND($C102*(H$118+H$101),2)</f>
        <v>97.74</v>
      </c>
    </row>
    <row r="103" spans="1:8" x14ac:dyDescent="0.25">
      <c r="A103" s="71" t="s">
        <v>110</v>
      </c>
      <c r="B103" s="65" t="s">
        <v>186</v>
      </c>
      <c r="C103" s="121">
        <f>SUM($C104:$C107)</f>
        <v>8.6499999999999994E-2</v>
      </c>
      <c r="D103" s="94">
        <f>SUM(D104:D106)</f>
        <v>783.12000000000012</v>
      </c>
      <c r="E103" s="121">
        <f>SUM($C104:$C107)</f>
        <v>8.6499999999999994E-2</v>
      </c>
      <c r="F103" s="94">
        <f>SUM(F104:F106)</f>
        <v>870.07999999999993</v>
      </c>
      <c r="G103" s="123">
        <f>SUM($C104:$C107)</f>
        <v>8.6499999999999994E-2</v>
      </c>
      <c r="H103" s="96">
        <f>SUM(H104:H106)</f>
        <v>898.18</v>
      </c>
    </row>
    <row r="104" spans="1:8" x14ac:dyDescent="0.25">
      <c r="A104" s="71" t="s">
        <v>187</v>
      </c>
      <c r="B104" s="65" t="s">
        <v>188</v>
      </c>
      <c r="C104" s="121">
        <v>6.4999999999999997E-3</v>
      </c>
      <c r="D104" s="94">
        <f>ROUND($C104*((D$118+D$101+D$102))/$C109,2)</f>
        <v>58.85</v>
      </c>
      <c r="E104" s="121">
        <v>6.4999999999999997E-3</v>
      </c>
      <c r="F104" s="94">
        <f>ROUND($C104*((F$118+F$101+F$102))/$C109,2)</f>
        <v>65.38</v>
      </c>
      <c r="G104" s="123">
        <v>6.4999999999999997E-3</v>
      </c>
      <c r="H104" s="96">
        <f>ROUND($C104*((H$118+H$101+H$102))/$C109,2)</f>
        <v>67.489999999999995</v>
      </c>
    </row>
    <row r="105" spans="1:8" x14ac:dyDescent="0.25">
      <c r="A105" s="71" t="s">
        <v>189</v>
      </c>
      <c r="B105" s="65" t="s">
        <v>190</v>
      </c>
      <c r="C105" s="121">
        <v>0.03</v>
      </c>
      <c r="D105" s="94">
        <f>ROUND($C105*((D$118+D$101+D$102))/$C109,2)</f>
        <v>271.60000000000002</v>
      </c>
      <c r="E105" s="121">
        <v>0.03</v>
      </c>
      <c r="F105" s="94">
        <f>ROUND($C105*((F$118+F$101+F$102))/$C109,2)</f>
        <v>301.76</v>
      </c>
      <c r="G105" s="123">
        <v>0.03</v>
      </c>
      <c r="H105" s="96">
        <f>ROUND($C105*((H$118+H$101+H$102))/$C109,2)</f>
        <v>311.51</v>
      </c>
    </row>
    <row r="106" spans="1:8" x14ac:dyDescent="0.25">
      <c r="A106" s="71" t="s">
        <v>191</v>
      </c>
      <c r="B106" s="65" t="s">
        <v>192</v>
      </c>
      <c r="C106" s="121">
        <v>0.05</v>
      </c>
      <c r="D106" s="94">
        <f>ROUND($C106*((D$118+D$101+D$102))/$C109,2)</f>
        <v>452.67</v>
      </c>
      <c r="E106" s="121">
        <v>0.05</v>
      </c>
      <c r="F106" s="94">
        <f>ROUND($C106*((F$118+F$101+F$102))/$C109,2)</f>
        <v>502.94</v>
      </c>
      <c r="G106" s="123">
        <v>0.05</v>
      </c>
      <c r="H106" s="96">
        <f>ROUND($C106*((H$118+H$101+H$102))/$C109,2)</f>
        <v>519.17999999999995</v>
      </c>
    </row>
    <row r="107" spans="1:8" x14ac:dyDescent="0.25">
      <c r="A107" s="71" t="s">
        <v>112</v>
      </c>
      <c r="B107" s="65" t="s">
        <v>193</v>
      </c>
      <c r="C107" s="121">
        <v>0</v>
      </c>
      <c r="D107" s="94">
        <f>ROUND($C107*((D$118+D$102+D$103))/$C109,2)</f>
        <v>0</v>
      </c>
      <c r="E107" s="121">
        <v>0</v>
      </c>
      <c r="F107" s="94">
        <f>ROUND($C107*((F$118+F$102+F$103))/$C109,2)</f>
        <v>0</v>
      </c>
      <c r="G107" s="123">
        <v>0</v>
      </c>
      <c r="H107" s="94">
        <f>ROUND($C107*((H$118+H$102+H$103))/$C109,2)</f>
        <v>0</v>
      </c>
    </row>
    <row r="108" spans="1:8" x14ac:dyDescent="0.25">
      <c r="A108" s="188" t="s">
        <v>71</v>
      </c>
      <c r="B108" s="188"/>
      <c r="C108" s="102">
        <f>SUM($C102:$C104)</f>
        <v>0.103412</v>
      </c>
      <c r="D108" s="124">
        <f>SUM(D101:D103)</f>
        <v>950.18000000000006</v>
      </c>
      <c r="E108" s="102">
        <f>SUM($C102:$C104)</f>
        <v>0.103412</v>
      </c>
      <c r="F108" s="124">
        <f>SUM(F101:F103)</f>
        <v>1055.6999999999998</v>
      </c>
      <c r="G108" s="118">
        <f>SUM($C102:$C104)</f>
        <v>0.103412</v>
      </c>
      <c r="H108" s="125">
        <f>SUM(H101:H103)</f>
        <v>1089.79</v>
      </c>
    </row>
    <row r="109" spans="1:8" x14ac:dyDescent="0.25">
      <c r="A109" s="42"/>
      <c r="B109" s="77"/>
      <c r="C109" s="130">
        <f>ABS(SUM($C104:$C107)/100%-1)</f>
        <v>0.91349999999999998</v>
      </c>
      <c r="D109" s="80"/>
      <c r="E109" s="131">
        <f>ABS(SUM($C104:$C107)/100%-1)</f>
        <v>0.91349999999999998</v>
      </c>
      <c r="F109" s="80"/>
      <c r="G109" s="131">
        <f>ABS(SUM($C104:$C107)/100%-1)</f>
        <v>0.91349999999999998</v>
      </c>
      <c r="H109" s="59"/>
    </row>
    <row r="110" spans="1:8" x14ac:dyDescent="0.25">
      <c r="A110" s="42"/>
      <c r="B110" s="77"/>
      <c r="C110" s="43"/>
      <c r="D110" s="77"/>
      <c r="E110" s="43"/>
      <c r="F110" s="77"/>
      <c r="G110" s="43"/>
      <c r="H110" s="51"/>
    </row>
    <row r="111" spans="1:8" x14ac:dyDescent="0.25">
      <c r="A111" s="187" t="s">
        <v>194</v>
      </c>
      <c r="B111" s="187"/>
      <c r="C111" s="77"/>
      <c r="D111" s="77"/>
      <c r="E111" s="77"/>
      <c r="F111" s="77"/>
      <c r="G111" s="7"/>
      <c r="H111" s="51"/>
    </row>
    <row r="112" spans="1:8" ht="24.75" customHeight="1" x14ac:dyDescent="0.25">
      <c r="A112" s="208" t="s">
        <v>195</v>
      </c>
      <c r="B112" s="208"/>
      <c r="C112" s="98" t="s">
        <v>219</v>
      </c>
      <c r="D112" s="99" t="s">
        <v>218</v>
      </c>
      <c r="E112" s="98" t="s">
        <v>219</v>
      </c>
      <c r="F112" s="99" t="s">
        <v>218</v>
      </c>
      <c r="G112" s="98" t="s">
        <v>219</v>
      </c>
      <c r="H112" s="99" t="s">
        <v>218</v>
      </c>
    </row>
    <row r="113" spans="1:8" x14ac:dyDescent="0.25">
      <c r="A113" s="71" t="s">
        <v>106</v>
      </c>
      <c r="B113" s="65" t="s">
        <v>103</v>
      </c>
      <c r="C113" s="90" t="s">
        <v>35</v>
      </c>
      <c r="D113" s="86">
        <f>D$19</f>
        <v>4332.0467272727274</v>
      </c>
      <c r="E113" s="90" t="s">
        <v>35</v>
      </c>
      <c r="F113" s="86">
        <f>F$19</f>
        <v>4751.0175345454545</v>
      </c>
      <c r="G113" s="92" t="s">
        <v>35</v>
      </c>
      <c r="H113" s="96">
        <f>H$19</f>
        <v>5026.101576363636</v>
      </c>
    </row>
    <row r="114" spans="1:8" x14ac:dyDescent="0.25">
      <c r="A114" s="71" t="s">
        <v>108</v>
      </c>
      <c r="B114" s="65" t="s">
        <v>117</v>
      </c>
      <c r="C114" s="90" t="s">
        <v>35</v>
      </c>
      <c r="D114" s="94">
        <f>D$61</f>
        <v>3518.79</v>
      </c>
      <c r="E114" s="90" t="s">
        <v>35</v>
      </c>
      <c r="F114" s="94">
        <f>F$61</f>
        <v>3980.23</v>
      </c>
      <c r="G114" s="92" t="s">
        <v>35</v>
      </c>
      <c r="H114" s="96">
        <f>H$61</f>
        <v>3983.7</v>
      </c>
    </row>
    <row r="115" spans="1:8" x14ac:dyDescent="0.25">
      <c r="A115" s="71" t="s">
        <v>110</v>
      </c>
      <c r="B115" s="65" t="s">
        <v>152</v>
      </c>
      <c r="C115" s="90" t="s">
        <v>35</v>
      </c>
      <c r="D115" s="94">
        <f>D$71</f>
        <v>163.49000072000001</v>
      </c>
      <c r="E115" s="90" t="s">
        <v>35</v>
      </c>
      <c r="F115" s="94">
        <f>F$71</f>
        <v>179.50000079</v>
      </c>
      <c r="G115" s="92" t="s">
        <v>35</v>
      </c>
      <c r="H115" s="96">
        <f>H$71</f>
        <v>189.54000084</v>
      </c>
    </row>
    <row r="116" spans="1:8" x14ac:dyDescent="0.25">
      <c r="A116" s="71" t="s">
        <v>112</v>
      </c>
      <c r="B116" s="65" t="s">
        <v>163</v>
      </c>
      <c r="C116" s="90" t="s">
        <v>35</v>
      </c>
      <c r="D116" s="94">
        <f>D$89</f>
        <v>34.940000000000005</v>
      </c>
      <c r="E116" s="90" t="s">
        <v>35</v>
      </c>
      <c r="F116" s="94">
        <f>F$89</f>
        <v>38.340000000000003</v>
      </c>
      <c r="G116" s="92" t="s">
        <v>35</v>
      </c>
      <c r="H116" s="96">
        <f>H$89</f>
        <v>40.550000000000011</v>
      </c>
    </row>
    <row r="117" spans="1:8" x14ac:dyDescent="0.25">
      <c r="A117" s="71" t="s">
        <v>114</v>
      </c>
      <c r="B117" s="65" t="s">
        <v>176</v>
      </c>
      <c r="C117" s="90" t="s">
        <v>35</v>
      </c>
      <c r="D117" s="94">
        <f>D$96</f>
        <v>53.916666666666664</v>
      </c>
      <c r="E117" s="90" t="s">
        <v>35</v>
      </c>
      <c r="F117" s="94">
        <f>F$96</f>
        <v>53.916666666666664</v>
      </c>
      <c r="G117" s="92" t="s">
        <v>35</v>
      </c>
      <c r="H117" s="94">
        <f>H$96</f>
        <v>53.916666666666664</v>
      </c>
    </row>
    <row r="118" spans="1:8" x14ac:dyDescent="0.25">
      <c r="A118" s="188" t="s">
        <v>196</v>
      </c>
      <c r="B118" s="188"/>
      <c r="C118" s="90"/>
      <c r="D118" s="95">
        <f>SUM(D$113:D$117)</f>
        <v>8103.1833946593943</v>
      </c>
      <c r="E118" s="90"/>
      <c r="F118" s="95">
        <f>SUM(F$113:F$117)</f>
        <v>9003.004202002121</v>
      </c>
      <c r="G118" s="92"/>
      <c r="H118" s="97">
        <f>SUM(H$113:H$117)</f>
        <v>9293.8082438703004</v>
      </c>
    </row>
    <row r="119" spans="1:8" x14ac:dyDescent="0.25">
      <c r="A119" s="71" t="s">
        <v>6</v>
      </c>
      <c r="B119" s="65" t="s">
        <v>197</v>
      </c>
      <c r="C119" s="90" t="s">
        <v>35</v>
      </c>
      <c r="D119" s="94">
        <f>D$108</f>
        <v>950.18000000000006</v>
      </c>
      <c r="E119" s="90" t="s">
        <v>35</v>
      </c>
      <c r="F119" s="94">
        <f>F$108</f>
        <v>1055.6999999999998</v>
      </c>
      <c r="G119" s="92" t="s">
        <v>35</v>
      </c>
      <c r="H119" s="96">
        <f>H$108</f>
        <v>1089.79</v>
      </c>
    </row>
    <row r="120" spans="1:8" x14ac:dyDescent="0.25">
      <c r="A120" s="202" t="s">
        <v>7</v>
      </c>
      <c r="B120" s="202"/>
      <c r="C120" s="90"/>
      <c r="D120" s="111">
        <f>SUM(D$118:D$119)</f>
        <v>9053.3633946593945</v>
      </c>
      <c r="E120" s="90"/>
      <c r="F120" s="111">
        <f>SUM(F$118:F$119)</f>
        <v>10058.704202002122</v>
      </c>
      <c r="G120" s="92"/>
      <c r="H120" s="113">
        <f>SUM(H$118:H$119)</f>
        <v>10383.598243870299</v>
      </c>
    </row>
    <row r="121" spans="1:8" x14ac:dyDescent="0.25">
      <c r="A121" s="207" t="s">
        <v>201</v>
      </c>
      <c r="B121" s="207"/>
    </row>
    <row r="122" spans="1:8" x14ac:dyDescent="0.25">
      <c r="A122" s="200" t="s">
        <v>202</v>
      </c>
      <c r="B122" s="200"/>
    </row>
    <row r="123" spans="1:8" x14ac:dyDescent="0.25">
      <c r="A123" s="201" t="s">
        <v>8</v>
      </c>
      <c r="B123" s="201"/>
    </row>
    <row r="124" spans="1:8" x14ac:dyDescent="0.25">
      <c r="A124" s="199" t="s">
        <v>203</v>
      </c>
      <c r="B124" s="199"/>
    </row>
    <row r="125" spans="1:8" x14ac:dyDescent="0.25">
      <c r="A125" s="199" t="s">
        <v>204</v>
      </c>
      <c r="B125" s="199"/>
    </row>
    <row r="126" spans="1:8" x14ac:dyDescent="0.25">
      <c r="A126" s="199" t="s">
        <v>205</v>
      </c>
      <c r="B126" s="199"/>
    </row>
    <row r="127" spans="1:8" x14ac:dyDescent="0.25">
      <c r="A127" s="199" t="s">
        <v>206</v>
      </c>
      <c r="B127" s="199"/>
    </row>
    <row r="128" spans="1:8" x14ac:dyDescent="0.25">
      <c r="A128" s="199" t="s">
        <v>207</v>
      </c>
      <c r="B128" s="199"/>
    </row>
    <row r="129" spans="1:2" x14ac:dyDescent="0.25">
      <c r="A129" s="199" t="s">
        <v>208</v>
      </c>
      <c r="B129" s="199"/>
    </row>
    <row r="137" spans="1:2" x14ac:dyDescent="0.25">
      <c r="B137" s="68"/>
    </row>
    <row r="138" spans="1:2" x14ac:dyDescent="0.25">
      <c r="B138" s="69"/>
    </row>
    <row r="139" spans="1:2" x14ac:dyDescent="0.25">
      <c r="B139" s="79"/>
    </row>
    <row r="140" spans="1:2" x14ac:dyDescent="0.25">
      <c r="B140" s="68"/>
    </row>
    <row r="141" spans="1:2" x14ac:dyDescent="0.25">
      <c r="B141" s="68"/>
    </row>
    <row r="142" spans="1:2" x14ac:dyDescent="0.25">
      <c r="B142" s="68"/>
    </row>
    <row r="143" spans="1:2" x14ac:dyDescent="0.25">
      <c r="B143" s="68"/>
    </row>
    <row r="144" spans="1:2" x14ac:dyDescent="0.25">
      <c r="B144" s="68"/>
    </row>
    <row r="145" spans="2:2" x14ac:dyDescent="0.25">
      <c r="B145" s="68"/>
    </row>
  </sheetData>
  <mergeCells count="57">
    <mergeCell ref="A30:B30"/>
    <mergeCell ref="A3:D3"/>
    <mergeCell ref="A4:B4"/>
    <mergeCell ref="A11:B11"/>
    <mergeCell ref="A19:B19"/>
    <mergeCell ref="A20:B20"/>
    <mergeCell ref="A21:B21"/>
    <mergeCell ref="A22:B22"/>
    <mergeCell ref="A26:B26"/>
    <mergeCell ref="A27:B27"/>
    <mergeCell ref="A28:B28"/>
    <mergeCell ref="A29:B29"/>
    <mergeCell ref="A61:B61"/>
    <mergeCell ref="A40:B40"/>
    <mergeCell ref="A41:B41"/>
    <mergeCell ref="A42:B42"/>
    <mergeCell ref="A43:B43"/>
    <mergeCell ref="A44:B44"/>
    <mergeCell ref="A45:B45"/>
    <mergeCell ref="A46:B46"/>
    <mergeCell ref="A53:B53"/>
    <mergeCell ref="A54:B54"/>
    <mergeCell ref="A55:B55"/>
    <mergeCell ref="A56:B56"/>
    <mergeCell ref="A96:B96"/>
    <mergeCell ref="A62:B62"/>
    <mergeCell ref="A72:B72"/>
    <mergeCell ref="A73:B73"/>
    <mergeCell ref="A74:B74"/>
    <mergeCell ref="A75:B75"/>
    <mergeCell ref="A76:B76"/>
    <mergeCell ref="A84:B84"/>
    <mergeCell ref="A85:B85"/>
    <mergeCell ref="A86:B86"/>
    <mergeCell ref="A89:B89"/>
    <mergeCell ref="A90:B90"/>
    <mergeCell ref="A98:B98"/>
    <mergeCell ref="A99:B99"/>
    <mergeCell ref="A108:B108"/>
    <mergeCell ref="A111:B111"/>
    <mergeCell ref="A112:B112"/>
    <mergeCell ref="E1:F4"/>
    <mergeCell ref="G1:H4"/>
    <mergeCell ref="A128:B128"/>
    <mergeCell ref="A129:B129"/>
    <mergeCell ref="A122:B122"/>
    <mergeCell ref="A123:B123"/>
    <mergeCell ref="A124:B124"/>
    <mergeCell ref="A125:B125"/>
    <mergeCell ref="A126:B126"/>
    <mergeCell ref="A127:B127"/>
    <mergeCell ref="A118:B118"/>
    <mergeCell ref="A120:B120"/>
    <mergeCell ref="A2:D2"/>
    <mergeCell ref="A1:D1"/>
    <mergeCell ref="A121:B121"/>
    <mergeCell ref="A97:B9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09BBC-C3CD-4846-BCAC-1E36EFE6D239}">
  <dimension ref="A1:H122"/>
  <sheetViews>
    <sheetView showGridLines="0" topLeftCell="A17" workbookViewId="0">
      <selection activeCell="E44" sqref="E44"/>
    </sheetView>
  </sheetViews>
  <sheetFormatPr defaultColWidth="123.5703125" defaultRowHeight="15" x14ac:dyDescent="0.25"/>
  <cols>
    <col min="1" max="1" width="4.42578125" style="81" bestFit="1" customWidth="1"/>
    <col min="2" max="2" width="70.140625" style="81" bestFit="1" customWidth="1"/>
    <col min="3" max="3" width="29.85546875" style="81" bestFit="1" customWidth="1"/>
    <col min="4" max="4" width="12.140625" style="81" bestFit="1" customWidth="1"/>
    <col min="5" max="5" width="29.85546875" style="81" bestFit="1" customWidth="1"/>
    <col min="6" max="6" width="12.140625" style="81" bestFit="1" customWidth="1"/>
    <col min="7" max="7" width="29.85546875" style="6" bestFit="1" customWidth="1"/>
    <col min="8" max="8" width="12.140625" style="47" bestFit="1" customWidth="1"/>
    <col min="9" max="103" width="5.28515625" style="6" customWidth="1"/>
    <col min="104" max="16384" width="123.5703125" style="6"/>
  </cols>
  <sheetData>
    <row r="1" spans="1:8" ht="30" customHeight="1" x14ac:dyDescent="0.25">
      <c r="A1" s="205" t="s">
        <v>198</v>
      </c>
      <c r="B1" s="205"/>
      <c r="C1" s="205"/>
      <c r="D1" s="205"/>
      <c r="E1" s="182" t="s">
        <v>74</v>
      </c>
      <c r="F1" s="182"/>
      <c r="G1" s="183" t="s">
        <v>215</v>
      </c>
      <c r="H1" s="183"/>
    </row>
    <row r="2" spans="1:8" ht="15.75" x14ac:dyDescent="0.25">
      <c r="A2" s="209" t="s">
        <v>209</v>
      </c>
      <c r="B2" s="209"/>
      <c r="C2" s="209"/>
      <c r="D2" s="209"/>
      <c r="E2" s="182"/>
      <c r="F2" s="182"/>
      <c r="G2" s="183"/>
      <c r="H2" s="183"/>
    </row>
    <row r="3" spans="1:8" x14ac:dyDescent="0.25">
      <c r="A3" s="187" t="s">
        <v>37</v>
      </c>
      <c r="B3" s="187"/>
      <c r="C3" s="187"/>
      <c r="D3" s="187"/>
      <c r="E3" s="182"/>
      <c r="F3" s="182"/>
      <c r="G3" s="183"/>
      <c r="H3" s="183"/>
    </row>
    <row r="4" spans="1:8" x14ac:dyDescent="0.25">
      <c r="A4" s="188" t="s">
        <v>92</v>
      </c>
      <c r="B4" s="188"/>
      <c r="C4" s="73"/>
      <c r="D4" s="73"/>
      <c r="E4" s="73"/>
      <c r="F4" s="73"/>
      <c r="G4" s="67"/>
      <c r="H4" s="48"/>
    </row>
    <row r="5" spans="1:8" ht="25.5" x14ac:dyDescent="0.25">
      <c r="A5" s="74">
        <v>1</v>
      </c>
      <c r="B5" s="72" t="s">
        <v>93</v>
      </c>
      <c r="C5" s="72" t="s">
        <v>80</v>
      </c>
      <c r="D5" s="73"/>
      <c r="E5" s="72" t="s">
        <v>80</v>
      </c>
      <c r="F5" s="73"/>
      <c r="G5" s="72" t="s">
        <v>80</v>
      </c>
      <c r="H5" s="48"/>
    </row>
    <row r="6" spans="1:8" x14ac:dyDescent="0.25">
      <c r="A6" s="75">
        <v>2</v>
      </c>
      <c r="B6" s="65" t="s">
        <v>95</v>
      </c>
      <c r="C6" s="75">
        <v>5171</v>
      </c>
      <c r="D6" s="73"/>
      <c r="E6" s="75">
        <v>5171</v>
      </c>
      <c r="F6" s="73"/>
      <c r="G6" s="9">
        <v>5171</v>
      </c>
      <c r="H6" s="48"/>
    </row>
    <row r="7" spans="1:8" x14ac:dyDescent="0.25">
      <c r="A7" s="75">
        <v>3</v>
      </c>
      <c r="B7" s="65" t="s">
        <v>96</v>
      </c>
      <c r="C7" s="11">
        <v>3044.5</v>
      </c>
      <c r="D7" s="73"/>
      <c r="E7" s="11">
        <v>3303.28</v>
      </c>
      <c r="F7" s="73"/>
      <c r="G7" s="54">
        <v>3494.54</v>
      </c>
      <c r="H7" s="48"/>
    </row>
    <row r="8" spans="1:8" ht="51" x14ac:dyDescent="0.25">
      <c r="A8" s="75">
        <v>4</v>
      </c>
      <c r="B8" s="65" t="s">
        <v>97</v>
      </c>
      <c r="C8" s="73" t="s">
        <v>98</v>
      </c>
      <c r="D8" s="73"/>
      <c r="E8" s="73" t="s">
        <v>98</v>
      </c>
      <c r="F8" s="73"/>
      <c r="G8" s="67" t="s">
        <v>31</v>
      </c>
      <c r="H8" s="48"/>
    </row>
    <row r="9" spans="1:8" x14ac:dyDescent="0.25">
      <c r="A9" s="75">
        <v>5</v>
      </c>
      <c r="B9" s="65" t="s">
        <v>99</v>
      </c>
      <c r="C9" s="65" t="s">
        <v>100</v>
      </c>
      <c r="D9" s="73"/>
      <c r="E9" s="65" t="s">
        <v>72</v>
      </c>
      <c r="F9" s="73"/>
      <c r="G9" s="55" t="s">
        <v>216</v>
      </c>
      <c r="H9" s="48"/>
    </row>
    <row r="10" spans="1:8" x14ac:dyDescent="0.25">
      <c r="A10" s="75">
        <v>6</v>
      </c>
      <c r="B10" s="65" t="s">
        <v>101</v>
      </c>
      <c r="C10" s="65" t="s">
        <v>102</v>
      </c>
      <c r="D10" s="73"/>
      <c r="E10" s="65" t="s">
        <v>73</v>
      </c>
      <c r="F10" s="73"/>
      <c r="G10" s="55" t="s">
        <v>217</v>
      </c>
      <c r="H10" s="48"/>
    </row>
    <row r="11" spans="1:8" x14ac:dyDescent="0.25">
      <c r="A11" s="187" t="s">
        <v>103</v>
      </c>
      <c r="B11" s="187"/>
      <c r="C11" s="73"/>
      <c r="D11" s="73"/>
      <c r="E11" s="73"/>
      <c r="F11" s="73"/>
      <c r="G11" s="67"/>
      <c r="H11" s="48"/>
    </row>
    <row r="12" spans="1:8" x14ac:dyDescent="0.25">
      <c r="A12" s="76">
        <v>1</v>
      </c>
      <c r="B12" s="66" t="s">
        <v>104</v>
      </c>
      <c r="C12" s="98" t="s">
        <v>219</v>
      </c>
      <c r="D12" s="99" t="s">
        <v>218</v>
      </c>
      <c r="E12" s="98" t="s">
        <v>219</v>
      </c>
      <c r="F12" s="99" t="s">
        <v>218</v>
      </c>
      <c r="G12" s="98" t="s">
        <v>219</v>
      </c>
      <c r="H12" s="99" t="s">
        <v>218</v>
      </c>
    </row>
    <row r="13" spans="1:8" x14ac:dyDescent="0.25">
      <c r="A13" s="71" t="s">
        <v>106</v>
      </c>
      <c r="B13" s="65" t="s">
        <v>107</v>
      </c>
      <c r="C13" s="90" t="s">
        <v>35</v>
      </c>
      <c r="D13" s="86">
        <f>$C7</f>
        <v>3044.5</v>
      </c>
      <c r="E13" s="90" t="s">
        <v>35</v>
      </c>
      <c r="F13" s="86">
        <f>E7</f>
        <v>3303.28</v>
      </c>
      <c r="G13" s="92" t="s">
        <v>35</v>
      </c>
      <c r="H13" s="88">
        <f>G7</f>
        <v>3494.54</v>
      </c>
    </row>
    <row r="14" spans="1:8" x14ac:dyDescent="0.25">
      <c r="A14" s="71"/>
      <c r="B14" s="24" t="s">
        <v>210</v>
      </c>
      <c r="C14" s="90" t="s">
        <v>35</v>
      </c>
      <c r="D14" s="86">
        <f>ROUND(D$13/220*52,2)</f>
        <v>719.61</v>
      </c>
      <c r="E14" s="90" t="s">
        <v>35</v>
      </c>
      <c r="F14" s="86">
        <f>ROUND(F$13/220*52,2)</f>
        <v>780.78</v>
      </c>
      <c r="G14" s="92" t="s">
        <v>35</v>
      </c>
      <c r="H14" s="88">
        <f>ROUND(H$13/220*52,2)</f>
        <v>825.98</v>
      </c>
    </row>
    <row r="15" spans="1:8" x14ac:dyDescent="0.25">
      <c r="A15" s="71" t="s">
        <v>108</v>
      </c>
      <c r="B15" s="65" t="s">
        <v>109</v>
      </c>
      <c r="C15" s="91">
        <v>0.3</v>
      </c>
      <c r="D15" s="86">
        <f>D$14*C15</f>
        <v>215.88300000000001</v>
      </c>
      <c r="E15" s="91">
        <v>0.3</v>
      </c>
      <c r="F15" s="86">
        <f>F$14*E15</f>
        <v>234.23399999999998</v>
      </c>
      <c r="G15" s="93">
        <v>0.3</v>
      </c>
      <c r="H15" s="88">
        <f>H$14*G15</f>
        <v>247.79399999999998</v>
      </c>
    </row>
    <row r="16" spans="1:8" x14ac:dyDescent="0.25">
      <c r="A16" s="71" t="s">
        <v>110</v>
      </c>
      <c r="B16" s="65" t="s">
        <v>111</v>
      </c>
      <c r="C16" s="90" t="s">
        <v>35</v>
      </c>
      <c r="D16" s="86" t="s">
        <v>35</v>
      </c>
      <c r="E16" s="90" t="s">
        <v>35</v>
      </c>
      <c r="F16" s="86" t="s">
        <v>35</v>
      </c>
      <c r="G16" s="92" t="s">
        <v>35</v>
      </c>
      <c r="H16" s="88" t="s">
        <v>35</v>
      </c>
    </row>
    <row r="17" spans="1:8" x14ac:dyDescent="0.25">
      <c r="A17" s="71" t="s">
        <v>112</v>
      </c>
      <c r="B17" s="65" t="s">
        <v>113</v>
      </c>
      <c r="C17" s="91">
        <v>0.2</v>
      </c>
      <c r="D17" s="86">
        <f>ROUND(((D$14+D$15)/220)*C17*8*5,2)</f>
        <v>34.020000000000003</v>
      </c>
      <c r="E17" s="104">
        <v>0.22500000000000001</v>
      </c>
      <c r="F17" s="86">
        <f>ROUND(((F$14+F$15)/220)*E17*8*5,2)</f>
        <v>41.52</v>
      </c>
      <c r="G17" s="105">
        <v>0.22500000000000001</v>
      </c>
      <c r="H17" s="88">
        <f>ROUND(((H$14+H$15)/220)*G17*8*5,2)</f>
        <v>43.93</v>
      </c>
    </row>
    <row r="18" spans="1:8" x14ac:dyDescent="0.25">
      <c r="A18" s="71" t="s">
        <v>114</v>
      </c>
      <c r="B18" s="65" t="s">
        <v>77</v>
      </c>
      <c r="C18" s="90" t="s">
        <v>35</v>
      </c>
      <c r="D18" s="86" t="s">
        <v>35</v>
      </c>
      <c r="E18" s="90" t="s">
        <v>35</v>
      </c>
      <c r="F18" s="86" t="s">
        <v>35</v>
      </c>
      <c r="G18" s="92" t="s">
        <v>35</v>
      </c>
      <c r="H18" s="88" t="s">
        <v>35</v>
      </c>
    </row>
    <row r="19" spans="1:8" x14ac:dyDescent="0.25">
      <c r="A19" s="71" t="s">
        <v>6</v>
      </c>
      <c r="B19" s="65" t="s">
        <v>115</v>
      </c>
      <c r="C19" s="90" t="s">
        <v>35</v>
      </c>
      <c r="D19" s="86" t="s">
        <v>35</v>
      </c>
      <c r="E19" s="90" t="s">
        <v>35</v>
      </c>
      <c r="F19" s="86" t="s">
        <v>35</v>
      </c>
      <c r="G19" s="92" t="s">
        <v>35</v>
      </c>
      <c r="H19" s="88" t="s">
        <v>35</v>
      </c>
    </row>
    <row r="20" spans="1:8" x14ac:dyDescent="0.25">
      <c r="A20" s="188" t="s">
        <v>71</v>
      </c>
      <c r="B20" s="188"/>
      <c r="C20" s="90" t="s">
        <v>35</v>
      </c>
      <c r="D20" s="87">
        <f>SUM(D$14:D$19)</f>
        <v>969.51300000000003</v>
      </c>
      <c r="E20" s="90" t="s">
        <v>35</v>
      </c>
      <c r="F20" s="87">
        <f>SUM(F$14:F$19)</f>
        <v>1056.5339999999999</v>
      </c>
      <c r="G20" s="92" t="s">
        <v>35</v>
      </c>
      <c r="H20" s="89">
        <f>SUM(H$14:H$19)</f>
        <v>1117.704</v>
      </c>
    </row>
    <row r="21" spans="1:8" ht="26.25" customHeight="1" x14ac:dyDescent="0.25">
      <c r="A21" s="186" t="s">
        <v>116</v>
      </c>
      <c r="B21" s="186"/>
      <c r="C21" s="42"/>
      <c r="D21" s="42"/>
      <c r="E21" s="42"/>
      <c r="F21" s="42"/>
      <c r="G21" s="42"/>
      <c r="H21" s="50"/>
    </row>
    <row r="22" spans="1:8" x14ac:dyDescent="0.25">
      <c r="A22" s="187" t="s">
        <v>117</v>
      </c>
      <c r="B22" s="187"/>
      <c r="C22" s="77"/>
      <c r="D22" s="77"/>
      <c r="E22" s="77"/>
      <c r="F22" s="77"/>
      <c r="G22" s="7"/>
      <c r="H22" s="51"/>
    </row>
    <row r="23" spans="1:8" x14ac:dyDescent="0.25">
      <c r="A23" s="188" t="s">
        <v>118</v>
      </c>
      <c r="B23" s="188"/>
      <c r="C23" s="77"/>
      <c r="D23" s="77"/>
      <c r="E23" s="77"/>
      <c r="F23" s="77"/>
      <c r="G23" s="7"/>
      <c r="H23" s="51"/>
    </row>
    <row r="24" spans="1:8" x14ac:dyDescent="0.25">
      <c r="A24" s="72" t="s">
        <v>119</v>
      </c>
      <c r="B24" s="72" t="s">
        <v>120</v>
      </c>
      <c r="C24" s="98" t="s">
        <v>219</v>
      </c>
      <c r="D24" s="99" t="s">
        <v>218</v>
      </c>
      <c r="E24" s="98" t="s">
        <v>219</v>
      </c>
      <c r="F24" s="99" t="s">
        <v>218</v>
      </c>
      <c r="G24" s="98" t="s">
        <v>219</v>
      </c>
      <c r="H24" s="99" t="s">
        <v>218</v>
      </c>
    </row>
    <row r="25" spans="1:8" x14ac:dyDescent="0.25">
      <c r="A25" s="71" t="s">
        <v>106</v>
      </c>
      <c r="B25" s="65" t="s">
        <v>121</v>
      </c>
      <c r="C25" s="101">
        <v>9.0899999999999995E-2</v>
      </c>
      <c r="D25" s="94">
        <f>ROUND($C25*D$20,2)</f>
        <v>88.13</v>
      </c>
      <c r="E25" s="101">
        <v>9.0899999999999995E-2</v>
      </c>
      <c r="F25" s="94">
        <f>ROUND(E$25*F$20,2)</f>
        <v>96.04</v>
      </c>
      <c r="G25" s="103">
        <v>9.0899999999999995E-2</v>
      </c>
      <c r="H25" s="96">
        <f>ROUND(G$25*H$20,2)</f>
        <v>101.6</v>
      </c>
    </row>
    <row r="26" spans="1:8" x14ac:dyDescent="0.25">
      <c r="A26" s="71" t="s">
        <v>108</v>
      </c>
      <c r="B26" s="65" t="s">
        <v>122</v>
      </c>
      <c r="C26" s="101">
        <v>0.1212</v>
      </c>
      <c r="D26" s="94">
        <f>ROUND($C26*D$20,2)</f>
        <v>117.5</v>
      </c>
      <c r="E26" s="101">
        <v>0.1212</v>
      </c>
      <c r="F26" s="94">
        <f>ROUND(E$26*F$20,2)</f>
        <v>128.05000000000001</v>
      </c>
      <c r="G26" s="103">
        <v>0.1212</v>
      </c>
      <c r="H26" s="96">
        <f>ROUND(G$26*H$20,2)</f>
        <v>135.47</v>
      </c>
    </row>
    <row r="27" spans="1:8" x14ac:dyDescent="0.25">
      <c r="A27" s="188" t="s">
        <v>71</v>
      </c>
      <c r="B27" s="188"/>
      <c r="C27" s="104">
        <f t="shared" ref="C27:H27" si="0">SUM(C25:C26)</f>
        <v>0.21210000000000001</v>
      </c>
      <c r="D27" s="95">
        <f t="shared" si="0"/>
        <v>205.63</v>
      </c>
      <c r="E27" s="104">
        <f t="shared" si="0"/>
        <v>0.21210000000000001</v>
      </c>
      <c r="F27" s="95">
        <f t="shared" si="0"/>
        <v>224.09000000000003</v>
      </c>
      <c r="G27" s="105">
        <f t="shared" si="0"/>
        <v>0.21210000000000001</v>
      </c>
      <c r="H27" s="97">
        <f t="shared" si="0"/>
        <v>237.07</v>
      </c>
    </row>
    <row r="28" spans="1:8" ht="39" customHeight="1" x14ac:dyDescent="0.25">
      <c r="A28" s="197" t="s">
        <v>200</v>
      </c>
      <c r="B28" s="197"/>
      <c r="C28" s="77"/>
      <c r="D28" s="77"/>
      <c r="E28" s="77"/>
      <c r="F28" s="77"/>
      <c r="G28" s="7"/>
      <c r="H28" s="51"/>
    </row>
    <row r="29" spans="1:8" ht="26.25" customHeight="1" x14ac:dyDescent="0.25">
      <c r="A29" s="186" t="s">
        <v>88</v>
      </c>
      <c r="B29" s="186"/>
      <c r="C29" s="42"/>
      <c r="D29" s="42"/>
      <c r="E29" s="42"/>
      <c r="F29" s="42"/>
      <c r="G29" s="42"/>
      <c r="H29" s="50"/>
    </row>
    <row r="30" spans="1:8" ht="39" customHeight="1" x14ac:dyDescent="0.25">
      <c r="A30" s="186" t="s">
        <v>89</v>
      </c>
      <c r="B30" s="186"/>
      <c r="C30" s="42"/>
      <c r="D30" s="42"/>
      <c r="E30" s="42"/>
      <c r="F30" s="42"/>
      <c r="G30" s="42"/>
      <c r="H30" s="50"/>
    </row>
    <row r="31" spans="1:8" ht="29.25" customHeight="1" x14ac:dyDescent="0.25">
      <c r="A31" s="188" t="s">
        <v>123</v>
      </c>
      <c r="B31" s="188"/>
      <c r="C31" s="77"/>
      <c r="D31" s="77"/>
      <c r="E31" s="77"/>
      <c r="F31" s="77"/>
      <c r="G31" s="7"/>
      <c r="H31" s="51"/>
    </row>
    <row r="32" spans="1:8" x14ac:dyDescent="0.25">
      <c r="A32" s="66" t="s">
        <v>124</v>
      </c>
      <c r="B32" s="66" t="s">
        <v>125</v>
      </c>
      <c r="C32" s="98" t="s">
        <v>219</v>
      </c>
      <c r="D32" s="99" t="s">
        <v>218</v>
      </c>
      <c r="E32" s="98" t="s">
        <v>219</v>
      </c>
      <c r="F32" s="99" t="s">
        <v>218</v>
      </c>
      <c r="G32" s="98" t="s">
        <v>219</v>
      </c>
      <c r="H32" s="99" t="s">
        <v>218</v>
      </c>
    </row>
    <row r="33" spans="1:8" x14ac:dyDescent="0.25">
      <c r="A33" s="71" t="s">
        <v>106</v>
      </c>
      <c r="B33" s="65" t="s">
        <v>126</v>
      </c>
      <c r="C33" s="101">
        <v>0.2</v>
      </c>
      <c r="D33" s="94">
        <f>ROUND($C33*(D$27+D$20),2)</f>
        <v>235.03</v>
      </c>
      <c r="E33" s="101">
        <v>0.2</v>
      </c>
      <c r="F33" s="94">
        <f>ROUND(E$33*(F$27+F$20),2)</f>
        <v>256.12</v>
      </c>
      <c r="G33" s="101">
        <v>0.2</v>
      </c>
      <c r="H33" s="96">
        <f>ROUND(G$33*(H$27+H$20),2)</f>
        <v>270.95</v>
      </c>
    </row>
    <row r="34" spans="1:8" x14ac:dyDescent="0.25">
      <c r="A34" s="71" t="s">
        <v>108</v>
      </c>
      <c r="B34" s="65" t="s">
        <v>127</v>
      </c>
      <c r="C34" s="101">
        <v>2.5000000000000001E-2</v>
      </c>
      <c r="D34" s="94">
        <f t="shared" ref="D34:H40" si="1">ROUND($C34*(D$27+D$20),2)</f>
        <v>29.38</v>
      </c>
      <c r="E34" s="101">
        <v>2.5000000000000001E-2</v>
      </c>
      <c r="F34" s="94">
        <f>ROUND(E$34*(F$27+F$20),2)</f>
        <v>32.020000000000003</v>
      </c>
      <c r="G34" s="101">
        <v>2.5000000000000001E-2</v>
      </c>
      <c r="H34" s="96">
        <f>ROUND(G$34*(H$27+H$20),2)</f>
        <v>33.869999999999997</v>
      </c>
    </row>
    <row r="35" spans="1:8" x14ac:dyDescent="0.25">
      <c r="A35" s="140" t="s">
        <v>110</v>
      </c>
      <c r="B35" s="65" t="s">
        <v>128</v>
      </c>
      <c r="C35" s="101">
        <f>3%*1</f>
        <v>0.03</v>
      </c>
      <c r="D35" s="94">
        <f t="shared" si="1"/>
        <v>35.25</v>
      </c>
      <c r="E35" s="101">
        <f>3%*1.7299</f>
        <v>5.1896999999999999E-2</v>
      </c>
      <c r="F35" s="94">
        <f>ROUND(E$35*(F$27+F$20),2)</f>
        <v>66.459999999999994</v>
      </c>
      <c r="G35" s="173">
        <f>3%*0.5</f>
        <v>1.4999999999999999E-2</v>
      </c>
      <c r="H35" s="96">
        <f>ROUND(G$35*(H$27+H$20),2)</f>
        <v>20.32</v>
      </c>
    </row>
    <row r="36" spans="1:8" x14ac:dyDescent="0.25">
      <c r="A36" s="71" t="s">
        <v>112</v>
      </c>
      <c r="B36" s="65" t="s">
        <v>129</v>
      </c>
      <c r="C36" s="101">
        <v>1.4999999999999999E-2</v>
      </c>
      <c r="D36" s="94">
        <f t="shared" si="1"/>
        <v>17.63</v>
      </c>
      <c r="E36" s="101">
        <v>1.4999999999999999E-2</v>
      </c>
      <c r="F36" s="94">
        <f>ROUND(E$36*(F$27+F$20),2)</f>
        <v>19.21</v>
      </c>
      <c r="G36" s="101">
        <v>1.4999999999999999E-2</v>
      </c>
      <c r="H36" s="96">
        <f>ROUND(G$36*(H$27+H$20),2)</f>
        <v>20.32</v>
      </c>
    </row>
    <row r="37" spans="1:8" x14ac:dyDescent="0.25">
      <c r="A37" s="71" t="s">
        <v>114</v>
      </c>
      <c r="B37" s="65" t="s">
        <v>130</v>
      </c>
      <c r="C37" s="101">
        <v>0.01</v>
      </c>
      <c r="D37" s="94">
        <f t="shared" si="1"/>
        <v>11.75</v>
      </c>
      <c r="E37" s="101">
        <v>0.01</v>
      </c>
      <c r="F37" s="94">
        <f>ROUND(E$37*(F$27+F$20),2)</f>
        <v>12.81</v>
      </c>
      <c r="G37" s="101">
        <v>0.01</v>
      </c>
      <c r="H37" s="96">
        <f>ROUND(G$37*(H$27+H$20),2)</f>
        <v>13.55</v>
      </c>
    </row>
    <row r="38" spans="1:8" x14ac:dyDescent="0.25">
      <c r="A38" s="71" t="s">
        <v>6</v>
      </c>
      <c r="B38" s="65" t="s">
        <v>131</v>
      </c>
      <c r="C38" s="101">
        <v>6.0000000000000001E-3</v>
      </c>
      <c r="D38" s="94">
        <f t="shared" si="1"/>
        <v>7.05</v>
      </c>
      <c r="E38" s="101">
        <v>6.0000000000000001E-3</v>
      </c>
      <c r="F38" s="94">
        <f t="shared" si="1"/>
        <v>7.68</v>
      </c>
      <c r="G38" s="101">
        <v>6.0000000000000001E-3</v>
      </c>
      <c r="H38" s="96">
        <f t="shared" si="1"/>
        <v>8.1300000000000008</v>
      </c>
    </row>
    <row r="39" spans="1:8" x14ac:dyDescent="0.25">
      <c r="A39" s="71" t="s">
        <v>132</v>
      </c>
      <c r="B39" s="65" t="s">
        <v>133</v>
      </c>
      <c r="C39" s="101">
        <v>2E-3</v>
      </c>
      <c r="D39" s="94">
        <f t="shared" si="1"/>
        <v>2.35</v>
      </c>
      <c r="E39" s="101">
        <v>2E-3</v>
      </c>
      <c r="F39" s="94">
        <f>ROUND(E$39*(F$27+F$20),2)</f>
        <v>2.56</v>
      </c>
      <c r="G39" s="101">
        <v>2E-3</v>
      </c>
      <c r="H39" s="96">
        <f>ROUND(G$39*(H$27+H$20),2)</f>
        <v>2.71</v>
      </c>
    </row>
    <row r="40" spans="1:8" x14ac:dyDescent="0.25">
      <c r="A40" s="71" t="s">
        <v>134</v>
      </c>
      <c r="B40" s="65" t="s">
        <v>135</v>
      </c>
      <c r="C40" s="101">
        <v>0.08</v>
      </c>
      <c r="D40" s="94">
        <f t="shared" si="1"/>
        <v>94.01</v>
      </c>
      <c r="E40" s="101">
        <v>0.08</v>
      </c>
      <c r="F40" s="94">
        <f>ROUND(E$40*(F$27+F$20),2)</f>
        <v>102.45</v>
      </c>
      <c r="G40" s="101">
        <v>0.08</v>
      </c>
      <c r="H40" s="96">
        <f>ROUND(G$40*(H$27+H$20),2)</f>
        <v>108.38</v>
      </c>
    </row>
    <row r="41" spans="1:8" x14ac:dyDescent="0.25">
      <c r="A41" s="188" t="s">
        <v>71</v>
      </c>
      <c r="B41" s="188"/>
      <c r="C41" s="102">
        <f>SUM(C33:C40)</f>
        <v>0.36800000000000005</v>
      </c>
      <c r="D41" s="95">
        <f>SUM(D$33:D$40)</f>
        <v>432.45000000000005</v>
      </c>
      <c r="E41" s="102">
        <f>SUM(E33:E40)</f>
        <v>0.38989700000000005</v>
      </c>
      <c r="F41" s="95">
        <f>SUM(F$33:F$40)</f>
        <v>499.30999999999995</v>
      </c>
      <c r="G41" s="174">
        <f>SUM(G33:G40)</f>
        <v>0.35300000000000004</v>
      </c>
      <c r="H41" s="97">
        <f>SUM(H$33:H$40)</f>
        <v>478.22999999999996</v>
      </c>
    </row>
    <row r="42" spans="1:8" ht="28.5" customHeight="1" x14ac:dyDescent="0.25">
      <c r="A42" s="186" t="s">
        <v>136</v>
      </c>
      <c r="B42" s="186"/>
      <c r="C42" s="77"/>
      <c r="D42" s="77"/>
      <c r="E42" s="77"/>
      <c r="F42" s="77"/>
      <c r="G42" s="7"/>
      <c r="H42" s="51"/>
    </row>
    <row r="43" spans="1:8" ht="27" customHeight="1" x14ac:dyDescent="0.25">
      <c r="A43" s="186" t="s">
        <v>137</v>
      </c>
      <c r="B43" s="186"/>
      <c r="C43" s="77"/>
      <c r="D43" s="77"/>
      <c r="E43" s="77"/>
      <c r="F43" s="77"/>
      <c r="G43" s="7"/>
      <c r="H43" s="51"/>
    </row>
    <row r="44" spans="1:8" ht="40.5" customHeight="1" x14ac:dyDescent="0.25">
      <c r="A44" s="186" t="s">
        <v>138</v>
      </c>
      <c r="B44" s="186"/>
      <c r="C44" s="77"/>
      <c r="D44" s="77"/>
      <c r="E44" s="77"/>
      <c r="F44" s="77"/>
      <c r="G44" s="7"/>
      <c r="H44" s="51"/>
    </row>
    <row r="45" spans="1:8" ht="18" customHeight="1" x14ac:dyDescent="0.25">
      <c r="A45" s="186" t="s">
        <v>139</v>
      </c>
      <c r="B45" s="186"/>
      <c r="C45" s="77"/>
      <c r="D45" s="77"/>
      <c r="E45" s="77"/>
      <c r="F45" s="77"/>
      <c r="G45" s="7"/>
      <c r="H45" s="51"/>
    </row>
    <row r="46" spans="1:8" ht="27.75" customHeight="1" x14ac:dyDescent="0.25">
      <c r="A46" s="186" t="s">
        <v>140</v>
      </c>
      <c r="B46" s="186"/>
      <c r="C46" s="77"/>
      <c r="D46" s="77"/>
      <c r="E46" s="77"/>
      <c r="F46" s="77"/>
      <c r="G46" s="7"/>
      <c r="H46" s="51"/>
    </row>
    <row r="47" spans="1:8" x14ac:dyDescent="0.25">
      <c r="A47" s="188" t="s">
        <v>141</v>
      </c>
      <c r="B47" s="188"/>
      <c r="C47" s="77"/>
      <c r="D47" s="77"/>
      <c r="E47" s="77"/>
      <c r="F47" s="77"/>
      <c r="G47" s="7"/>
      <c r="H47" s="51"/>
    </row>
    <row r="48" spans="1:8" x14ac:dyDescent="0.25">
      <c r="A48" s="72" t="s">
        <v>142</v>
      </c>
      <c r="B48" s="72" t="s">
        <v>143</v>
      </c>
      <c r="C48" s="98" t="s">
        <v>144</v>
      </c>
      <c r="D48" s="98" t="s">
        <v>218</v>
      </c>
      <c r="E48" s="98" t="s">
        <v>144</v>
      </c>
      <c r="F48" s="98" t="s">
        <v>218</v>
      </c>
      <c r="G48" s="98" t="s">
        <v>34</v>
      </c>
      <c r="H48" s="98" t="s">
        <v>218</v>
      </c>
    </row>
    <row r="49" spans="1:8" x14ac:dyDescent="0.25">
      <c r="A49" s="71" t="s">
        <v>106</v>
      </c>
      <c r="B49" s="65" t="s">
        <v>32</v>
      </c>
      <c r="C49" s="106">
        <v>5</v>
      </c>
      <c r="D49" s="134">
        <f>ROUND(((13*2*5.5)-(D$13*0.06))/220*52,2)</f>
        <v>-9.3800000000000008</v>
      </c>
      <c r="E49" s="106">
        <v>5</v>
      </c>
      <c r="F49" s="134">
        <f>ROUND(((13*2*5.5)-(F$13*0.06))/220*52,2)</f>
        <v>-13.05</v>
      </c>
      <c r="G49" s="108">
        <v>5</v>
      </c>
      <c r="H49" s="137">
        <f>ROUND(((13*2*5.5)-(H$13*0.06))/220*52,2)</f>
        <v>-15.76</v>
      </c>
    </row>
    <row r="50" spans="1:8" x14ac:dyDescent="0.25">
      <c r="A50" s="71" t="s">
        <v>108</v>
      </c>
      <c r="B50" s="65" t="s">
        <v>145</v>
      </c>
      <c r="C50" s="106">
        <v>5</v>
      </c>
      <c r="D50" s="134">
        <f>$C50*38</f>
        <v>190</v>
      </c>
      <c r="E50" s="106">
        <v>5</v>
      </c>
      <c r="F50" s="134">
        <f>$C50*41.23</f>
        <v>206.14999999999998</v>
      </c>
      <c r="G50" s="108">
        <v>5</v>
      </c>
      <c r="H50" s="137">
        <f>$C50*43.62</f>
        <v>218.1</v>
      </c>
    </row>
    <row r="51" spans="1:8" x14ac:dyDescent="0.25">
      <c r="A51" s="71" t="s">
        <v>110</v>
      </c>
      <c r="B51" s="65" t="s">
        <v>78</v>
      </c>
      <c r="C51" s="107" t="s">
        <v>35</v>
      </c>
      <c r="D51" s="134">
        <f>ROUND((153.77/220)*52,2)</f>
        <v>36.35</v>
      </c>
      <c r="E51" s="107" t="s">
        <v>35</v>
      </c>
      <c r="F51" s="134">
        <f>ROUND((169.67/220)*52,2)</f>
        <v>40.1</v>
      </c>
      <c r="G51" s="109" t="s">
        <v>35</v>
      </c>
      <c r="H51" s="137">
        <f>ROUND((175.76/220)*52,2)</f>
        <v>41.54</v>
      </c>
    </row>
    <row r="52" spans="1:8" x14ac:dyDescent="0.25">
      <c r="A52" s="71" t="s">
        <v>112</v>
      </c>
      <c r="B52" s="65" t="s">
        <v>146</v>
      </c>
      <c r="C52" s="107" t="s">
        <v>35</v>
      </c>
      <c r="D52" s="134">
        <f>ROUND((10.63/220)*52,2)</f>
        <v>2.5099999999999998</v>
      </c>
      <c r="E52" s="107" t="s">
        <v>35</v>
      </c>
      <c r="F52" s="134">
        <f>ROUND((11.53/220)*52,2)</f>
        <v>2.73</v>
      </c>
      <c r="G52" s="109" t="s">
        <v>35</v>
      </c>
      <c r="H52" s="137">
        <f>ROUND((12.2/220)*52,2)</f>
        <v>2.88</v>
      </c>
    </row>
    <row r="53" spans="1:8" x14ac:dyDescent="0.25">
      <c r="A53" s="71" t="s">
        <v>6</v>
      </c>
      <c r="B53" s="65" t="s">
        <v>33</v>
      </c>
      <c r="C53" s="107" t="s">
        <v>35</v>
      </c>
      <c r="D53" s="134">
        <f>ROUND((9.25/220)*52,2)</f>
        <v>2.19</v>
      </c>
      <c r="E53" s="107" t="s">
        <v>35</v>
      </c>
      <c r="F53" s="134">
        <f>ROUND((10.04/220)*52,2)</f>
        <v>2.37</v>
      </c>
      <c r="G53" s="109" t="s">
        <v>35</v>
      </c>
      <c r="H53" s="137">
        <f>ROUND((12.14/220)*52,2)</f>
        <v>2.87</v>
      </c>
    </row>
    <row r="54" spans="1:8" x14ac:dyDescent="0.25">
      <c r="A54" s="208" t="s">
        <v>147</v>
      </c>
      <c r="B54" s="208"/>
      <c r="C54" s="90"/>
      <c r="D54" s="135">
        <f>SUM(D50:D53)</f>
        <v>231.04999999999998</v>
      </c>
      <c r="E54" s="90"/>
      <c r="F54" s="135">
        <f>SUM(F50:F53)</f>
        <v>251.34999999999997</v>
      </c>
      <c r="G54" s="92"/>
      <c r="H54" s="138">
        <f>SUM(H50:H53)</f>
        <v>265.39</v>
      </c>
    </row>
    <row r="55" spans="1:8" ht="29.25" customHeight="1" x14ac:dyDescent="0.25">
      <c r="A55" s="186" t="s">
        <v>148</v>
      </c>
      <c r="B55" s="186"/>
      <c r="C55" s="77"/>
      <c r="D55" s="77"/>
      <c r="E55" s="77"/>
      <c r="F55" s="77"/>
      <c r="G55" s="7"/>
      <c r="H55" s="136"/>
    </row>
    <row r="56" spans="1:8" ht="28.5" customHeight="1" x14ac:dyDescent="0.25">
      <c r="A56" s="186" t="s">
        <v>149</v>
      </c>
      <c r="B56" s="186"/>
      <c r="C56" s="77"/>
      <c r="D56" s="77"/>
      <c r="E56" s="77"/>
      <c r="F56" s="77"/>
      <c r="G56" s="7"/>
      <c r="H56" s="51"/>
    </row>
    <row r="57" spans="1:8" x14ac:dyDescent="0.25">
      <c r="A57" s="187" t="s">
        <v>150</v>
      </c>
      <c r="B57" s="187"/>
      <c r="C57" s="77"/>
      <c r="D57" s="77"/>
      <c r="E57" s="77"/>
      <c r="F57" s="77"/>
      <c r="G57" s="7"/>
      <c r="H57" s="51"/>
    </row>
    <row r="58" spans="1:8" x14ac:dyDescent="0.25">
      <c r="A58" s="76">
        <v>2</v>
      </c>
      <c r="B58" s="66" t="s">
        <v>151</v>
      </c>
      <c r="C58" s="73"/>
      <c r="D58" s="99" t="s">
        <v>218</v>
      </c>
      <c r="E58" s="90"/>
      <c r="F58" s="99" t="s">
        <v>218</v>
      </c>
      <c r="G58" s="92"/>
      <c r="H58" s="99" t="s">
        <v>218</v>
      </c>
    </row>
    <row r="59" spans="1:8" x14ac:dyDescent="0.25">
      <c r="A59" s="71" t="s">
        <v>119</v>
      </c>
      <c r="B59" s="65" t="s">
        <v>120</v>
      </c>
      <c r="C59" s="73"/>
      <c r="D59" s="94">
        <f>D27</f>
        <v>205.63</v>
      </c>
      <c r="E59" s="73"/>
      <c r="F59" s="94">
        <f>F27</f>
        <v>224.09000000000003</v>
      </c>
      <c r="G59" s="67"/>
      <c r="H59" s="96">
        <f>H27</f>
        <v>237.07</v>
      </c>
    </row>
    <row r="60" spans="1:8" x14ac:dyDescent="0.25">
      <c r="A60" s="71" t="s">
        <v>124</v>
      </c>
      <c r="B60" s="65" t="s">
        <v>125</v>
      </c>
      <c r="C60" s="73"/>
      <c r="D60" s="94">
        <f>D41</f>
        <v>432.45000000000005</v>
      </c>
      <c r="E60" s="73"/>
      <c r="F60" s="94">
        <f>F41</f>
        <v>499.30999999999995</v>
      </c>
      <c r="G60" s="67"/>
      <c r="H60" s="96">
        <f>H41</f>
        <v>478.22999999999996</v>
      </c>
    </row>
    <row r="61" spans="1:8" x14ac:dyDescent="0.25">
      <c r="A61" s="71" t="s">
        <v>142</v>
      </c>
      <c r="B61" s="65" t="s">
        <v>143</v>
      </c>
      <c r="C61" s="73"/>
      <c r="D61" s="94">
        <f>D54</f>
        <v>231.04999999999998</v>
      </c>
      <c r="E61" s="73"/>
      <c r="F61" s="94">
        <f>F54</f>
        <v>251.34999999999997</v>
      </c>
      <c r="G61" s="67"/>
      <c r="H61" s="96">
        <f>H54</f>
        <v>265.39</v>
      </c>
    </row>
    <row r="62" spans="1:8" x14ac:dyDescent="0.25">
      <c r="A62" s="188" t="s">
        <v>71</v>
      </c>
      <c r="B62" s="188"/>
      <c r="C62" s="73"/>
      <c r="D62" s="95">
        <f>SUM(D59:D61)</f>
        <v>869.13</v>
      </c>
      <c r="E62" s="73"/>
      <c r="F62" s="95">
        <f>SUM(F59:F61)</f>
        <v>974.75</v>
      </c>
      <c r="G62" s="67"/>
      <c r="H62" s="97">
        <f>SUM(H59:H61)</f>
        <v>980.68999999999994</v>
      </c>
    </row>
    <row r="63" spans="1:8" x14ac:dyDescent="0.25">
      <c r="A63" s="187" t="s">
        <v>152</v>
      </c>
      <c r="B63" s="187"/>
      <c r="C63" s="77"/>
      <c r="D63" s="77"/>
      <c r="E63" s="77"/>
      <c r="F63" s="77"/>
      <c r="G63" s="7"/>
      <c r="H63" s="51"/>
    </row>
    <row r="64" spans="1:8" x14ac:dyDescent="0.25">
      <c r="A64" s="76">
        <v>3</v>
      </c>
      <c r="B64" s="66" t="s">
        <v>153</v>
      </c>
      <c r="C64" s="98" t="s">
        <v>219</v>
      </c>
      <c r="D64" s="99" t="s">
        <v>218</v>
      </c>
      <c r="E64" s="98" t="s">
        <v>219</v>
      </c>
      <c r="F64" s="99" t="s">
        <v>218</v>
      </c>
      <c r="G64" s="98" t="s">
        <v>219</v>
      </c>
      <c r="H64" s="99" t="s">
        <v>218</v>
      </c>
    </row>
    <row r="65" spans="1:8" x14ac:dyDescent="0.25">
      <c r="A65" s="71" t="s">
        <v>106</v>
      </c>
      <c r="B65" s="65" t="s">
        <v>154</v>
      </c>
      <c r="C65" s="101">
        <f>((0.002*(1/12)))</f>
        <v>1.6666666666666666E-4</v>
      </c>
      <c r="D65" s="94">
        <f>ROUND($C65*D$20,2)</f>
        <v>0.16</v>
      </c>
      <c r="E65" s="101">
        <v>1.6666666666666666E-4</v>
      </c>
      <c r="F65" s="94">
        <f>ROUND(E$65*F$20,2)</f>
        <v>0.18</v>
      </c>
      <c r="G65" s="103">
        <v>1.6666666666666666E-4</v>
      </c>
      <c r="H65" s="96">
        <f>ROUND(G$65*H$20,2)</f>
        <v>0.19</v>
      </c>
    </row>
    <row r="66" spans="1:8" x14ac:dyDescent="0.25">
      <c r="A66" s="71" t="s">
        <v>108</v>
      </c>
      <c r="B66" s="65" t="s">
        <v>155</v>
      </c>
      <c r="C66" s="114">
        <f>C40*C65</f>
        <v>1.3333333333333333E-5</v>
      </c>
      <c r="D66" s="94">
        <f>ROUND(D$65*$C40,2)</f>
        <v>0.01</v>
      </c>
      <c r="E66" s="114">
        <v>1.3333333333333333E-5</v>
      </c>
      <c r="F66" s="94">
        <f>ROUND(F$65*E$40,2)</f>
        <v>0.01</v>
      </c>
      <c r="G66" s="116">
        <v>1.3333333333333333E-5</v>
      </c>
      <c r="H66" s="96">
        <f>ROUND(H$65*G$40,2)</f>
        <v>0.02</v>
      </c>
    </row>
    <row r="67" spans="1:8" x14ac:dyDescent="0.25">
      <c r="A67" s="71" t="s">
        <v>110</v>
      </c>
      <c r="B67" s="65" t="s">
        <v>156</v>
      </c>
      <c r="C67" s="115">
        <v>9.9999999999999995E-7</v>
      </c>
      <c r="D67" s="94">
        <f>$C67*D$65</f>
        <v>1.6E-7</v>
      </c>
      <c r="E67" s="115">
        <v>9.9999999999999995E-7</v>
      </c>
      <c r="F67" s="94">
        <f>E$67*F$65</f>
        <v>1.8E-7</v>
      </c>
      <c r="G67" s="117">
        <v>9.9999999999999995E-7</v>
      </c>
      <c r="H67" s="94">
        <f>G$67*H$65</f>
        <v>1.8999999999999998E-7</v>
      </c>
    </row>
    <row r="68" spans="1:8" x14ac:dyDescent="0.25">
      <c r="A68" s="71" t="s">
        <v>112</v>
      </c>
      <c r="B68" s="65" t="s">
        <v>157</v>
      </c>
      <c r="C68" s="101">
        <f>(((0.1/30)*7)/12)</f>
        <v>1.9444444444444446E-3</v>
      </c>
      <c r="D68" s="94">
        <f>ROUND($C68*D$20,2)</f>
        <v>1.89</v>
      </c>
      <c r="E68" s="101">
        <v>1.9444444444444446E-3</v>
      </c>
      <c r="F68" s="94">
        <f>ROUND(E$68*F$20,2)</f>
        <v>2.0499999999999998</v>
      </c>
      <c r="G68" s="103">
        <v>1.9444444444444446E-3</v>
      </c>
      <c r="H68" s="96">
        <f>ROUND(G$68*H$20,2)</f>
        <v>2.17</v>
      </c>
    </row>
    <row r="69" spans="1:8" x14ac:dyDescent="0.25">
      <c r="A69" s="71" t="s">
        <v>114</v>
      </c>
      <c r="B69" s="65" t="s">
        <v>158</v>
      </c>
      <c r="C69" s="101">
        <f>C68*C41</f>
        <v>7.1555555555555576E-4</v>
      </c>
      <c r="D69" s="94">
        <f>ROUND(D$68*$C41,2)</f>
        <v>0.7</v>
      </c>
      <c r="E69" s="101">
        <v>7.1555555555555576E-4</v>
      </c>
      <c r="F69" s="94">
        <f>ROUND(F$68*E$41,2)</f>
        <v>0.8</v>
      </c>
      <c r="G69" s="101">
        <v>7.1555555555555576E-4</v>
      </c>
      <c r="H69" s="96">
        <f>ROUND(H$68*G$41,2)</f>
        <v>0.77</v>
      </c>
    </row>
    <row r="70" spans="1:8" x14ac:dyDescent="0.25">
      <c r="A70" s="71" t="s">
        <v>6</v>
      </c>
      <c r="B70" s="65" t="s">
        <v>159</v>
      </c>
      <c r="C70" s="101">
        <v>1E-4</v>
      </c>
      <c r="D70" s="94">
        <f>ROUND(D$68*$C70,2)</f>
        <v>0</v>
      </c>
      <c r="E70" s="101">
        <v>1E-4</v>
      </c>
      <c r="F70" s="94">
        <f>ROUND(F$68*E$70,2)</f>
        <v>0</v>
      </c>
      <c r="G70" s="103">
        <v>1E-4</v>
      </c>
      <c r="H70" s="94">
        <f>ROUND(H$68*G$70,2)</f>
        <v>0</v>
      </c>
    </row>
    <row r="71" spans="1:8" x14ac:dyDescent="0.25">
      <c r="A71" s="71" t="s">
        <v>132</v>
      </c>
      <c r="B71" s="65" t="s">
        <v>160</v>
      </c>
      <c r="C71" s="101">
        <v>3.49E-2</v>
      </c>
      <c r="D71" s="94">
        <f>ROUND($C71*D$20,2)</f>
        <v>33.840000000000003</v>
      </c>
      <c r="E71" s="101">
        <v>3.49E-2</v>
      </c>
      <c r="F71" s="94">
        <f>ROUND(E$71*F$20,2)</f>
        <v>36.869999999999997</v>
      </c>
      <c r="G71" s="103">
        <v>3.49E-2</v>
      </c>
      <c r="H71" s="96">
        <f>ROUND(G$71*H$20,2)</f>
        <v>39.01</v>
      </c>
    </row>
    <row r="72" spans="1:8" x14ac:dyDescent="0.25">
      <c r="A72" s="66"/>
      <c r="B72" s="66" t="s">
        <v>71</v>
      </c>
      <c r="C72" s="102">
        <f t="shared" ref="C72:H72" si="2">SUM(C65:C71)</f>
        <v>3.7841E-2</v>
      </c>
      <c r="D72" s="95">
        <f t="shared" si="2"/>
        <v>36.60000016</v>
      </c>
      <c r="E72" s="102">
        <f t="shared" si="2"/>
        <v>3.7841E-2</v>
      </c>
      <c r="F72" s="95">
        <f t="shared" si="2"/>
        <v>39.910000179999997</v>
      </c>
      <c r="G72" s="102">
        <f t="shared" si="2"/>
        <v>3.7841E-2</v>
      </c>
      <c r="H72" s="97">
        <f t="shared" si="2"/>
        <v>42.160000189999998</v>
      </c>
    </row>
    <row r="73" spans="1:8" ht="27.75" customHeight="1" x14ac:dyDescent="0.25">
      <c r="A73" s="186" t="s">
        <v>161</v>
      </c>
      <c r="B73" s="186"/>
      <c r="C73" s="77"/>
      <c r="D73" s="77"/>
      <c r="E73" s="77"/>
      <c r="F73" s="77"/>
      <c r="G73" s="7"/>
      <c r="H73" s="51"/>
    </row>
    <row r="74" spans="1:8" ht="24.75" customHeight="1" x14ac:dyDescent="0.25">
      <c r="A74" s="186" t="s">
        <v>162</v>
      </c>
      <c r="B74" s="186"/>
      <c r="C74" s="77"/>
      <c r="D74" s="77"/>
      <c r="E74" s="77"/>
      <c r="F74" s="77"/>
      <c r="G74" s="7"/>
      <c r="H74" s="51"/>
    </row>
    <row r="75" spans="1:8" x14ac:dyDescent="0.25">
      <c r="A75" s="187" t="s">
        <v>163</v>
      </c>
      <c r="B75" s="187"/>
      <c r="C75" s="77"/>
      <c r="D75" s="77"/>
      <c r="E75" s="77"/>
      <c r="F75" s="77"/>
      <c r="G75" s="7"/>
      <c r="H75" s="51"/>
    </row>
    <row r="76" spans="1:8" ht="45" customHeight="1" x14ac:dyDescent="0.25">
      <c r="A76" s="186" t="s">
        <v>79</v>
      </c>
      <c r="B76" s="186"/>
      <c r="C76" s="77"/>
      <c r="D76" s="77"/>
      <c r="E76" s="77"/>
      <c r="F76" s="77"/>
      <c r="G76" s="7"/>
      <c r="H76" s="51"/>
    </row>
    <row r="77" spans="1:8" x14ac:dyDescent="0.25">
      <c r="A77" s="188" t="s">
        <v>164</v>
      </c>
      <c r="B77" s="188"/>
      <c r="C77" s="77"/>
      <c r="D77" s="77"/>
      <c r="E77" s="77"/>
      <c r="F77" s="77"/>
      <c r="G77" s="7"/>
      <c r="H77" s="51"/>
    </row>
    <row r="78" spans="1:8" x14ac:dyDescent="0.25">
      <c r="A78" s="72" t="s">
        <v>165</v>
      </c>
      <c r="B78" s="72" t="s">
        <v>166</v>
      </c>
      <c r="C78" s="98" t="s">
        <v>219</v>
      </c>
      <c r="D78" s="99" t="s">
        <v>218</v>
      </c>
      <c r="E78" s="98" t="s">
        <v>219</v>
      </c>
      <c r="F78" s="99" t="s">
        <v>218</v>
      </c>
      <c r="G78" s="98" t="s">
        <v>219</v>
      </c>
      <c r="H78" s="99" t="s">
        <v>218</v>
      </c>
    </row>
    <row r="79" spans="1:8" x14ac:dyDescent="0.25">
      <c r="A79" s="71" t="s">
        <v>106</v>
      </c>
      <c r="B79" s="65" t="s">
        <v>167</v>
      </c>
      <c r="C79" s="62">
        <v>7.6E-3</v>
      </c>
      <c r="D79" s="57">
        <f>ROUND($C79*D$20,2)</f>
        <v>7.37</v>
      </c>
      <c r="E79" s="62">
        <v>7.6E-3</v>
      </c>
      <c r="F79" s="57">
        <f>ROUND(E$79*F$20,2)</f>
        <v>8.0299999999999994</v>
      </c>
      <c r="G79" s="12">
        <v>7.6E-3</v>
      </c>
      <c r="H79" s="28">
        <f>ROUND(G$79*H$20,2)</f>
        <v>8.49</v>
      </c>
    </row>
    <row r="80" spans="1:8" x14ac:dyDescent="0.25">
      <c r="A80" s="71" t="s">
        <v>108</v>
      </c>
      <c r="B80" s="65" t="s">
        <v>168</v>
      </c>
      <c r="C80" s="78">
        <f>((1/30)*0.015)/12</f>
        <v>4.1666666666666665E-5</v>
      </c>
      <c r="D80" s="57">
        <f t="shared" ref="D80:D84" si="3">ROUND($C80*D$20,2)</f>
        <v>0.04</v>
      </c>
      <c r="E80" s="78">
        <f>((1/30)*0.015)/12</f>
        <v>4.1666666666666665E-5</v>
      </c>
      <c r="F80" s="57">
        <f>ROUND(E$80*F$20,2)</f>
        <v>0.04</v>
      </c>
      <c r="G80" s="14">
        <f>((1/30)*0.015)/12</f>
        <v>4.1666666666666665E-5</v>
      </c>
      <c r="H80" s="57">
        <f>ROUND(G$80*H$20,2)</f>
        <v>0.05</v>
      </c>
    </row>
    <row r="81" spans="1:8" x14ac:dyDescent="0.25">
      <c r="A81" s="71" t="s">
        <v>110</v>
      </c>
      <c r="B81" s="65" t="s">
        <v>169</v>
      </c>
      <c r="C81" s="62">
        <f>(((5/30)/12)*0.01)</f>
        <v>1.3888888888888889E-4</v>
      </c>
      <c r="D81" s="57">
        <f t="shared" si="3"/>
        <v>0.13</v>
      </c>
      <c r="E81" s="62">
        <f>(((5/30)/12)*0.01)</f>
        <v>1.3888888888888889E-4</v>
      </c>
      <c r="F81" s="57">
        <f>ROUND(E$81*F$20,2)</f>
        <v>0.15</v>
      </c>
      <c r="G81" s="12">
        <f>(((5/30)/12)*0.01)</f>
        <v>1.3888888888888889E-4</v>
      </c>
      <c r="H81" s="28">
        <f>ROUND(G$81*H$20,2)</f>
        <v>0.16</v>
      </c>
    </row>
    <row r="82" spans="1:8" x14ac:dyDescent="0.25">
      <c r="A82" s="71" t="s">
        <v>112</v>
      </c>
      <c r="B82" s="65" t="s">
        <v>170</v>
      </c>
      <c r="C82" s="62">
        <f>(((1/30)/12)*0.03)</f>
        <v>8.3333333333333331E-5</v>
      </c>
      <c r="D82" s="57">
        <f t="shared" si="3"/>
        <v>0.08</v>
      </c>
      <c r="E82" s="62">
        <f>(((1/30)/12)*0.03)</f>
        <v>8.3333333333333331E-5</v>
      </c>
      <c r="F82" s="57">
        <f>ROUND(E$82*F$20,2)</f>
        <v>0.09</v>
      </c>
      <c r="G82" s="12">
        <f>(((1/30)/12)*0.03)</f>
        <v>8.3333333333333331E-5</v>
      </c>
      <c r="H82" s="28">
        <f>ROUND(G$82*H$20,2)</f>
        <v>0.09</v>
      </c>
    </row>
    <row r="83" spans="1:8" x14ac:dyDescent="0.25">
      <c r="A83" s="71" t="s">
        <v>114</v>
      </c>
      <c r="B83" s="65" t="s">
        <v>171</v>
      </c>
      <c r="C83" s="62">
        <f>((((1/12)*4)+((1.33/12)*4))/12)*0.0025</f>
        <v>1.6180555555555555E-4</v>
      </c>
      <c r="D83" s="57">
        <f t="shared" si="3"/>
        <v>0.16</v>
      </c>
      <c r="E83" s="62">
        <f>((((1/12)*4)+((1.33/12)*4))/12)*0.0025</f>
        <v>1.6180555555555555E-4</v>
      </c>
      <c r="F83" s="57">
        <f>ROUND(E$83*F$20,2)</f>
        <v>0.17</v>
      </c>
      <c r="G83" s="12">
        <f>((((1/12)*4)+((1.33/12)*4))/12)*0.0025</f>
        <v>1.6180555555555555E-4</v>
      </c>
      <c r="H83" s="28">
        <f>ROUND(G$83*H$20,2)</f>
        <v>0.18</v>
      </c>
    </row>
    <row r="84" spans="1:8" x14ac:dyDescent="0.25">
      <c r="A84" s="71" t="s">
        <v>6</v>
      </c>
      <c r="B84" s="65" t="s">
        <v>172</v>
      </c>
      <c r="C84" s="78">
        <f>((1/30)*0.015)/12</f>
        <v>4.1666666666666665E-5</v>
      </c>
      <c r="D84" s="57">
        <f t="shared" si="3"/>
        <v>0.04</v>
      </c>
      <c r="E84" s="78">
        <f>((1/30)*0.015)/12</f>
        <v>4.1666666666666665E-5</v>
      </c>
      <c r="F84" s="57">
        <f>ROUND(E$84*F$20,2)</f>
        <v>0.04</v>
      </c>
      <c r="G84" s="14">
        <f>((1/30)*0.015)/12</f>
        <v>4.1666666666666665E-5</v>
      </c>
      <c r="H84" s="57">
        <f>ROUND(G$84*H$20,2)</f>
        <v>0.05</v>
      </c>
    </row>
    <row r="85" spans="1:8" x14ac:dyDescent="0.25">
      <c r="A85" s="188" t="s">
        <v>71</v>
      </c>
      <c r="B85" s="188"/>
      <c r="C85" s="63">
        <f t="shared" ref="C85:H85" si="4">SUM(C79:C84)</f>
        <v>8.067361111111112E-3</v>
      </c>
      <c r="D85" s="58">
        <f t="shared" si="4"/>
        <v>7.82</v>
      </c>
      <c r="E85" s="63">
        <f t="shared" si="4"/>
        <v>8.067361111111112E-3</v>
      </c>
      <c r="F85" s="58">
        <f t="shared" si="4"/>
        <v>8.5199999999999978</v>
      </c>
      <c r="G85" s="13">
        <f t="shared" si="4"/>
        <v>8.067361111111112E-3</v>
      </c>
      <c r="H85" s="52">
        <f t="shared" si="4"/>
        <v>9.0200000000000014</v>
      </c>
    </row>
    <row r="86" spans="1:8" ht="27.75" customHeight="1" x14ac:dyDescent="0.25">
      <c r="A86" s="186" t="s">
        <v>173</v>
      </c>
      <c r="B86" s="186"/>
      <c r="C86" s="77"/>
      <c r="D86" s="77"/>
      <c r="E86" s="77"/>
      <c r="F86" s="77"/>
      <c r="G86" s="7"/>
      <c r="H86" s="51"/>
    </row>
    <row r="87" spans="1:8" x14ac:dyDescent="0.25">
      <c r="A87" s="187" t="s">
        <v>174</v>
      </c>
      <c r="B87" s="187"/>
      <c r="C87" s="77"/>
      <c r="D87" s="77"/>
      <c r="E87" s="77"/>
      <c r="F87" s="77"/>
      <c r="G87" s="7"/>
      <c r="H87" s="51"/>
    </row>
    <row r="88" spans="1:8" x14ac:dyDescent="0.25">
      <c r="A88" s="76">
        <v>4</v>
      </c>
      <c r="B88" s="66" t="s">
        <v>175</v>
      </c>
      <c r="C88" s="73"/>
      <c r="D88" s="66" t="s">
        <v>84</v>
      </c>
      <c r="E88" s="73"/>
      <c r="F88" s="66" t="s">
        <v>84</v>
      </c>
      <c r="G88" s="67"/>
      <c r="H88" s="49" t="s">
        <v>84</v>
      </c>
    </row>
    <row r="89" spans="1:8" x14ac:dyDescent="0.25">
      <c r="A89" s="71" t="s">
        <v>165</v>
      </c>
      <c r="B89" s="65" t="s">
        <v>166</v>
      </c>
      <c r="C89" s="73"/>
      <c r="D89" s="94">
        <f>D85</f>
        <v>7.82</v>
      </c>
      <c r="E89" s="73"/>
      <c r="F89" s="94">
        <f>F85</f>
        <v>8.5199999999999978</v>
      </c>
      <c r="G89" s="67"/>
      <c r="H89" s="96">
        <f>H85</f>
        <v>9.0200000000000014</v>
      </c>
    </row>
    <row r="90" spans="1:8" x14ac:dyDescent="0.25">
      <c r="A90" s="188" t="s">
        <v>71</v>
      </c>
      <c r="B90" s="188"/>
      <c r="C90" s="73"/>
      <c r="D90" s="95">
        <f>D89</f>
        <v>7.82</v>
      </c>
      <c r="E90" s="73"/>
      <c r="F90" s="95">
        <f>F89</f>
        <v>8.5199999999999978</v>
      </c>
      <c r="G90" s="67"/>
      <c r="H90" s="97">
        <f>H89</f>
        <v>9.0200000000000014</v>
      </c>
    </row>
    <row r="91" spans="1:8" x14ac:dyDescent="0.25">
      <c r="A91" s="187" t="s">
        <v>176</v>
      </c>
      <c r="B91" s="187"/>
      <c r="C91" s="73"/>
      <c r="D91" s="73"/>
      <c r="E91" s="73"/>
      <c r="F91" s="73"/>
      <c r="G91" s="67"/>
      <c r="H91" s="48"/>
    </row>
    <row r="92" spans="1:8" x14ac:dyDescent="0.25">
      <c r="A92" s="74">
        <v>5</v>
      </c>
      <c r="B92" s="72" t="s">
        <v>177</v>
      </c>
      <c r="C92" s="73"/>
      <c r="D92" s="72" t="s">
        <v>84</v>
      </c>
      <c r="E92" s="73"/>
      <c r="F92" s="72" t="s">
        <v>84</v>
      </c>
      <c r="G92" s="67"/>
      <c r="H92" s="72" t="s">
        <v>84</v>
      </c>
    </row>
    <row r="93" spans="1:8" x14ac:dyDescent="0.25">
      <c r="A93" s="71" t="s">
        <v>106</v>
      </c>
      <c r="B93" s="65" t="s">
        <v>178</v>
      </c>
      <c r="C93" s="73"/>
      <c r="D93" s="94">
        <f>Uniformes!D13</f>
        <v>53.916666666666664</v>
      </c>
      <c r="E93" s="73"/>
      <c r="F93" s="94">
        <f>Uniformes!D33</f>
        <v>53.916666666666664</v>
      </c>
      <c r="G93" s="67"/>
      <c r="H93" s="94">
        <f>Uniformes!D33</f>
        <v>53.916666666666664</v>
      </c>
    </row>
    <row r="94" spans="1:8" x14ac:dyDescent="0.25">
      <c r="A94" s="71" t="s">
        <v>108</v>
      </c>
      <c r="B94" s="65" t="s">
        <v>179</v>
      </c>
      <c r="C94" s="73"/>
      <c r="D94" s="94">
        <v>0</v>
      </c>
      <c r="E94" s="73"/>
      <c r="F94" s="94">
        <v>0</v>
      </c>
      <c r="G94" s="67"/>
      <c r="H94" s="94">
        <v>0</v>
      </c>
    </row>
    <row r="95" spans="1:8" x14ac:dyDescent="0.25">
      <c r="A95" s="71" t="s">
        <v>110</v>
      </c>
      <c r="B95" s="65" t="s">
        <v>180</v>
      </c>
      <c r="C95" s="73"/>
      <c r="D95" s="94">
        <v>0</v>
      </c>
      <c r="E95" s="73"/>
      <c r="F95" s="94">
        <v>0</v>
      </c>
      <c r="G95" s="67"/>
      <c r="H95" s="94">
        <v>0</v>
      </c>
    </row>
    <row r="96" spans="1:8" x14ac:dyDescent="0.25">
      <c r="A96" s="71" t="s">
        <v>112</v>
      </c>
      <c r="B96" s="65" t="s">
        <v>115</v>
      </c>
      <c r="C96" s="73"/>
      <c r="D96" s="94">
        <v>0</v>
      </c>
      <c r="E96" s="73"/>
      <c r="F96" s="94">
        <v>0</v>
      </c>
      <c r="G96" s="67"/>
      <c r="H96" s="94">
        <v>0</v>
      </c>
    </row>
    <row r="97" spans="1:8" x14ac:dyDescent="0.25">
      <c r="A97" s="188" t="s">
        <v>71</v>
      </c>
      <c r="B97" s="188"/>
      <c r="C97" s="73"/>
      <c r="D97" s="95">
        <f>D93</f>
        <v>53.916666666666664</v>
      </c>
      <c r="E97" s="73"/>
      <c r="F97" s="95">
        <f>F93</f>
        <v>53.916666666666664</v>
      </c>
      <c r="G97" s="67"/>
      <c r="H97" s="95">
        <f>H93</f>
        <v>53.916666666666664</v>
      </c>
    </row>
    <row r="98" spans="1:8" x14ac:dyDescent="0.25">
      <c r="A98" s="186" t="s">
        <v>181</v>
      </c>
      <c r="B98" s="186"/>
      <c r="C98" s="77"/>
      <c r="D98" s="77"/>
      <c r="E98" s="77"/>
      <c r="F98" s="77"/>
      <c r="G98" s="7"/>
      <c r="H98" s="51"/>
    </row>
    <row r="99" spans="1:8" x14ac:dyDescent="0.25">
      <c r="A99" s="187" t="s">
        <v>39</v>
      </c>
      <c r="B99" s="187"/>
      <c r="C99" s="77"/>
      <c r="D99" s="77"/>
      <c r="E99" s="77"/>
      <c r="F99" s="77"/>
      <c r="G99" s="7"/>
      <c r="H99" s="51"/>
    </row>
    <row r="100" spans="1:8" x14ac:dyDescent="0.25">
      <c r="A100" s="202" t="s">
        <v>43</v>
      </c>
      <c r="B100" s="202"/>
      <c r="C100" s="119" t="s">
        <v>182</v>
      </c>
      <c r="D100" s="119"/>
      <c r="E100" s="119" t="s">
        <v>182</v>
      </c>
      <c r="F100" s="119"/>
      <c r="G100" s="119" t="s">
        <v>36</v>
      </c>
      <c r="H100" s="120"/>
    </row>
    <row r="101" spans="1:8" x14ac:dyDescent="0.25">
      <c r="A101" s="76">
        <v>6</v>
      </c>
      <c r="B101" s="66" t="s">
        <v>183</v>
      </c>
      <c r="C101" s="98" t="s">
        <v>219</v>
      </c>
      <c r="D101" s="99" t="s">
        <v>218</v>
      </c>
      <c r="E101" s="98" t="s">
        <v>219</v>
      </c>
      <c r="F101" s="99" t="s">
        <v>218</v>
      </c>
      <c r="G101" s="98" t="s">
        <v>219</v>
      </c>
      <c r="H101" s="99" t="s">
        <v>218</v>
      </c>
    </row>
    <row r="102" spans="1:8" x14ac:dyDescent="0.25">
      <c r="A102" s="71" t="s">
        <v>106</v>
      </c>
      <c r="B102" s="65" t="s">
        <v>184</v>
      </c>
      <c r="C102" s="101">
        <v>1.01E-2</v>
      </c>
      <c r="D102" s="94">
        <f>ROUND($C102*D$118,2)</f>
        <v>19.559999999999999</v>
      </c>
      <c r="E102" s="101">
        <v>1.01E-2</v>
      </c>
      <c r="F102" s="94">
        <f>ROUND(E$102*F$118,2)</f>
        <v>21.55</v>
      </c>
      <c r="G102" s="103">
        <v>1.01E-2</v>
      </c>
      <c r="H102" s="96">
        <f>ROUND(G$102*H$118,2)</f>
        <v>22.26</v>
      </c>
    </row>
    <row r="103" spans="1:8" x14ac:dyDescent="0.25">
      <c r="A103" s="71" t="s">
        <v>108</v>
      </c>
      <c r="B103" s="65" t="s">
        <v>185</v>
      </c>
      <c r="C103" s="101">
        <v>1.0411999999999999E-2</v>
      </c>
      <c r="D103" s="94">
        <f>ROUND($C103*(D$118+D$102),2)</f>
        <v>20.37</v>
      </c>
      <c r="E103" s="101">
        <v>1.0411999999999999E-2</v>
      </c>
      <c r="F103" s="94">
        <f>ROUND(E$103*(F$118+F$102),2)</f>
        <v>22.44</v>
      </c>
      <c r="G103" s="103">
        <v>1.0411999999999999E-2</v>
      </c>
      <c r="H103" s="96">
        <f>ROUND(G$103*(H$118+H$102),2)</f>
        <v>23.17</v>
      </c>
    </row>
    <row r="104" spans="1:8" x14ac:dyDescent="0.25">
      <c r="A104" s="71" t="s">
        <v>110</v>
      </c>
      <c r="B104" s="65" t="s">
        <v>186</v>
      </c>
      <c r="C104" s="121">
        <f>SUM($C105:$C108)</f>
        <v>8.6499999999999994E-2</v>
      </c>
      <c r="D104" s="94">
        <f>SUM(D105:D107)</f>
        <v>187.2</v>
      </c>
      <c r="E104" s="121">
        <f>SUM($C105:$C108)</f>
        <v>8.6499999999999994E-2</v>
      </c>
      <c r="F104" s="94">
        <f>SUM(F105:F107)</f>
        <v>206.19</v>
      </c>
      <c r="G104" s="123">
        <f>SUM($C105:$C108)</f>
        <v>8.6499999999999994E-2</v>
      </c>
      <c r="H104" s="96">
        <f>SUM(H105:H107)</f>
        <v>212.95</v>
      </c>
    </row>
    <row r="105" spans="1:8" x14ac:dyDescent="0.25">
      <c r="A105" s="71" t="s">
        <v>187</v>
      </c>
      <c r="B105" s="65" t="s">
        <v>188</v>
      </c>
      <c r="C105" s="121">
        <v>6.4999999999999997E-3</v>
      </c>
      <c r="D105" s="94">
        <f>ROUND($C105*((D$118+D$102+D$103))/$C110,2)</f>
        <v>14.07</v>
      </c>
      <c r="E105" s="121">
        <v>6.4999999999999997E-3</v>
      </c>
      <c r="F105" s="94">
        <f>ROUND(E$105*((F$118+F$102+F$103))/E$110,2)</f>
        <v>15.49</v>
      </c>
      <c r="G105" s="123">
        <v>6.4999999999999997E-3</v>
      </c>
      <c r="H105" s="96">
        <f>ROUND(G$105*((H$118+H$102+H$103))/G$110,2)</f>
        <v>16</v>
      </c>
    </row>
    <row r="106" spans="1:8" x14ac:dyDescent="0.25">
      <c r="A106" s="71" t="s">
        <v>189</v>
      </c>
      <c r="B106" s="65" t="s">
        <v>190</v>
      </c>
      <c r="C106" s="121">
        <v>0.03</v>
      </c>
      <c r="D106" s="94">
        <f>ROUND($C106*((D$118+D$102+D$103))/$C110,2)</f>
        <v>64.92</v>
      </c>
      <c r="E106" s="121">
        <v>0.03</v>
      </c>
      <c r="F106" s="94">
        <f>ROUND($C106*((F$118+F$102+F$103))/$C110,2)</f>
        <v>71.510000000000005</v>
      </c>
      <c r="G106" s="123">
        <v>0.03</v>
      </c>
      <c r="H106" s="96">
        <f>ROUND($C106*((H$118+H$102+H$103))/$C110,2)</f>
        <v>73.86</v>
      </c>
    </row>
    <row r="107" spans="1:8" x14ac:dyDescent="0.25">
      <c r="A107" s="71" t="s">
        <v>191</v>
      </c>
      <c r="B107" s="65" t="s">
        <v>192</v>
      </c>
      <c r="C107" s="121">
        <v>0.05</v>
      </c>
      <c r="D107" s="94">
        <f>ROUND($C107*((D$118+D$102+D$103))/$C110,2)</f>
        <v>108.21</v>
      </c>
      <c r="E107" s="121">
        <v>0.05</v>
      </c>
      <c r="F107" s="94">
        <f>ROUND(E$107*((F$118+F$102+F$103))/E$110,2)</f>
        <v>119.19</v>
      </c>
      <c r="G107" s="123">
        <v>0.05</v>
      </c>
      <c r="H107" s="96">
        <f>ROUND(G$107*((H$118+H$102+H$103))/G$110,2)</f>
        <v>123.09</v>
      </c>
    </row>
    <row r="108" spans="1:8" x14ac:dyDescent="0.25">
      <c r="A108" s="71" t="s">
        <v>112</v>
      </c>
      <c r="B108" s="65" t="s">
        <v>193</v>
      </c>
      <c r="C108" s="121">
        <v>0</v>
      </c>
      <c r="D108" s="94">
        <f>ROUND($C108*((D$118+D$103+D$104))/$C110,2)</f>
        <v>0</v>
      </c>
      <c r="E108" s="121">
        <v>0</v>
      </c>
      <c r="F108" s="94">
        <f>ROUND(E$108*((F$118+F$103+F$104))/E$110,2)</f>
        <v>0</v>
      </c>
      <c r="G108" s="123">
        <v>0</v>
      </c>
      <c r="H108" s="94">
        <f>ROUND(G$108*((H$118+H$103+H$104))/G$110,2)</f>
        <v>0</v>
      </c>
    </row>
    <row r="109" spans="1:8" x14ac:dyDescent="0.25">
      <c r="A109" s="188" t="s">
        <v>71</v>
      </c>
      <c r="B109" s="188"/>
      <c r="C109" s="102">
        <f>SUM($C103:$C105)</f>
        <v>0.103412</v>
      </c>
      <c r="D109" s="124">
        <f>SUM(D102:D104)</f>
        <v>227.13</v>
      </c>
      <c r="E109" s="102">
        <f>SUM($C103:$C105)</f>
        <v>0.103412</v>
      </c>
      <c r="F109" s="124">
        <f>SUM(F102:F104)</f>
        <v>250.18</v>
      </c>
      <c r="G109" s="118">
        <f>SUM($C103:$C105)</f>
        <v>0.103412</v>
      </c>
      <c r="H109" s="125">
        <f>SUM(H102:H104)</f>
        <v>258.38</v>
      </c>
    </row>
    <row r="110" spans="1:8" x14ac:dyDescent="0.25">
      <c r="A110" s="65"/>
      <c r="B110" s="73"/>
      <c r="C110" s="122">
        <f>ABS(SUM($C105:$C108)/100%-1)</f>
        <v>0.91349999999999998</v>
      </c>
      <c r="D110" s="73"/>
      <c r="E110" s="122">
        <f>ABS(SUM(E$105:E$108)/100%-1)</f>
        <v>0.91349999999999998</v>
      </c>
      <c r="F110" s="73"/>
      <c r="G110" s="122">
        <f>ABS(SUM(G$105:G$108)/100%-1)</f>
        <v>0.91349999999999998</v>
      </c>
      <c r="H110" s="48"/>
    </row>
    <row r="111" spans="1:8" x14ac:dyDescent="0.25">
      <c r="A111" s="187" t="s">
        <v>194</v>
      </c>
      <c r="B111" s="187"/>
      <c r="C111" s="73"/>
      <c r="D111" s="73"/>
      <c r="E111" s="73"/>
      <c r="F111" s="73"/>
      <c r="G111" s="67"/>
      <c r="H111" s="48"/>
    </row>
    <row r="112" spans="1:8" x14ac:dyDescent="0.25">
      <c r="A112" s="208" t="s">
        <v>195</v>
      </c>
      <c r="B112" s="208"/>
      <c r="C112" s="98" t="s">
        <v>219</v>
      </c>
      <c r="D112" s="99" t="s">
        <v>218</v>
      </c>
      <c r="E112" s="98" t="s">
        <v>219</v>
      </c>
      <c r="F112" s="99" t="s">
        <v>218</v>
      </c>
      <c r="G112" s="98" t="s">
        <v>219</v>
      </c>
      <c r="H112" s="99" t="s">
        <v>218</v>
      </c>
    </row>
    <row r="113" spans="1:8" x14ac:dyDescent="0.25">
      <c r="A113" s="71" t="s">
        <v>106</v>
      </c>
      <c r="B113" s="65" t="s">
        <v>103</v>
      </c>
      <c r="C113" s="73" t="s">
        <v>35</v>
      </c>
      <c r="D113" s="94">
        <f>D$20</f>
        <v>969.51300000000003</v>
      </c>
      <c r="E113" s="73" t="s">
        <v>35</v>
      </c>
      <c r="F113" s="94">
        <f>F$20</f>
        <v>1056.5339999999999</v>
      </c>
      <c r="G113" s="67" t="s">
        <v>35</v>
      </c>
      <c r="H113" s="88">
        <f>H$20</f>
        <v>1117.704</v>
      </c>
    </row>
    <row r="114" spans="1:8" x14ac:dyDescent="0.25">
      <c r="A114" s="71" t="s">
        <v>108</v>
      </c>
      <c r="B114" s="65" t="s">
        <v>117</v>
      </c>
      <c r="C114" s="73" t="s">
        <v>35</v>
      </c>
      <c r="D114" s="94">
        <f>D$62</f>
        <v>869.13</v>
      </c>
      <c r="E114" s="73" t="s">
        <v>35</v>
      </c>
      <c r="F114" s="94">
        <f>F$62</f>
        <v>974.75</v>
      </c>
      <c r="G114" s="67" t="s">
        <v>35</v>
      </c>
      <c r="H114" s="96">
        <f>H$62</f>
        <v>980.68999999999994</v>
      </c>
    </row>
    <row r="115" spans="1:8" x14ac:dyDescent="0.25">
      <c r="A115" s="71" t="s">
        <v>110</v>
      </c>
      <c r="B115" s="65" t="s">
        <v>152</v>
      </c>
      <c r="C115" s="73" t="s">
        <v>35</v>
      </c>
      <c r="D115" s="94">
        <f>D$72</f>
        <v>36.60000016</v>
      </c>
      <c r="E115" s="73" t="s">
        <v>35</v>
      </c>
      <c r="F115" s="94">
        <f>F$72</f>
        <v>39.910000179999997</v>
      </c>
      <c r="G115" s="67" t="s">
        <v>35</v>
      </c>
      <c r="H115" s="96">
        <f>H$72</f>
        <v>42.160000189999998</v>
      </c>
    </row>
    <row r="116" spans="1:8" x14ac:dyDescent="0.25">
      <c r="A116" s="71" t="s">
        <v>112</v>
      </c>
      <c r="B116" s="65" t="s">
        <v>163</v>
      </c>
      <c r="C116" s="73" t="s">
        <v>35</v>
      </c>
      <c r="D116" s="94">
        <f>D$90</f>
        <v>7.82</v>
      </c>
      <c r="E116" s="73" t="s">
        <v>35</v>
      </c>
      <c r="F116" s="94">
        <f>F$90</f>
        <v>8.5199999999999978</v>
      </c>
      <c r="G116" s="67" t="s">
        <v>35</v>
      </c>
      <c r="H116" s="96">
        <f>H$90</f>
        <v>9.0200000000000014</v>
      </c>
    </row>
    <row r="117" spans="1:8" x14ac:dyDescent="0.25">
      <c r="A117" s="71" t="s">
        <v>114</v>
      </c>
      <c r="B117" s="65" t="s">
        <v>176</v>
      </c>
      <c r="C117" s="73" t="s">
        <v>35</v>
      </c>
      <c r="D117" s="94">
        <f>D$97</f>
        <v>53.916666666666664</v>
      </c>
      <c r="E117" s="73" t="s">
        <v>35</v>
      </c>
      <c r="F117" s="94">
        <f>F$97</f>
        <v>53.916666666666664</v>
      </c>
      <c r="G117" s="67" t="s">
        <v>35</v>
      </c>
      <c r="H117" s="94">
        <f>H$97</f>
        <v>53.916666666666664</v>
      </c>
    </row>
    <row r="118" spans="1:8" x14ac:dyDescent="0.25">
      <c r="A118" s="188" t="s">
        <v>196</v>
      </c>
      <c r="B118" s="188"/>
      <c r="C118" s="73"/>
      <c r="D118" s="95">
        <f>SUM(D$113:D$117)</f>
        <v>1936.9796668266667</v>
      </c>
      <c r="E118" s="73"/>
      <c r="F118" s="95">
        <f>SUM(F$113:F$117)</f>
        <v>2133.6306668466664</v>
      </c>
      <c r="G118" s="67"/>
      <c r="H118" s="97">
        <f>SUM(H$113:H$117)</f>
        <v>2203.4906668566664</v>
      </c>
    </row>
    <row r="119" spans="1:8" x14ac:dyDescent="0.25">
      <c r="A119" s="71" t="s">
        <v>6</v>
      </c>
      <c r="B119" s="65" t="s">
        <v>197</v>
      </c>
      <c r="C119" s="73" t="s">
        <v>35</v>
      </c>
      <c r="D119" s="94">
        <f>D$109</f>
        <v>227.13</v>
      </c>
      <c r="E119" s="73" t="s">
        <v>35</v>
      </c>
      <c r="F119" s="94">
        <f>F$109</f>
        <v>250.18</v>
      </c>
      <c r="G119" s="67" t="s">
        <v>35</v>
      </c>
      <c r="H119" s="96">
        <f>H$109</f>
        <v>258.38</v>
      </c>
    </row>
    <row r="120" spans="1:8" x14ac:dyDescent="0.25">
      <c r="A120" s="202" t="s">
        <v>7</v>
      </c>
      <c r="B120" s="202"/>
      <c r="C120" s="73"/>
      <c r="D120" s="111">
        <f>SUM(D$118:D$119)</f>
        <v>2164.1096668266669</v>
      </c>
      <c r="E120" s="73"/>
      <c r="F120" s="111">
        <f>SUM(F$118:F$119)</f>
        <v>2383.8106668466662</v>
      </c>
      <c r="G120" s="67"/>
      <c r="H120" s="113">
        <f>SUM(H$118:H$119)</f>
        <v>2461.8706668566665</v>
      </c>
    </row>
    <row r="121" spans="1:8" x14ac:dyDescent="0.25">
      <c r="A121" s="210" t="s">
        <v>211</v>
      </c>
      <c r="B121" s="210"/>
      <c r="C121" s="82"/>
      <c r="D121" s="139">
        <f>D$120*2</f>
        <v>4328.2193336533337</v>
      </c>
      <c r="E121" s="82"/>
      <c r="F121" s="139">
        <f>F$120*2</f>
        <v>4767.6213336933324</v>
      </c>
      <c r="G121" s="22"/>
      <c r="H121" s="139">
        <f>H$120*2</f>
        <v>4923.741333713333</v>
      </c>
    </row>
    <row r="122" spans="1:8" x14ac:dyDescent="0.25">
      <c r="D122" s="81" t="s">
        <v>45</v>
      </c>
      <c r="F122" s="81" t="s">
        <v>45</v>
      </c>
      <c r="H122" s="47" t="s">
        <v>45</v>
      </c>
    </row>
  </sheetData>
  <mergeCells count="49">
    <mergeCell ref="A31:B31"/>
    <mergeCell ref="A3:D3"/>
    <mergeCell ref="A4:B4"/>
    <mergeCell ref="A11:B11"/>
    <mergeCell ref="A20:B20"/>
    <mergeCell ref="A21:B21"/>
    <mergeCell ref="A22:B22"/>
    <mergeCell ref="A23:B23"/>
    <mergeCell ref="A27:B27"/>
    <mergeCell ref="A28:B28"/>
    <mergeCell ref="A29:B29"/>
    <mergeCell ref="A30:B30"/>
    <mergeCell ref="A76:B76"/>
    <mergeCell ref="A77:B77"/>
    <mergeCell ref="A62:B62"/>
    <mergeCell ref="A41:B41"/>
    <mergeCell ref="A42:B42"/>
    <mergeCell ref="A43:B43"/>
    <mergeCell ref="A44:B44"/>
    <mergeCell ref="A45:B45"/>
    <mergeCell ref="A46:B46"/>
    <mergeCell ref="A47:B47"/>
    <mergeCell ref="A54:B54"/>
    <mergeCell ref="A55:B55"/>
    <mergeCell ref="A56:B56"/>
    <mergeCell ref="A57:B57"/>
    <mergeCell ref="A121:B121"/>
    <mergeCell ref="A98:B98"/>
    <mergeCell ref="A99:B99"/>
    <mergeCell ref="A100:B100"/>
    <mergeCell ref="A109:B109"/>
    <mergeCell ref="A111:B111"/>
    <mergeCell ref="A112:B112"/>
    <mergeCell ref="E1:F3"/>
    <mergeCell ref="G1:H3"/>
    <mergeCell ref="A118:B118"/>
    <mergeCell ref="A120:B120"/>
    <mergeCell ref="A1:D1"/>
    <mergeCell ref="A2:D2"/>
    <mergeCell ref="A85:B85"/>
    <mergeCell ref="A86:B86"/>
    <mergeCell ref="A87:B87"/>
    <mergeCell ref="A90:B90"/>
    <mergeCell ref="A91:B91"/>
    <mergeCell ref="A97:B97"/>
    <mergeCell ref="A63:B63"/>
    <mergeCell ref="A73:B73"/>
    <mergeCell ref="A74:B74"/>
    <mergeCell ref="A75:B7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BDC7-DA94-408E-A899-39279D7D30E3}">
  <dimension ref="A1:H123"/>
  <sheetViews>
    <sheetView showGridLines="0" topLeftCell="A22" workbookViewId="0">
      <selection activeCell="H43" sqref="H43"/>
    </sheetView>
  </sheetViews>
  <sheetFormatPr defaultColWidth="106" defaultRowHeight="15" x14ac:dyDescent="0.25"/>
  <cols>
    <col min="1" max="1" width="4.42578125" style="84" bestFit="1" customWidth="1"/>
    <col min="2" max="2" width="70.140625" style="84" bestFit="1" customWidth="1"/>
    <col min="3" max="3" width="29.85546875" style="84" bestFit="1" customWidth="1"/>
    <col min="4" max="4" width="12.140625" style="84" bestFit="1" customWidth="1"/>
    <col min="5" max="5" width="29.85546875" style="84" bestFit="1" customWidth="1"/>
    <col min="6" max="6" width="12.140625" style="84" bestFit="1" customWidth="1"/>
    <col min="7" max="7" width="29.85546875" bestFit="1" customWidth="1"/>
    <col min="8" max="8" width="12.140625" style="60" bestFit="1" customWidth="1"/>
    <col min="9" max="39" width="18" customWidth="1"/>
  </cols>
  <sheetData>
    <row r="1" spans="1:8" ht="30" customHeight="1" x14ac:dyDescent="0.25">
      <c r="A1" s="212" t="s">
        <v>246</v>
      </c>
      <c r="B1" s="205"/>
      <c r="C1" s="205"/>
      <c r="D1" s="205"/>
      <c r="E1" s="182" t="s">
        <v>90</v>
      </c>
      <c r="F1" s="182"/>
      <c r="G1" s="183" t="s">
        <v>215</v>
      </c>
      <c r="H1" s="183"/>
    </row>
    <row r="2" spans="1:8" ht="15.75" x14ac:dyDescent="0.25">
      <c r="A2" s="209" t="s">
        <v>81</v>
      </c>
      <c r="B2" s="209"/>
      <c r="C2" s="209"/>
      <c r="D2" s="209"/>
      <c r="E2" s="182"/>
      <c r="F2" s="182"/>
      <c r="G2" s="183"/>
      <c r="H2" s="183"/>
    </row>
    <row r="3" spans="1:8" x14ac:dyDescent="0.25">
      <c r="A3" s="211" t="s">
        <v>37</v>
      </c>
      <c r="B3" s="211"/>
      <c r="C3" s="211"/>
      <c r="D3" s="211"/>
      <c r="E3" s="182"/>
      <c r="F3" s="182"/>
      <c r="G3" s="183"/>
      <c r="H3" s="183"/>
    </row>
    <row r="4" spans="1:8" x14ac:dyDescent="0.25">
      <c r="A4" s="188" t="s">
        <v>92</v>
      </c>
      <c r="B4" s="188"/>
      <c r="C4" s="73"/>
      <c r="D4" s="73"/>
      <c r="E4" s="73"/>
      <c r="F4" s="73"/>
      <c r="G4" s="67"/>
      <c r="H4" s="48"/>
    </row>
    <row r="5" spans="1:8" ht="25.5" x14ac:dyDescent="0.25">
      <c r="A5" s="74">
        <v>1</v>
      </c>
      <c r="B5" s="72" t="s">
        <v>93</v>
      </c>
      <c r="C5" s="72" t="s">
        <v>82</v>
      </c>
      <c r="D5" s="73"/>
      <c r="E5" s="72" t="s">
        <v>82</v>
      </c>
      <c r="F5" s="73"/>
      <c r="G5" s="72" t="s">
        <v>82</v>
      </c>
      <c r="H5" s="48"/>
    </row>
    <row r="6" spans="1:8" x14ac:dyDescent="0.25">
      <c r="A6" s="75">
        <v>2</v>
      </c>
      <c r="B6" s="65" t="s">
        <v>95</v>
      </c>
      <c r="C6" s="75">
        <v>5171</v>
      </c>
      <c r="D6" s="73"/>
      <c r="E6" s="75">
        <v>5171</v>
      </c>
      <c r="F6" s="73"/>
      <c r="G6" s="9">
        <v>5171</v>
      </c>
      <c r="H6" s="48"/>
    </row>
    <row r="7" spans="1:8" x14ac:dyDescent="0.25">
      <c r="A7" s="75">
        <v>3</v>
      </c>
      <c r="B7" s="65" t="s">
        <v>96</v>
      </c>
      <c r="C7" s="11">
        <v>3044.5</v>
      </c>
      <c r="D7" s="73"/>
      <c r="E7" s="11">
        <v>3303.28</v>
      </c>
      <c r="F7" s="73"/>
      <c r="G7" s="54">
        <v>3494.54</v>
      </c>
      <c r="H7" s="48"/>
    </row>
    <row r="8" spans="1:8" ht="51" x14ac:dyDescent="0.25">
      <c r="A8" s="75">
        <v>4</v>
      </c>
      <c r="B8" s="65" t="s">
        <v>97</v>
      </c>
      <c r="C8" s="73" t="s">
        <v>98</v>
      </c>
      <c r="D8" s="73"/>
      <c r="E8" s="73" t="s">
        <v>98</v>
      </c>
      <c r="F8" s="73"/>
      <c r="G8" s="67" t="s">
        <v>31</v>
      </c>
      <c r="H8" s="48"/>
    </row>
    <row r="9" spans="1:8" x14ac:dyDescent="0.25">
      <c r="A9" s="75">
        <v>5</v>
      </c>
      <c r="B9" s="65" t="s">
        <v>99</v>
      </c>
      <c r="C9" s="65" t="s">
        <v>100</v>
      </c>
      <c r="D9" s="73"/>
      <c r="E9" s="65" t="s">
        <v>72</v>
      </c>
      <c r="F9" s="73"/>
      <c r="G9" s="55" t="s">
        <v>216</v>
      </c>
      <c r="H9" s="48"/>
    </row>
    <row r="10" spans="1:8" x14ac:dyDescent="0.25">
      <c r="A10" s="75">
        <v>6</v>
      </c>
      <c r="B10" s="65" t="s">
        <v>101</v>
      </c>
      <c r="C10" s="65" t="s">
        <v>102</v>
      </c>
      <c r="D10" s="73"/>
      <c r="E10" s="65" t="s">
        <v>73</v>
      </c>
      <c r="F10" s="73"/>
      <c r="G10" s="55" t="s">
        <v>247</v>
      </c>
      <c r="H10" s="48"/>
    </row>
    <row r="11" spans="1:8" x14ac:dyDescent="0.25">
      <c r="A11" s="211" t="s">
        <v>103</v>
      </c>
      <c r="B11" s="211"/>
      <c r="C11" s="73"/>
      <c r="D11" s="73"/>
      <c r="E11" s="73"/>
      <c r="F11" s="73"/>
      <c r="G11" s="67"/>
      <c r="H11" s="48"/>
    </row>
    <row r="12" spans="1:8" x14ac:dyDescent="0.25">
      <c r="A12" s="76">
        <v>1</v>
      </c>
      <c r="B12" s="66" t="s">
        <v>104</v>
      </c>
      <c r="C12" s="98" t="s">
        <v>219</v>
      </c>
      <c r="D12" s="99" t="s">
        <v>218</v>
      </c>
      <c r="E12" s="98" t="s">
        <v>219</v>
      </c>
      <c r="F12" s="99" t="s">
        <v>218</v>
      </c>
      <c r="G12" s="98" t="s">
        <v>219</v>
      </c>
      <c r="H12" s="99" t="s">
        <v>218</v>
      </c>
    </row>
    <row r="13" spans="1:8" x14ac:dyDescent="0.25">
      <c r="A13" s="71" t="s">
        <v>106</v>
      </c>
      <c r="B13" s="65" t="s">
        <v>107</v>
      </c>
      <c r="C13" s="90" t="s">
        <v>35</v>
      </c>
      <c r="D13" s="86">
        <f>C7</f>
        <v>3044.5</v>
      </c>
      <c r="E13" s="90" t="s">
        <v>35</v>
      </c>
      <c r="F13" s="86">
        <f>E7</f>
        <v>3303.28</v>
      </c>
      <c r="G13" s="92" t="s">
        <v>35</v>
      </c>
      <c r="H13" s="88">
        <f>G7</f>
        <v>3494.54</v>
      </c>
    </row>
    <row r="14" spans="1:8" x14ac:dyDescent="0.25">
      <c r="A14" s="71"/>
      <c r="B14" s="1" t="s">
        <v>210</v>
      </c>
      <c r="C14" s="90" t="s">
        <v>35</v>
      </c>
      <c r="D14" s="86">
        <f>ROUND(D13/220*52,2)</f>
        <v>719.61</v>
      </c>
      <c r="E14" s="90" t="s">
        <v>35</v>
      </c>
      <c r="F14" s="86">
        <f>ROUND(F13/220*52,2)</f>
        <v>780.78</v>
      </c>
      <c r="G14" s="92" t="s">
        <v>35</v>
      </c>
      <c r="H14" s="88">
        <f>ROUND(H13/220*52,2)</f>
        <v>825.98</v>
      </c>
    </row>
    <row r="15" spans="1:8" x14ac:dyDescent="0.25">
      <c r="A15" s="71" t="s">
        <v>108</v>
      </c>
      <c r="B15" s="65" t="s">
        <v>109</v>
      </c>
      <c r="C15" s="91">
        <v>0.3</v>
      </c>
      <c r="D15" s="86">
        <f>ROUND(D14*C15,2)</f>
        <v>215.88</v>
      </c>
      <c r="E15" s="91">
        <v>0.3</v>
      </c>
      <c r="F15" s="86">
        <f>ROUND(F14*E15,2)</f>
        <v>234.23</v>
      </c>
      <c r="G15" s="91">
        <v>0.3</v>
      </c>
      <c r="H15" s="88">
        <f>ROUND(H14*G15,2)</f>
        <v>247.79</v>
      </c>
    </row>
    <row r="16" spans="1:8" x14ac:dyDescent="0.25">
      <c r="A16" s="71" t="s">
        <v>110</v>
      </c>
      <c r="B16" s="65" t="s">
        <v>111</v>
      </c>
      <c r="C16" s="90" t="s">
        <v>35</v>
      </c>
      <c r="D16" s="86" t="s">
        <v>35</v>
      </c>
      <c r="E16" s="90" t="s">
        <v>35</v>
      </c>
      <c r="F16" s="86" t="s">
        <v>35</v>
      </c>
      <c r="G16" s="92" t="s">
        <v>35</v>
      </c>
      <c r="H16" s="88" t="s">
        <v>35</v>
      </c>
    </row>
    <row r="17" spans="1:8" x14ac:dyDescent="0.25">
      <c r="A17" s="71" t="s">
        <v>112</v>
      </c>
      <c r="B17" s="65" t="s">
        <v>113</v>
      </c>
      <c r="C17" s="90" t="s">
        <v>35</v>
      </c>
      <c r="D17" s="132" t="s">
        <v>35</v>
      </c>
      <c r="E17" s="90" t="s">
        <v>35</v>
      </c>
      <c r="F17" s="132" t="s">
        <v>35</v>
      </c>
      <c r="G17" s="92" t="s">
        <v>35</v>
      </c>
      <c r="H17" s="133" t="s">
        <v>35</v>
      </c>
    </row>
    <row r="18" spans="1:8" x14ac:dyDescent="0.25">
      <c r="A18" s="71" t="s">
        <v>114</v>
      </c>
      <c r="B18" s="65" t="s">
        <v>77</v>
      </c>
      <c r="C18" s="90" t="s">
        <v>35</v>
      </c>
      <c r="D18" s="86" t="s">
        <v>35</v>
      </c>
      <c r="E18" s="90" t="s">
        <v>35</v>
      </c>
      <c r="F18" s="86" t="s">
        <v>35</v>
      </c>
      <c r="G18" s="92" t="s">
        <v>35</v>
      </c>
      <c r="H18" s="88" t="s">
        <v>35</v>
      </c>
    </row>
    <row r="19" spans="1:8" x14ac:dyDescent="0.25">
      <c r="A19" s="71" t="s">
        <v>6</v>
      </c>
      <c r="B19" s="65" t="s">
        <v>115</v>
      </c>
      <c r="C19" s="90" t="s">
        <v>35</v>
      </c>
      <c r="D19" s="86" t="s">
        <v>35</v>
      </c>
      <c r="E19" s="90" t="s">
        <v>35</v>
      </c>
      <c r="F19" s="86" t="s">
        <v>35</v>
      </c>
      <c r="G19" s="92" t="s">
        <v>35</v>
      </c>
      <c r="H19" s="88" t="s">
        <v>35</v>
      </c>
    </row>
    <row r="20" spans="1:8" x14ac:dyDescent="0.25">
      <c r="A20" s="188" t="s">
        <v>71</v>
      </c>
      <c r="B20" s="188"/>
      <c r="C20" s="90" t="s">
        <v>35</v>
      </c>
      <c r="D20" s="87">
        <f>SUM(D14:D19)</f>
        <v>935.49</v>
      </c>
      <c r="E20" s="90" t="s">
        <v>35</v>
      </c>
      <c r="F20" s="87">
        <f>SUM(F14:F19)</f>
        <v>1015.01</v>
      </c>
      <c r="G20" s="92" t="s">
        <v>35</v>
      </c>
      <c r="H20" s="89">
        <f>SUM(H14:H19)</f>
        <v>1073.77</v>
      </c>
    </row>
    <row r="21" spans="1:8" ht="28.5" customHeight="1" x14ac:dyDescent="0.25">
      <c r="A21" s="186" t="s">
        <v>116</v>
      </c>
      <c r="B21" s="186"/>
      <c r="C21" s="42"/>
      <c r="D21" s="42"/>
      <c r="E21" s="42"/>
      <c r="F21" s="42"/>
      <c r="G21" s="42"/>
      <c r="H21" s="50"/>
    </row>
    <row r="22" spans="1:8" x14ac:dyDescent="0.25">
      <c r="A22" s="211" t="s">
        <v>117</v>
      </c>
      <c r="B22" s="211"/>
      <c r="C22" s="77"/>
      <c r="D22" s="77"/>
      <c r="E22" s="77"/>
      <c r="F22" s="77"/>
      <c r="G22" s="7"/>
      <c r="H22" s="51"/>
    </row>
    <row r="23" spans="1:8" x14ac:dyDescent="0.25">
      <c r="A23" s="188" t="s">
        <v>118</v>
      </c>
      <c r="B23" s="188"/>
      <c r="C23" s="77"/>
      <c r="D23" s="77"/>
      <c r="E23" s="77"/>
      <c r="F23" s="77"/>
      <c r="G23" s="7"/>
      <c r="H23" s="51"/>
    </row>
    <row r="24" spans="1:8" x14ac:dyDescent="0.25">
      <c r="A24" s="72" t="s">
        <v>119</v>
      </c>
      <c r="B24" s="72" t="s">
        <v>120</v>
      </c>
      <c r="C24" s="98" t="s">
        <v>219</v>
      </c>
      <c r="D24" s="99" t="s">
        <v>218</v>
      </c>
      <c r="E24" s="98" t="s">
        <v>219</v>
      </c>
      <c r="F24" s="99" t="s">
        <v>218</v>
      </c>
      <c r="G24" s="98" t="s">
        <v>219</v>
      </c>
      <c r="H24" s="99" t="s">
        <v>218</v>
      </c>
    </row>
    <row r="25" spans="1:8" x14ac:dyDescent="0.25">
      <c r="A25" s="71" t="s">
        <v>106</v>
      </c>
      <c r="B25" s="65" t="s">
        <v>121</v>
      </c>
      <c r="C25" s="101">
        <v>9.0899999999999995E-2</v>
      </c>
      <c r="D25" s="94">
        <f>ROUND($C25*D$20,2)</f>
        <v>85.04</v>
      </c>
      <c r="E25" s="101">
        <v>9.0899999999999995E-2</v>
      </c>
      <c r="F25" s="94">
        <f>ROUND(E$25*F$20,2)</f>
        <v>92.26</v>
      </c>
      <c r="G25" s="103">
        <v>9.0899999999999995E-2</v>
      </c>
      <c r="H25" s="96">
        <f>ROUND(G$25*H$20,2)</f>
        <v>97.61</v>
      </c>
    </row>
    <row r="26" spans="1:8" x14ac:dyDescent="0.25">
      <c r="A26" s="71" t="s">
        <v>108</v>
      </c>
      <c r="B26" s="65" t="s">
        <v>122</v>
      </c>
      <c r="C26" s="101">
        <v>0.1212</v>
      </c>
      <c r="D26" s="94">
        <f>ROUND($C26*D$20,2)</f>
        <v>113.38</v>
      </c>
      <c r="E26" s="101">
        <v>0.1212</v>
      </c>
      <c r="F26" s="94">
        <f>ROUND(E$26*F$20,2)</f>
        <v>123.02</v>
      </c>
      <c r="G26" s="103">
        <v>0.1212</v>
      </c>
      <c r="H26" s="96">
        <f>ROUND(G$26*H$20,2)</f>
        <v>130.13999999999999</v>
      </c>
    </row>
    <row r="27" spans="1:8" x14ac:dyDescent="0.25">
      <c r="A27" s="188" t="s">
        <v>71</v>
      </c>
      <c r="B27" s="188"/>
      <c r="C27" s="104">
        <f t="shared" ref="C27:H27" si="0">SUM(C25:C26)</f>
        <v>0.21210000000000001</v>
      </c>
      <c r="D27" s="95">
        <f t="shared" si="0"/>
        <v>198.42000000000002</v>
      </c>
      <c r="E27" s="104">
        <f t="shared" si="0"/>
        <v>0.21210000000000001</v>
      </c>
      <c r="F27" s="95">
        <f t="shared" si="0"/>
        <v>215.28</v>
      </c>
      <c r="G27" s="105">
        <f t="shared" si="0"/>
        <v>0.21210000000000001</v>
      </c>
      <c r="H27" s="97">
        <f t="shared" si="0"/>
        <v>227.75</v>
      </c>
    </row>
    <row r="28" spans="1:8" ht="52.5" customHeight="1" x14ac:dyDescent="0.25">
      <c r="A28" s="197" t="s">
        <v>200</v>
      </c>
      <c r="B28" s="197"/>
      <c r="C28" s="77"/>
      <c r="D28" s="77"/>
      <c r="E28" s="77"/>
      <c r="F28" s="77"/>
      <c r="G28" s="7"/>
      <c r="H28" s="51"/>
    </row>
    <row r="29" spans="1:8" ht="30.75" customHeight="1" x14ac:dyDescent="0.25">
      <c r="A29" s="186" t="s">
        <v>88</v>
      </c>
      <c r="B29" s="186"/>
      <c r="C29" s="42"/>
      <c r="D29" s="42"/>
      <c r="E29" s="42"/>
      <c r="F29" s="42"/>
      <c r="G29" s="42"/>
      <c r="H29" s="50"/>
    </row>
    <row r="30" spans="1:8" ht="47.25" customHeight="1" x14ac:dyDescent="0.25">
      <c r="A30" s="186" t="s">
        <v>89</v>
      </c>
      <c r="B30" s="186"/>
      <c r="C30" s="42"/>
      <c r="D30" s="42"/>
      <c r="E30" s="42"/>
      <c r="F30" s="42"/>
      <c r="G30" s="42"/>
      <c r="H30" s="50"/>
    </row>
    <row r="31" spans="1:8" ht="26.25" customHeight="1" x14ac:dyDescent="0.25">
      <c r="A31" s="188" t="s">
        <v>123</v>
      </c>
      <c r="B31" s="188"/>
      <c r="C31" s="77"/>
      <c r="D31" s="77"/>
      <c r="E31" s="77"/>
      <c r="F31" s="77"/>
      <c r="G31" s="7"/>
      <c r="H31" s="51"/>
    </row>
    <row r="32" spans="1:8" x14ac:dyDescent="0.25">
      <c r="A32" s="66" t="s">
        <v>124</v>
      </c>
      <c r="B32" s="66" t="s">
        <v>125</v>
      </c>
      <c r="C32" s="98" t="s">
        <v>219</v>
      </c>
      <c r="D32" s="99" t="s">
        <v>218</v>
      </c>
      <c r="E32" s="98" t="s">
        <v>219</v>
      </c>
      <c r="F32" s="99" t="s">
        <v>218</v>
      </c>
      <c r="G32" s="98" t="s">
        <v>219</v>
      </c>
      <c r="H32" s="99" t="s">
        <v>218</v>
      </c>
    </row>
    <row r="33" spans="1:8" x14ac:dyDescent="0.25">
      <c r="A33" s="71" t="s">
        <v>106</v>
      </c>
      <c r="B33" s="65" t="s">
        <v>126</v>
      </c>
      <c r="C33" s="101">
        <v>0.2</v>
      </c>
      <c r="D33" s="94">
        <f>ROUND($C33*(D$27+D$20),2)</f>
        <v>226.78</v>
      </c>
      <c r="E33" s="101">
        <v>0.2</v>
      </c>
      <c r="F33" s="94">
        <f>ROUND(E$33*(F$27+F$20),2)</f>
        <v>246.06</v>
      </c>
      <c r="G33" s="101">
        <v>0.2</v>
      </c>
      <c r="H33" s="96">
        <f>ROUND(G$33*(H$27+H$20),2)</f>
        <v>260.3</v>
      </c>
    </row>
    <row r="34" spans="1:8" x14ac:dyDescent="0.25">
      <c r="A34" s="71" t="s">
        <v>108</v>
      </c>
      <c r="B34" s="65" t="s">
        <v>127</v>
      </c>
      <c r="C34" s="101">
        <v>2.5000000000000001E-2</v>
      </c>
      <c r="D34" s="94">
        <f t="shared" ref="D34:D40" si="1">ROUND($C34*(D$27+D$20),2)</f>
        <v>28.35</v>
      </c>
      <c r="E34" s="101">
        <v>2.5000000000000001E-2</v>
      </c>
      <c r="F34" s="94">
        <f>ROUND(E$34*(F$27+F$20),2)</f>
        <v>30.76</v>
      </c>
      <c r="G34" s="101">
        <v>2.5000000000000001E-2</v>
      </c>
      <c r="H34" s="96">
        <f>ROUND(G$34*(H$27+H$20),2)</f>
        <v>32.54</v>
      </c>
    </row>
    <row r="35" spans="1:8" x14ac:dyDescent="0.25">
      <c r="A35" s="71" t="s">
        <v>110</v>
      </c>
      <c r="B35" s="65" t="s">
        <v>128</v>
      </c>
      <c r="C35" s="101">
        <f>3%*1</f>
        <v>0.03</v>
      </c>
      <c r="D35" s="94">
        <f t="shared" si="1"/>
        <v>34.020000000000003</v>
      </c>
      <c r="E35" s="101">
        <f>3%*1.7299</f>
        <v>5.1896999999999999E-2</v>
      </c>
      <c r="F35" s="94">
        <f>ROUND(E$35*(F$27+F$20),2)</f>
        <v>63.85</v>
      </c>
      <c r="G35" s="173">
        <f>3%*0.5</f>
        <v>1.4999999999999999E-2</v>
      </c>
      <c r="H35" s="96">
        <f>ROUND(G$35*(H$27+H$20),2)</f>
        <v>19.52</v>
      </c>
    </row>
    <row r="36" spans="1:8" x14ac:dyDescent="0.25">
      <c r="A36" s="71" t="s">
        <v>112</v>
      </c>
      <c r="B36" s="65" t="s">
        <v>129</v>
      </c>
      <c r="C36" s="101">
        <v>1.4999999999999999E-2</v>
      </c>
      <c r="D36" s="94">
        <f t="shared" si="1"/>
        <v>17.010000000000002</v>
      </c>
      <c r="E36" s="101">
        <v>1.4999999999999999E-2</v>
      </c>
      <c r="F36" s="94">
        <f>ROUND(E$36*(F$27+F$20),2)</f>
        <v>18.45</v>
      </c>
      <c r="G36" s="101">
        <v>1.4999999999999999E-2</v>
      </c>
      <c r="H36" s="96">
        <f>ROUND(G$36*(H$27+H$20),2)</f>
        <v>19.52</v>
      </c>
    </row>
    <row r="37" spans="1:8" x14ac:dyDescent="0.25">
      <c r="A37" s="71" t="s">
        <v>114</v>
      </c>
      <c r="B37" s="65" t="s">
        <v>130</v>
      </c>
      <c r="C37" s="101">
        <v>0.01</v>
      </c>
      <c r="D37" s="94">
        <f t="shared" si="1"/>
        <v>11.34</v>
      </c>
      <c r="E37" s="101">
        <v>0.01</v>
      </c>
      <c r="F37" s="94">
        <f>ROUND(E$37*(F$27+F$20),2)</f>
        <v>12.3</v>
      </c>
      <c r="G37" s="101">
        <v>0.01</v>
      </c>
      <c r="H37" s="96">
        <f>ROUND(G$37*(H$27+H$20),2)</f>
        <v>13.02</v>
      </c>
    </row>
    <row r="38" spans="1:8" x14ac:dyDescent="0.25">
      <c r="A38" s="71" t="s">
        <v>6</v>
      </c>
      <c r="B38" s="65" t="s">
        <v>131</v>
      </c>
      <c r="C38" s="101">
        <v>6.0000000000000001E-3</v>
      </c>
      <c r="D38" s="94">
        <f t="shared" si="1"/>
        <v>6.8</v>
      </c>
      <c r="E38" s="101">
        <v>6.0000000000000001E-3</v>
      </c>
      <c r="F38" s="94">
        <f>ROUND(E$38*(F$27+F$20),2)</f>
        <v>7.38</v>
      </c>
      <c r="G38" s="101">
        <v>6.0000000000000001E-3</v>
      </c>
      <c r="H38" s="96">
        <f>ROUND(G$38*(H$27+H$20),2)</f>
        <v>7.81</v>
      </c>
    </row>
    <row r="39" spans="1:8" x14ac:dyDescent="0.25">
      <c r="A39" s="71" t="s">
        <v>132</v>
      </c>
      <c r="B39" s="65" t="s">
        <v>133</v>
      </c>
      <c r="C39" s="101">
        <v>2E-3</v>
      </c>
      <c r="D39" s="94">
        <f t="shared" si="1"/>
        <v>2.27</v>
      </c>
      <c r="E39" s="101">
        <v>2E-3</v>
      </c>
      <c r="F39" s="94">
        <f>ROUND(E$39*(F$27+F$20),2)</f>
        <v>2.46</v>
      </c>
      <c r="G39" s="101">
        <v>2E-3</v>
      </c>
      <c r="H39" s="96">
        <f>ROUND(G$39*(H$27+H$20),2)</f>
        <v>2.6</v>
      </c>
    </row>
    <row r="40" spans="1:8" x14ac:dyDescent="0.25">
      <c r="A40" s="71" t="s">
        <v>134</v>
      </c>
      <c r="B40" s="65" t="s">
        <v>135</v>
      </c>
      <c r="C40" s="101">
        <v>0.08</v>
      </c>
      <c r="D40" s="94">
        <f t="shared" si="1"/>
        <v>90.71</v>
      </c>
      <c r="E40" s="101">
        <v>0.08</v>
      </c>
      <c r="F40" s="94">
        <f>ROUND(E$40*(F$27+F$20),2)</f>
        <v>98.42</v>
      </c>
      <c r="G40" s="101">
        <v>0.08</v>
      </c>
      <c r="H40" s="96">
        <f>ROUND(G$40*(H$27+H$20),2)</f>
        <v>104.12</v>
      </c>
    </row>
    <row r="41" spans="1:8" x14ac:dyDescent="0.25">
      <c r="A41" s="188" t="s">
        <v>71</v>
      </c>
      <c r="B41" s="188"/>
      <c r="C41" s="102">
        <f t="shared" ref="C41:H41" si="2">SUM(C33:C40)</f>
        <v>0.36800000000000005</v>
      </c>
      <c r="D41" s="95">
        <f t="shared" si="2"/>
        <v>417.27999999999992</v>
      </c>
      <c r="E41" s="102">
        <f t="shared" si="2"/>
        <v>0.38989700000000005</v>
      </c>
      <c r="F41" s="95">
        <f t="shared" si="2"/>
        <v>479.68</v>
      </c>
      <c r="G41" s="174">
        <f t="shared" si="2"/>
        <v>0.35300000000000004</v>
      </c>
      <c r="H41" s="97">
        <f t="shared" si="2"/>
        <v>459.43</v>
      </c>
    </row>
    <row r="42" spans="1:8" ht="28.5" customHeight="1" x14ac:dyDescent="0.25">
      <c r="A42" s="186" t="s">
        <v>136</v>
      </c>
      <c r="B42" s="186"/>
      <c r="C42" s="77"/>
      <c r="D42" s="77"/>
      <c r="E42" s="77"/>
      <c r="F42" s="77"/>
      <c r="G42" s="7"/>
      <c r="H42" s="51"/>
    </row>
    <row r="43" spans="1:8" ht="27" customHeight="1" x14ac:dyDescent="0.25">
      <c r="A43" s="186" t="s">
        <v>137</v>
      </c>
      <c r="B43" s="186"/>
      <c r="C43" s="77"/>
      <c r="D43" s="77"/>
      <c r="E43" s="77"/>
      <c r="F43" s="77"/>
      <c r="G43" s="7"/>
      <c r="H43" s="51"/>
    </row>
    <row r="44" spans="1:8" ht="39.75" customHeight="1" x14ac:dyDescent="0.25">
      <c r="A44" s="186" t="s">
        <v>138</v>
      </c>
      <c r="B44" s="186"/>
      <c r="C44" s="77"/>
      <c r="D44" s="77"/>
      <c r="E44" s="77"/>
      <c r="F44" s="77"/>
      <c r="G44" s="7"/>
      <c r="H44" s="51"/>
    </row>
    <row r="45" spans="1:8" ht="18.75" customHeight="1" x14ac:dyDescent="0.25">
      <c r="A45" s="186" t="s">
        <v>139</v>
      </c>
      <c r="B45" s="186"/>
      <c r="C45" s="77"/>
      <c r="D45" s="77"/>
      <c r="E45" s="77"/>
      <c r="F45" s="77"/>
      <c r="G45" s="7"/>
      <c r="H45" s="51"/>
    </row>
    <row r="46" spans="1:8" ht="29.25" customHeight="1" x14ac:dyDescent="0.25">
      <c r="A46" s="186" t="s">
        <v>140</v>
      </c>
      <c r="B46" s="186"/>
      <c r="C46" s="77"/>
      <c r="D46" s="77"/>
      <c r="E46" s="77"/>
      <c r="F46" s="77"/>
      <c r="G46" s="7"/>
      <c r="H46" s="51"/>
    </row>
    <row r="47" spans="1:8" x14ac:dyDescent="0.25">
      <c r="A47" s="188" t="s">
        <v>141</v>
      </c>
      <c r="B47" s="188"/>
      <c r="C47" s="77"/>
      <c r="D47" s="77"/>
      <c r="E47" s="77"/>
      <c r="F47" s="77"/>
      <c r="G47" s="7"/>
      <c r="H47" s="51"/>
    </row>
    <row r="48" spans="1:8" x14ac:dyDescent="0.25">
      <c r="A48" s="72" t="s">
        <v>142</v>
      </c>
      <c r="B48" s="72" t="s">
        <v>143</v>
      </c>
      <c r="C48" s="98" t="s">
        <v>144</v>
      </c>
      <c r="D48" s="98" t="s">
        <v>218</v>
      </c>
      <c r="E48" s="98" t="s">
        <v>144</v>
      </c>
      <c r="F48" s="98" t="s">
        <v>218</v>
      </c>
      <c r="G48" s="98" t="s">
        <v>144</v>
      </c>
      <c r="H48" s="98" t="s">
        <v>218</v>
      </c>
    </row>
    <row r="49" spans="1:8" x14ac:dyDescent="0.25">
      <c r="A49" s="71" t="s">
        <v>106</v>
      </c>
      <c r="B49" s="65" t="s">
        <v>32</v>
      </c>
      <c r="C49" s="106">
        <v>5</v>
      </c>
      <c r="D49" s="94">
        <f>ROUND(((13*2*5.5)-(D$13*0.06))/220*52,2)</f>
        <v>-9.3800000000000008</v>
      </c>
      <c r="E49" s="106">
        <v>5</v>
      </c>
      <c r="F49" s="94">
        <f>ROUND(((13*2*5.5)-(F$13*0.06))/220*52,2)</f>
        <v>-13.05</v>
      </c>
      <c r="G49" s="108">
        <v>5</v>
      </c>
      <c r="H49" s="96">
        <f>ROUND(((13*2*5.5)-(H$13*0.06))/220*52,2)</f>
        <v>-15.76</v>
      </c>
    </row>
    <row r="50" spans="1:8" x14ac:dyDescent="0.25">
      <c r="A50" s="71" t="s">
        <v>108</v>
      </c>
      <c r="B50" s="65" t="s">
        <v>145</v>
      </c>
      <c r="C50" s="106">
        <v>5</v>
      </c>
      <c r="D50" s="94">
        <f>$C50*38</f>
        <v>190</v>
      </c>
      <c r="E50" s="106">
        <v>5</v>
      </c>
      <c r="F50" s="94">
        <f>E$50*41.23</f>
        <v>206.14999999999998</v>
      </c>
      <c r="G50" s="108">
        <v>5</v>
      </c>
      <c r="H50" s="96">
        <f>G$50*43.62</f>
        <v>218.1</v>
      </c>
    </row>
    <row r="51" spans="1:8" x14ac:dyDescent="0.25">
      <c r="A51" s="71" t="s">
        <v>110</v>
      </c>
      <c r="B51" s="65" t="s">
        <v>78</v>
      </c>
      <c r="C51" s="107" t="s">
        <v>35</v>
      </c>
      <c r="D51" s="94">
        <f>ROUND((153.77/220)*52,2)</f>
        <v>36.35</v>
      </c>
      <c r="E51" s="107" t="s">
        <v>35</v>
      </c>
      <c r="F51" s="94">
        <f>ROUND((169.67/220)*52,2)</f>
        <v>40.1</v>
      </c>
      <c r="G51" s="109" t="s">
        <v>35</v>
      </c>
      <c r="H51" s="96">
        <f>ROUND((175.76/220)*52,2)</f>
        <v>41.54</v>
      </c>
    </row>
    <row r="52" spans="1:8" x14ac:dyDescent="0.25">
      <c r="A52" s="71" t="s">
        <v>112</v>
      </c>
      <c r="B52" s="65" t="s">
        <v>146</v>
      </c>
      <c r="C52" s="107" t="s">
        <v>35</v>
      </c>
      <c r="D52" s="94">
        <f>ROUND((10.63/220)*52,2)</f>
        <v>2.5099999999999998</v>
      </c>
      <c r="E52" s="107" t="s">
        <v>35</v>
      </c>
      <c r="F52" s="94">
        <f>ROUND((11.53/220)*52,2)</f>
        <v>2.73</v>
      </c>
      <c r="G52" s="109" t="s">
        <v>35</v>
      </c>
      <c r="H52" s="96">
        <f>ROUND((12.2/220)*52,2)</f>
        <v>2.88</v>
      </c>
    </row>
    <row r="53" spans="1:8" x14ac:dyDescent="0.25">
      <c r="A53" s="71" t="s">
        <v>6</v>
      </c>
      <c r="B53" s="46" t="s">
        <v>33</v>
      </c>
      <c r="C53" s="107" t="s">
        <v>35</v>
      </c>
      <c r="D53" s="94">
        <f>ROUND((9.25/220)*52,2)</f>
        <v>2.19</v>
      </c>
      <c r="E53" s="107" t="s">
        <v>35</v>
      </c>
      <c r="F53" s="94">
        <f>ROUND((10.04/220)*52,2)</f>
        <v>2.37</v>
      </c>
      <c r="G53" s="109" t="s">
        <v>35</v>
      </c>
      <c r="H53" s="96">
        <f>ROUND((12.14/220)*52,2)</f>
        <v>2.87</v>
      </c>
    </row>
    <row r="54" spans="1:8" x14ac:dyDescent="0.25">
      <c r="A54" s="208" t="s">
        <v>147</v>
      </c>
      <c r="B54" s="191"/>
      <c r="C54" s="90"/>
      <c r="D54" s="111">
        <f>SUM(D50:D53)</f>
        <v>231.04999999999998</v>
      </c>
      <c r="E54" s="90"/>
      <c r="F54" s="111">
        <f>SUM(F50:F53)</f>
        <v>251.34999999999997</v>
      </c>
      <c r="G54" s="92"/>
      <c r="H54" s="113">
        <f>SUM(H50:H53)</f>
        <v>265.39</v>
      </c>
    </row>
    <row r="55" spans="1:8" ht="30" customHeight="1" x14ac:dyDescent="0.25">
      <c r="A55" s="186" t="s">
        <v>148</v>
      </c>
      <c r="B55" s="186"/>
      <c r="C55" s="77"/>
      <c r="D55" s="77"/>
      <c r="E55" s="77"/>
      <c r="F55" s="77"/>
      <c r="G55" s="7"/>
      <c r="H55" s="51"/>
    </row>
    <row r="56" spans="1:8" ht="31.5" customHeight="1" x14ac:dyDescent="0.25">
      <c r="A56" s="186" t="s">
        <v>149</v>
      </c>
      <c r="B56" s="186"/>
      <c r="C56" s="77"/>
      <c r="D56" s="77"/>
      <c r="E56" s="77"/>
      <c r="F56" s="77"/>
      <c r="G56" s="7"/>
      <c r="H56" s="51"/>
    </row>
    <row r="57" spans="1:8" x14ac:dyDescent="0.25">
      <c r="A57" s="211" t="s">
        <v>150</v>
      </c>
      <c r="B57" s="211"/>
      <c r="C57" s="77"/>
      <c r="D57" s="77"/>
      <c r="E57" s="77"/>
      <c r="F57" s="77"/>
      <c r="G57" s="7"/>
      <c r="H57" s="51"/>
    </row>
    <row r="58" spans="1:8" x14ac:dyDescent="0.25">
      <c r="A58" s="76">
        <v>2</v>
      </c>
      <c r="B58" s="66" t="s">
        <v>151</v>
      </c>
      <c r="C58" s="73"/>
      <c r="D58" s="99" t="s">
        <v>218</v>
      </c>
      <c r="E58" s="73"/>
      <c r="F58" s="99" t="s">
        <v>218</v>
      </c>
      <c r="G58" s="67"/>
      <c r="H58" s="99" t="s">
        <v>218</v>
      </c>
    </row>
    <row r="59" spans="1:8" x14ac:dyDescent="0.25">
      <c r="A59" s="71" t="s">
        <v>119</v>
      </c>
      <c r="B59" s="65" t="s">
        <v>120</v>
      </c>
      <c r="C59" s="73"/>
      <c r="D59" s="94">
        <f>D27</f>
        <v>198.42000000000002</v>
      </c>
      <c r="E59" s="73"/>
      <c r="F59" s="94">
        <f>F27</f>
        <v>215.28</v>
      </c>
      <c r="G59" s="67"/>
      <c r="H59" s="96">
        <f>H27</f>
        <v>227.75</v>
      </c>
    </row>
    <row r="60" spans="1:8" x14ac:dyDescent="0.25">
      <c r="A60" s="71" t="s">
        <v>124</v>
      </c>
      <c r="B60" s="65" t="s">
        <v>125</v>
      </c>
      <c r="C60" s="73"/>
      <c r="D60" s="94">
        <f>D41</f>
        <v>417.27999999999992</v>
      </c>
      <c r="E60" s="73"/>
      <c r="F60" s="94">
        <f>F41</f>
        <v>479.68</v>
      </c>
      <c r="G60" s="67"/>
      <c r="H60" s="96">
        <f>H41</f>
        <v>459.43</v>
      </c>
    </row>
    <row r="61" spans="1:8" x14ac:dyDescent="0.25">
      <c r="A61" s="71" t="s">
        <v>142</v>
      </c>
      <c r="B61" s="65" t="s">
        <v>143</v>
      </c>
      <c r="C61" s="73"/>
      <c r="D61" s="94">
        <f>D54</f>
        <v>231.04999999999998</v>
      </c>
      <c r="E61" s="73"/>
      <c r="F61" s="94">
        <f>F54</f>
        <v>251.34999999999997</v>
      </c>
      <c r="G61" s="67"/>
      <c r="H61" s="96">
        <f>H54</f>
        <v>265.39</v>
      </c>
    </row>
    <row r="62" spans="1:8" x14ac:dyDescent="0.25">
      <c r="A62" s="188" t="s">
        <v>71</v>
      </c>
      <c r="B62" s="188"/>
      <c r="C62" s="73"/>
      <c r="D62" s="95">
        <f>SUM(D59:D61)</f>
        <v>846.74999999999989</v>
      </c>
      <c r="E62" s="73"/>
      <c r="F62" s="95">
        <f>SUM(F59:F61)</f>
        <v>946.31</v>
      </c>
      <c r="G62" s="67"/>
      <c r="H62" s="97">
        <f>SUM(H59:H61)</f>
        <v>952.57</v>
      </c>
    </row>
    <row r="63" spans="1:8" x14ac:dyDescent="0.25">
      <c r="A63" s="211" t="s">
        <v>152</v>
      </c>
      <c r="B63" s="211"/>
      <c r="C63" s="77"/>
      <c r="D63" s="77"/>
      <c r="E63" s="77"/>
      <c r="F63" s="77"/>
      <c r="G63" s="7"/>
      <c r="H63" s="51"/>
    </row>
    <row r="64" spans="1:8" x14ac:dyDescent="0.25">
      <c r="A64" s="76">
        <v>3</v>
      </c>
      <c r="B64" s="66" t="s">
        <v>153</v>
      </c>
      <c r="C64" s="98" t="s">
        <v>219</v>
      </c>
      <c r="D64" s="99" t="s">
        <v>218</v>
      </c>
      <c r="E64" s="98" t="s">
        <v>219</v>
      </c>
      <c r="F64" s="99" t="s">
        <v>218</v>
      </c>
      <c r="G64" s="98" t="s">
        <v>219</v>
      </c>
      <c r="H64" s="99" t="s">
        <v>218</v>
      </c>
    </row>
    <row r="65" spans="1:8" x14ac:dyDescent="0.25">
      <c r="A65" s="71" t="s">
        <v>106</v>
      </c>
      <c r="B65" s="65" t="s">
        <v>154</v>
      </c>
      <c r="C65" s="101">
        <f>((0.002*(1/12)))</f>
        <v>1.6666666666666666E-4</v>
      </c>
      <c r="D65" s="94">
        <f>ROUND($C65*D$20,2)</f>
        <v>0.16</v>
      </c>
      <c r="E65" s="101">
        <v>1.6666666666666666E-4</v>
      </c>
      <c r="F65" s="94">
        <f>ROUND(E$65*F$20,2)</f>
        <v>0.17</v>
      </c>
      <c r="G65" s="103">
        <v>1.6666666666666666E-4</v>
      </c>
      <c r="H65" s="96">
        <f>ROUND(G$65*H$20,2)</f>
        <v>0.18</v>
      </c>
    </row>
    <row r="66" spans="1:8" x14ac:dyDescent="0.25">
      <c r="A66" s="71" t="s">
        <v>108</v>
      </c>
      <c r="B66" s="65" t="s">
        <v>155</v>
      </c>
      <c r="C66" s="114">
        <f>C40*C65</f>
        <v>1.3333333333333333E-5</v>
      </c>
      <c r="D66" s="94">
        <f>ROUND(D$65*$C40,2)</f>
        <v>0.01</v>
      </c>
      <c r="E66" s="114">
        <v>1.3333333333333333E-5</v>
      </c>
      <c r="F66" s="94">
        <f>ROUND(F$65*E$40,2)</f>
        <v>0.01</v>
      </c>
      <c r="G66" s="116">
        <v>1.3333333333333333E-5</v>
      </c>
      <c r="H66" s="94">
        <f>ROUND(H$65*G$40,2)</f>
        <v>0.01</v>
      </c>
    </row>
    <row r="67" spans="1:8" x14ac:dyDescent="0.25">
      <c r="A67" s="71" t="s">
        <v>110</v>
      </c>
      <c r="B67" s="65" t="s">
        <v>156</v>
      </c>
      <c r="C67" s="115">
        <v>9.9999999999999995E-7</v>
      </c>
      <c r="D67" s="94">
        <f>$C67*D$65</f>
        <v>1.6E-7</v>
      </c>
      <c r="E67" s="115">
        <v>9.9999999999999995E-7</v>
      </c>
      <c r="F67" s="94">
        <f>E$67*F$65</f>
        <v>1.7000000000000001E-7</v>
      </c>
      <c r="G67" s="117">
        <v>9.9999999999999995E-7</v>
      </c>
      <c r="H67" s="94">
        <f>G$67*H$65</f>
        <v>1.8E-7</v>
      </c>
    </row>
    <row r="68" spans="1:8" x14ac:dyDescent="0.25">
      <c r="A68" s="71" t="s">
        <v>112</v>
      </c>
      <c r="B68" s="65" t="s">
        <v>157</v>
      </c>
      <c r="C68" s="101">
        <f>(((0.1/30)*7)/12)</f>
        <v>1.9444444444444446E-3</v>
      </c>
      <c r="D68" s="94">
        <f>ROUND($C68*D$20,2)</f>
        <v>1.82</v>
      </c>
      <c r="E68" s="101">
        <v>1.9444444444444446E-3</v>
      </c>
      <c r="F68" s="94">
        <f>ROUND(E$68*F$20,2)</f>
        <v>1.97</v>
      </c>
      <c r="G68" s="103">
        <v>1.9444444444444446E-3</v>
      </c>
      <c r="H68" s="96">
        <f>ROUND(G$68*H$20,2)</f>
        <v>2.09</v>
      </c>
    </row>
    <row r="69" spans="1:8" x14ac:dyDescent="0.25">
      <c r="A69" s="71" t="s">
        <v>114</v>
      </c>
      <c r="B69" s="65" t="s">
        <v>158</v>
      </c>
      <c r="C69" s="101">
        <f>C68*C41</f>
        <v>7.1555555555555576E-4</v>
      </c>
      <c r="D69" s="94">
        <f>ROUND(D$68*$C41,2)</f>
        <v>0.67</v>
      </c>
      <c r="E69" s="101">
        <v>7.1555555555555576E-4</v>
      </c>
      <c r="F69" s="94">
        <f>ROUND(F$68*E$41,2)</f>
        <v>0.77</v>
      </c>
      <c r="G69" s="101">
        <v>7.1555555555555576E-4</v>
      </c>
      <c r="H69" s="96">
        <f>ROUND(H$68*G$41,2)</f>
        <v>0.74</v>
      </c>
    </row>
    <row r="70" spans="1:8" x14ac:dyDescent="0.25">
      <c r="A70" s="71" t="s">
        <v>6</v>
      </c>
      <c r="B70" s="65" t="s">
        <v>159</v>
      </c>
      <c r="C70" s="101">
        <v>1E-4</v>
      </c>
      <c r="D70" s="94">
        <f>ROUND(D$68*$C70,2)</f>
        <v>0</v>
      </c>
      <c r="E70" s="101">
        <v>1E-4</v>
      </c>
      <c r="F70" s="94">
        <f>ROUND(F$68*E$70,2)</f>
        <v>0</v>
      </c>
      <c r="G70" s="103">
        <v>1E-4</v>
      </c>
      <c r="H70" s="94">
        <f>ROUND(H$68*G$70,2)</f>
        <v>0</v>
      </c>
    </row>
    <row r="71" spans="1:8" x14ac:dyDescent="0.25">
      <c r="A71" s="71" t="s">
        <v>132</v>
      </c>
      <c r="B71" s="65" t="s">
        <v>160</v>
      </c>
      <c r="C71" s="101">
        <v>3.49E-2</v>
      </c>
      <c r="D71" s="94">
        <f>ROUND($C71*D$20,2)</f>
        <v>32.65</v>
      </c>
      <c r="E71" s="101">
        <v>3.49E-2</v>
      </c>
      <c r="F71" s="94">
        <f>ROUND(E$71*F$20,2)</f>
        <v>35.42</v>
      </c>
      <c r="G71" s="103">
        <v>3.49E-2</v>
      </c>
      <c r="H71" s="96">
        <f>ROUND(G$71*H$20,2)</f>
        <v>37.47</v>
      </c>
    </row>
    <row r="72" spans="1:8" x14ac:dyDescent="0.25">
      <c r="A72" s="66"/>
      <c r="B72" s="66" t="s">
        <v>71</v>
      </c>
      <c r="C72" s="102">
        <f t="shared" ref="C72:H72" si="3">SUM(C65:C71)</f>
        <v>3.7841E-2</v>
      </c>
      <c r="D72" s="95">
        <f t="shared" si="3"/>
        <v>35.310000160000001</v>
      </c>
      <c r="E72" s="102">
        <f t="shared" si="3"/>
        <v>3.7841E-2</v>
      </c>
      <c r="F72" s="95">
        <f t="shared" si="3"/>
        <v>38.340000170000003</v>
      </c>
      <c r="G72" s="102">
        <f t="shared" si="3"/>
        <v>3.7841E-2</v>
      </c>
      <c r="H72" s="97">
        <f t="shared" si="3"/>
        <v>40.490000179999996</v>
      </c>
    </row>
    <row r="73" spans="1:8" ht="28.5" customHeight="1" x14ac:dyDescent="0.25">
      <c r="A73" s="186" t="s">
        <v>161</v>
      </c>
      <c r="B73" s="186"/>
      <c r="C73" s="77"/>
      <c r="D73" s="77"/>
      <c r="E73" s="77"/>
      <c r="F73" s="77"/>
      <c r="G73" s="7"/>
      <c r="H73" s="51"/>
    </row>
    <row r="74" spans="1:8" ht="25.5" customHeight="1" x14ac:dyDescent="0.25">
      <c r="A74" s="186" t="s">
        <v>162</v>
      </c>
      <c r="B74" s="186"/>
      <c r="C74" s="77"/>
      <c r="D74" s="77"/>
      <c r="E74" s="77"/>
      <c r="F74" s="77"/>
      <c r="G74" s="7"/>
      <c r="H74" s="51"/>
    </row>
    <row r="75" spans="1:8" x14ac:dyDescent="0.25">
      <c r="A75" s="211" t="s">
        <v>163</v>
      </c>
      <c r="B75" s="211"/>
      <c r="C75" s="77"/>
      <c r="D75" s="77"/>
      <c r="E75" s="77"/>
      <c r="F75" s="77"/>
      <c r="G75" s="7"/>
      <c r="H75" s="51"/>
    </row>
    <row r="76" spans="1:8" ht="41.25" customHeight="1" x14ac:dyDescent="0.25">
      <c r="A76" s="186" t="s">
        <v>79</v>
      </c>
      <c r="B76" s="186"/>
      <c r="C76" s="77"/>
      <c r="D76" s="77"/>
      <c r="E76" s="77"/>
      <c r="F76" s="77"/>
      <c r="G76" s="7"/>
      <c r="H76" s="51"/>
    </row>
    <row r="77" spans="1:8" x14ac:dyDescent="0.25">
      <c r="A77" s="188" t="s">
        <v>164</v>
      </c>
      <c r="B77" s="188"/>
      <c r="C77" s="77"/>
      <c r="D77" s="77"/>
      <c r="E77" s="77"/>
      <c r="F77" s="77"/>
      <c r="G77" s="7"/>
      <c r="H77" s="51"/>
    </row>
    <row r="78" spans="1:8" x14ac:dyDescent="0.25">
      <c r="A78" s="72" t="s">
        <v>165</v>
      </c>
      <c r="B78" s="72" t="s">
        <v>166</v>
      </c>
      <c r="C78" s="98" t="s">
        <v>219</v>
      </c>
      <c r="D78" s="99" t="s">
        <v>218</v>
      </c>
      <c r="E78" s="98" t="s">
        <v>219</v>
      </c>
      <c r="F78" s="99" t="s">
        <v>218</v>
      </c>
      <c r="G78" s="98" t="s">
        <v>219</v>
      </c>
      <c r="H78" s="99" t="s">
        <v>218</v>
      </c>
    </row>
    <row r="79" spans="1:8" x14ac:dyDescent="0.25">
      <c r="A79" s="71" t="s">
        <v>106</v>
      </c>
      <c r="B79" s="65" t="s">
        <v>167</v>
      </c>
      <c r="C79" s="101">
        <v>7.6E-3</v>
      </c>
      <c r="D79" s="94">
        <f>ROUND($C79*D$20,2)</f>
        <v>7.11</v>
      </c>
      <c r="E79" s="101">
        <v>7.6E-3</v>
      </c>
      <c r="F79" s="94">
        <f>ROUND(E$79*F$20,2)</f>
        <v>7.71</v>
      </c>
      <c r="G79" s="103">
        <v>7.6E-3</v>
      </c>
      <c r="H79" s="96">
        <f>ROUND(G$79*H$20,2)</f>
        <v>8.16</v>
      </c>
    </row>
    <row r="80" spans="1:8" x14ac:dyDescent="0.25">
      <c r="A80" s="71" t="s">
        <v>108</v>
      </c>
      <c r="B80" s="65" t="s">
        <v>168</v>
      </c>
      <c r="C80" s="114">
        <f>((1/30)*0.015)/12</f>
        <v>4.1666666666666665E-5</v>
      </c>
      <c r="D80" s="94">
        <f t="shared" ref="D80:D84" si="4">ROUND($C80*D$20,2)</f>
        <v>0.04</v>
      </c>
      <c r="E80" s="114">
        <f>((1/30)*0.015)/12</f>
        <v>4.1666666666666665E-5</v>
      </c>
      <c r="F80" s="94">
        <f>ROUND(E$80*F$20,2)</f>
        <v>0.04</v>
      </c>
      <c r="G80" s="116">
        <f>((1/30)*0.015)/12</f>
        <v>4.1666666666666665E-5</v>
      </c>
      <c r="H80" s="94">
        <f>ROUND(G$80*H$20,2)</f>
        <v>0.04</v>
      </c>
    </row>
    <row r="81" spans="1:8" x14ac:dyDescent="0.25">
      <c r="A81" s="71" t="s">
        <v>110</v>
      </c>
      <c r="B81" s="65" t="s">
        <v>169</v>
      </c>
      <c r="C81" s="101">
        <f>(((5/30)/12)*0.01)</f>
        <v>1.3888888888888889E-4</v>
      </c>
      <c r="D81" s="94">
        <f t="shared" si="4"/>
        <v>0.13</v>
      </c>
      <c r="E81" s="101">
        <f>(((5/30)/12)*0.01)</f>
        <v>1.3888888888888889E-4</v>
      </c>
      <c r="F81" s="94">
        <f>ROUND(E$81*F$20,2)</f>
        <v>0.14000000000000001</v>
      </c>
      <c r="G81" s="103">
        <f>(((5/30)/12)*0.01)</f>
        <v>1.3888888888888889E-4</v>
      </c>
      <c r="H81" s="96">
        <f>ROUND(G$81*H$20,2)</f>
        <v>0.15</v>
      </c>
    </row>
    <row r="82" spans="1:8" x14ac:dyDescent="0.25">
      <c r="A82" s="71" t="s">
        <v>112</v>
      </c>
      <c r="B82" s="65" t="s">
        <v>170</v>
      </c>
      <c r="C82" s="101">
        <f>(((1/30)/12)*0.03)</f>
        <v>8.3333333333333331E-5</v>
      </c>
      <c r="D82" s="94">
        <f t="shared" si="4"/>
        <v>0.08</v>
      </c>
      <c r="E82" s="101">
        <f>(((1/30)/12)*0.03)</f>
        <v>8.3333333333333331E-5</v>
      </c>
      <c r="F82" s="94">
        <f>ROUND(E$82*F$20,2)</f>
        <v>0.08</v>
      </c>
      <c r="G82" s="103">
        <f>(((1/30)/12)*0.03)</f>
        <v>8.3333333333333331E-5</v>
      </c>
      <c r="H82" s="94">
        <f>ROUND(G$82*H$20,2)</f>
        <v>0.09</v>
      </c>
    </row>
    <row r="83" spans="1:8" x14ac:dyDescent="0.25">
      <c r="A83" s="71" t="s">
        <v>114</v>
      </c>
      <c r="B83" s="65" t="s">
        <v>171</v>
      </c>
      <c r="C83" s="101">
        <f>((((1/12)*4)+((1.33/12)*4))/12)*0.0025</f>
        <v>1.6180555555555555E-4</v>
      </c>
      <c r="D83" s="94">
        <f t="shared" si="4"/>
        <v>0.15</v>
      </c>
      <c r="E83" s="101">
        <f>((((1/12)*4)+((1.33/12)*4))/12)*0.0025</f>
        <v>1.6180555555555555E-4</v>
      </c>
      <c r="F83" s="94">
        <f>ROUND(E$83*F$20,2)</f>
        <v>0.16</v>
      </c>
      <c r="G83" s="103">
        <f>((((1/12)*4)+((1.33/12)*4))/12)*0.0025</f>
        <v>1.6180555555555555E-4</v>
      </c>
      <c r="H83" s="96">
        <f>ROUND(G$83*H$20,2)</f>
        <v>0.17</v>
      </c>
    </row>
    <row r="84" spans="1:8" x14ac:dyDescent="0.25">
      <c r="A84" s="71" t="s">
        <v>6</v>
      </c>
      <c r="B84" s="65" t="s">
        <v>172</v>
      </c>
      <c r="C84" s="114">
        <f>((1/30)*0.015)/12</f>
        <v>4.1666666666666665E-5</v>
      </c>
      <c r="D84" s="94">
        <f t="shared" si="4"/>
        <v>0.04</v>
      </c>
      <c r="E84" s="114">
        <f>((1/30)*0.015)/12</f>
        <v>4.1666666666666665E-5</v>
      </c>
      <c r="F84" s="94">
        <f>ROUND(E$84*F$20,2)</f>
        <v>0.04</v>
      </c>
      <c r="G84" s="116">
        <f>((1/30)*0.015)/12</f>
        <v>4.1666666666666665E-5</v>
      </c>
      <c r="H84" s="94">
        <f>ROUND(G$84*H$20,2)</f>
        <v>0.04</v>
      </c>
    </row>
    <row r="85" spans="1:8" x14ac:dyDescent="0.25">
      <c r="A85" s="188" t="s">
        <v>71</v>
      </c>
      <c r="B85" s="188"/>
      <c r="C85" s="102">
        <f t="shared" ref="C85:H85" si="5">SUM(C79:C84)</f>
        <v>8.067361111111112E-3</v>
      </c>
      <c r="D85" s="95">
        <f t="shared" si="5"/>
        <v>7.5500000000000007</v>
      </c>
      <c r="E85" s="102">
        <f t="shared" si="5"/>
        <v>8.067361111111112E-3</v>
      </c>
      <c r="F85" s="95">
        <f t="shared" si="5"/>
        <v>8.1699999999999982</v>
      </c>
      <c r="G85" s="118">
        <f t="shared" si="5"/>
        <v>8.067361111111112E-3</v>
      </c>
      <c r="H85" s="97">
        <f t="shared" si="5"/>
        <v>8.6499999999999986</v>
      </c>
    </row>
    <row r="86" spans="1:8" ht="30" customHeight="1" x14ac:dyDescent="0.25">
      <c r="A86" s="186" t="s">
        <v>173</v>
      </c>
      <c r="B86" s="186"/>
      <c r="C86" s="77"/>
      <c r="D86" s="77"/>
      <c r="E86" s="77"/>
      <c r="F86" s="77"/>
      <c r="G86" s="7"/>
      <c r="H86" s="51"/>
    </row>
    <row r="87" spans="1:8" x14ac:dyDescent="0.25">
      <c r="A87" s="211" t="s">
        <v>174</v>
      </c>
      <c r="B87" s="211"/>
      <c r="C87" s="77"/>
      <c r="D87" s="77"/>
      <c r="E87" s="77"/>
      <c r="F87" s="77"/>
      <c r="G87" s="7"/>
      <c r="H87" s="51"/>
    </row>
    <row r="88" spans="1:8" x14ac:dyDescent="0.25">
      <c r="A88" s="76">
        <v>4</v>
      </c>
      <c r="B88" s="66" t="s">
        <v>175</v>
      </c>
      <c r="C88" s="73"/>
      <c r="D88" s="99" t="s">
        <v>218</v>
      </c>
      <c r="E88" s="73"/>
      <c r="F88" s="99" t="s">
        <v>218</v>
      </c>
      <c r="G88" s="67"/>
      <c r="H88" s="99" t="s">
        <v>218</v>
      </c>
    </row>
    <row r="89" spans="1:8" x14ac:dyDescent="0.25">
      <c r="A89" s="71" t="s">
        <v>165</v>
      </c>
      <c r="B89" s="65" t="s">
        <v>166</v>
      </c>
      <c r="C89" s="73"/>
      <c r="D89" s="94">
        <f>D85</f>
        <v>7.5500000000000007</v>
      </c>
      <c r="E89" s="73"/>
      <c r="F89" s="94">
        <f>F85</f>
        <v>8.1699999999999982</v>
      </c>
      <c r="G89" s="67"/>
      <c r="H89" s="96">
        <f>H85</f>
        <v>8.6499999999999986</v>
      </c>
    </row>
    <row r="90" spans="1:8" x14ac:dyDescent="0.25">
      <c r="A90" s="188" t="s">
        <v>71</v>
      </c>
      <c r="B90" s="188"/>
      <c r="C90" s="73"/>
      <c r="D90" s="95">
        <f>D89</f>
        <v>7.5500000000000007</v>
      </c>
      <c r="E90" s="73"/>
      <c r="F90" s="95">
        <f>F89</f>
        <v>8.1699999999999982</v>
      </c>
      <c r="G90" s="67"/>
      <c r="H90" s="97">
        <f>H89</f>
        <v>8.6499999999999986</v>
      </c>
    </row>
    <row r="91" spans="1:8" x14ac:dyDescent="0.25">
      <c r="A91" s="211" t="s">
        <v>176</v>
      </c>
      <c r="B91" s="211"/>
      <c r="C91" s="73"/>
      <c r="D91" s="73"/>
      <c r="E91" s="73"/>
      <c r="F91" s="73"/>
      <c r="G91" s="67"/>
      <c r="H91" s="48"/>
    </row>
    <row r="92" spans="1:8" x14ac:dyDescent="0.25">
      <c r="A92" s="74">
        <v>5</v>
      </c>
      <c r="B92" s="72" t="s">
        <v>177</v>
      </c>
      <c r="C92" s="73"/>
      <c r="D92" s="98" t="s">
        <v>218</v>
      </c>
      <c r="E92" s="73"/>
      <c r="F92" s="98" t="s">
        <v>218</v>
      </c>
      <c r="G92" s="67"/>
      <c r="H92" s="98" t="s">
        <v>218</v>
      </c>
    </row>
    <row r="93" spans="1:8" x14ac:dyDescent="0.25">
      <c r="A93" s="71" t="s">
        <v>106</v>
      </c>
      <c r="B93" s="65" t="s">
        <v>178</v>
      </c>
      <c r="C93" s="73"/>
      <c r="D93" s="94">
        <f>Uniformes!D13</f>
        <v>53.916666666666664</v>
      </c>
      <c r="E93" s="73"/>
      <c r="F93" s="94">
        <f>Uniformes!D33</f>
        <v>53.916666666666664</v>
      </c>
      <c r="G93" s="67"/>
      <c r="H93" s="94">
        <f>Uniformes!D33</f>
        <v>53.916666666666664</v>
      </c>
    </row>
    <row r="94" spans="1:8" x14ac:dyDescent="0.25">
      <c r="A94" s="71" t="s">
        <v>108</v>
      </c>
      <c r="B94" s="65" t="s">
        <v>179</v>
      </c>
      <c r="C94" s="73"/>
      <c r="D94" s="94">
        <v>0</v>
      </c>
      <c r="E94" s="73"/>
      <c r="F94" s="94">
        <v>0</v>
      </c>
      <c r="G94" s="67"/>
      <c r="H94" s="94">
        <v>0</v>
      </c>
    </row>
    <row r="95" spans="1:8" x14ac:dyDescent="0.25">
      <c r="A95" s="71" t="s">
        <v>110</v>
      </c>
      <c r="B95" s="65" t="s">
        <v>180</v>
      </c>
      <c r="C95" s="73"/>
      <c r="D95" s="94">
        <v>0</v>
      </c>
      <c r="E95" s="73"/>
      <c r="F95" s="94">
        <v>0</v>
      </c>
      <c r="G95" s="67"/>
      <c r="H95" s="94">
        <v>0</v>
      </c>
    </row>
    <row r="96" spans="1:8" x14ac:dyDescent="0.25">
      <c r="A96" s="71" t="s">
        <v>112</v>
      </c>
      <c r="B96" s="65" t="s">
        <v>115</v>
      </c>
      <c r="C96" s="73"/>
      <c r="D96" s="94">
        <v>0</v>
      </c>
      <c r="E96" s="73"/>
      <c r="F96" s="94">
        <v>0</v>
      </c>
      <c r="G96" s="67"/>
      <c r="H96" s="94">
        <v>0</v>
      </c>
    </row>
    <row r="97" spans="1:8" x14ac:dyDescent="0.25">
      <c r="A97" s="188" t="s">
        <v>71</v>
      </c>
      <c r="B97" s="188"/>
      <c r="C97" s="73"/>
      <c r="D97" s="95">
        <f>D93</f>
        <v>53.916666666666664</v>
      </c>
      <c r="E97" s="73"/>
      <c r="F97" s="95">
        <f>F93</f>
        <v>53.916666666666664</v>
      </c>
      <c r="G97" s="67"/>
      <c r="H97" s="95">
        <f>H93</f>
        <v>53.916666666666664</v>
      </c>
    </row>
    <row r="98" spans="1:8" x14ac:dyDescent="0.25">
      <c r="A98" s="186" t="s">
        <v>181</v>
      </c>
      <c r="B98" s="186"/>
      <c r="C98" s="77"/>
      <c r="D98" s="77"/>
      <c r="E98" s="77"/>
      <c r="F98" s="77"/>
      <c r="G98" s="7"/>
      <c r="H98" s="51"/>
    </row>
    <row r="99" spans="1:8" x14ac:dyDescent="0.25">
      <c r="A99" s="211" t="s">
        <v>39</v>
      </c>
      <c r="B99" s="211"/>
      <c r="C99" s="77"/>
      <c r="D99" s="77"/>
      <c r="E99" s="77"/>
      <c r="F99" s="77"/>
      <c r="G99" s="7"/>
      <c r="H99" s="51"/>
    </row>
    <row r="100" spans="1:8" x14ac:dyDescent="0.25">
      <c r="A100" s="202" t="s">
        <v>43</v>
      </c>
      <c r="B100" s="202"/>
      <c r="C100" s="119" t="s">
        <v>182</v>
      </c>
      <c r="D100" s="119"/>
      <c r="E100" s="119" t="s">
        <v>182</v>
      </c>
      <c r="F100" s="119"/>
      <c r="G100" s="119" t="s">
        <v>36</v>
      </c>
      <c r="H100" s="120"/>
    </row>
    <row r="101" spans="1:8" x14ac:dyDescent="0.25">
      <c r="A101" s="76">
        <v>6</v>
      </c>
      <c r="B101" s="66" t="s">
        <v>183</v>
      </c>
      <c r="C101" s="98" t="s">
        <v>219</v>
      </c>
      <c r="D101" s="99" t="s">
        <v>218</v>
      </c>
      <c r="E101" s="98" t="s">
        <v>219</v>
      </c>
      <c r="F101" s="99" t="s">
        <v>218</v>
      </c>
      <c r="G101" s="98" t="s">
        <v>219</v>
      </c>
      <c r="H101" s="99" t="s">
        <v>218</v>
      </c>
    </row>
    <row r="102" spans="1:8" x14ac:dyDescent="0.25">
      <c r="A102" s="71" t="s">
        <v>106</v>
      </c>
      <c r="B102" s="65" t="s">
        <v>184</v>
      </c>
      <c r="C102" s="101">
        <v>1.01E-2</v>
      </c>
      <c r="D102" s="94">
        <f>ROUND($C102*D$118,2)</f>
        <v>18.98</v>
      </c>
      <c r="E102" s="101">
        <v>1.01E-2</v>
      </c>
      <c r="F102" s="94">
        <f>ROUND(E$102*F$118,2)</f>
        <v>20.82</v>
      </c>
      <c r="G102" s="103">
        <v>1.01E-2</v>
      </c>
      <c r="H102" s="96">
        <f>ROUND(G$102*H$118,2)</f>
        <v>21.51</v>
      </c>
    </row>
    <row r="103" spans="1:8" x14ac:dyDescent="0.25">
      <c r="A103" s="71" t="s">
        <v>108</v>
      </c>
      <c r="B103" s="65" t="s">
        <v>185</v>
      </c>
      <c r="C103" s="101">
        <v>1.0411999999999999E-2</v>
      </c>
      <c r="D103" s="94">
        <f>ROUND($C103*(D$118+D$102),2)</f>
        <v>19.760000000000002</v>
      </c>
      <c r="E103" s="101">
        <v>1.0411999999999999E-2</v>
      </c>
      <c r="F103" s="94">
        <f>ROUND(E$103*(F$118+F$102),2)</f>
        <v>21.68</v>
      </c>
      <c r="G103" s="103">
        <v>1.0411999999999999E-2</v>
      </c>
      <c r="H103" s="96">
        <f>ROUND(G$103*(H$118+H$102),2)</f>
        <v>22.4</v>
      </c>
    </row>
    <row r="104" spans="1:8" x14ac:dyDescent="0.25">
      <c r="A104" s="71" t="s">
        <v>110</v>
      </c>
      <c r="B104" s="65" t="s">
        <v>186</v>
      </c>
      <c r="C104" s="121">
        <f>SUM($C105:$C108)</f>
        <v>8.6499999999999994E-2</v>
      </c>
      <c r="D104" s="94">
        <f>SUM(D105:D107)</f>
        <v>181.6</v>
      </c>
      <c r="E104" s="121">
        <f>SUM($C105:$C108)</f>
        <v>8.6499999999999994E-2</v>
      </c>
      <c r="F104" s="94">
        <f>SUM(F105:F107)</f>
        <v>199.24</v>
      </c>
      <c r="G104" s="123">
        <f>SUM($C105:$C108)</f>
        <v>8.6499999999999994E-2</v>
      </c>
      <c r="H104" s="96">
        <f>SUM(H105:H107)</f>
        <v>205.78000000000003</v>
      </c>
    </row>
    <row r="105" spans="1:8" x14ac:dyDescent="0.25">
      <c r="A105" s="71" t="s">
        <v>187</v>
      </c>
      <c r="B105" s="65" t="s">
        <v>188</v>
      </c>
      <c r="C105" s="121">
        <v>6.4999999999999997E-3</v>
      </c>
      <c r="D105" s="94">
        <f>ROUND($C105*((D$118+D$102+D$103))/$C110,2)</f>
        <v>13.65</v>
      </c>
      <c r="E105" s="121">
        <v>6.4999999999999997E-3</v>
      </c>
      <c r="F105" s="94">
        <f>ROUND(E$105*((F$118+F$102+F$103))/E$110,2)</f>
        <v>14.97</v>
      </c>
      <c r="G105" s="123">
        <v>6.4999999999999997E-3</v>
      </c>
      <c r="H105" s="96">
        <f>ROUND(G$105*((H$118+H$102+H$103))/G$110,2)</f>
        <v>15.46</v>
      </c>
    </row>
    <row r="106" spans="1:8" x14ac:dyDescent="0.25">
      <c r="A106" s="71" t="s">
        <v>189</v>
      </c>
      <c r="B106" s="65" t="s">
        <v>190</v>
      </c>
      <c r="C106" s="121">
        <v>0.03</v>
      </c>
      <c r="D106" s="94">
        <f>ROUND($C106*((D$118+D$102+D$103))/$C110,2)</f>
        <v>62.98</v>
      </c>
      <c r="E106" s="121">
        <v>0.03</v>
      </c>
      <c r="F106" s="94">
        <f>ROUND(E$106*((F$118+F$102+F$103))/E$110,2)</f>
        <v>69.099999999999994</v>
      </c>
      <c r="G106" s="123">
        <v>0.03</v>
      </c>
      <c r="H106" s="96">
        <f>ROUND(G$106*((H$118+H$102+H$103))/G$110,2)</f>
        <v>71.37</v>
      </c>
    </row>
    <row r="107" spans="1:8" x14ac:dyDescent="0.25">
      <c r="A107" s="71" t="s">
        <v>191</v>
      </c>
      <c r="B107" s="65" t="s">
        <v>192</v>
      </c>
      <c r="C107" s="121">
        <v>0.05</v>
      </c>
      <c r="D107" s="94">
        <f>ROUND($C107*((D$118+D$102+D$103))/$C110,2)</f>
        <v>104.97</v>
      </c>
      <c r="E107" s="121">
        <v>0.05</v>
      </c>
      <c r="F107" s="94">
        <f>ROUND(E$107*((F$118+F$102+F$103))/E$110,2)</f>
        <v>115.17</v>
      </c>
      <c r="G107" s="123">
        <v>0.05</v>
      </c>
      <c r="H107" s="96">
        <f>ROUND(G$107*((H$118+H$102+H$103))/G$110,2)</f>
        <v>118.95</v>
      </c>
    </row>
    <row r="108" spans="1:8" x14ac:dyDescent="0.25">
      <c r="A108" s="71" t="s">
        <v>112</v>
      </c>
      <c r="B108" s="65" t="s">
        <v>193</v>
      </c>
      <c r="C108" s="121">
        <v>0</v>
      </c>
      <c r="D108" s="94">
        <f>ROUND($C108*((D$118+D$103+D$104))/$C110,2)</f>
        <v>0</v>
      </c>
      <c r="E108" s="121">
        <v>0</v>
      </c>
      <c r="F108" s="94">
        <f>ROUND(E$108*((F$118+F$103+F$104))/E$110,2)</f>
        <v>0</v>
      </c>
      <c r="G108" s="123">
        <v>0</v>
      </c>
      <c r="H108" s="96">
        <f>ROUND(G$108*((H$118+H$103+H$104))/G$110,2)</f>
        <v>0</v>
      </c>
    </row>
    <row r="109" spans="1:8" x14ac:dyDescent="0.25">
      <c r="A109" s="188" t="s">
        <v>71</v>
      </c>
      <c r="B109" s="188"/>
      <c r="C109" s="151">
        <f>SUM($C103:$C105)</f>
        <v>0.103412</v>
      </c>
      <c r="D109" s="153">
        <f>SUM(D102:D104)</f>
        <v>220.34</v>
      </c>
      <c r="E109" s="151">
        <f>SUM($C103:$C105)</f>
        <v>0.103412</v>
      </c>
      <c r="F109" s="153">
        <f>SUM(F102:F104)</f>
        <v>241.74</v>
      </c>
      <c r="G109" s="152">
        <f>SUM($C103:$C105)</f>
        <v>0.103412</v>
      </c>
      <c r="H109" s="154">
        <f>SUM(H102:H104)</f>
        <v>249.69000000000003</v>
      </c>
    </row>
    <row r="110" spans="1:8" x14ac:dyDescent="0.25">
      <c r="A110" s="65"/>
      <c r="B110" s="83"/>
      <c r="C110" s="122">
        <f>ABS(SUM($C105:$C108)/100%-1)</f>
        <v>0.91349999999999998</v>
      </c>
      <c r="D110" s="73"/>
      <c r="E110" s="122">
        <f>ABS(SUM(E$105:E$108)/100%-1)</f>
        <v>0.91349999999999998</v>
      </c>
      <c r="F110" s="73"/>
      <c r="G110" s="122">
        <f>ABS(SUM(G$105:G$108)/100%-1)</f>
        <v>0.91349999999999998</v>
      </c>
      <c r="H110" s="48"/>
    </row>
    <row r="111" spans="1:8" x14ac:dyDescent="0.25">
      <c r="A111" s="211" t="s">
        <v>194</v>
      </c>
      <c r="B111" s="211"/>
      <c r="C111" s="77"/>
      <c r="D111" s="77"/>
      <c r="E111" s="77"/>
      <c r="F111" s="77"/>
      <c r="G111" s="7"/>
      <c r="H111" s="51"/>
    </row>
    <row r="112" spans="1:8" x14ac:dyDescent="0.25">
      <c r="A112" s="208" t="s">
        <v>195</v>
      </c>
      <c r="B112" s="208"/>
      <c r="C112" s="98" t="s">
        <v>219</v>
      </c>
      <c r="D112" s="99" t="s">
        <v>218</v>
      </c>
      <c r="E112" s="98" t="s">
        <v>219</v>
      </c>
      <c r="F112" s="99" t="s">
        <v>218</v>
      </c>
      <c r="G112" s="98" t="s">
        <v>219</v>
      </c>
      <c r="H112" s="99" t="s">
        <v>218</v>
      </c>
    </row>
    <row r="113" spans="1:8" x14ac:dyDescent="0.25">
      <c r="A113" s="71" t="s">
        <v>106</v>
      </c>
      <c r="B113" s="65" t="s">
        <v>103</v>
      </c>
      <c r="C113" s="73" t="s">
        <v>35</v>
      </c>
      <c r="D113" s="94">
        <f>D$20</f>
        <v>935.49</v>
      </c>
      <c r="E113" s="73" t="s">
        <v>35</v>
      </c>
      <c r="F113" s="94">
        <f>F$20</f>
        <v>1015.01</v>
      </c>
      <c r="G113" s="67" t="s">
        <v>35</v>
      </c>
      <c r="H113" s="96">
        <f>H$20</f>
        <v>1073.77</v>
      </c>
    </row>
    <row r="114" spans="1:8" x14ac:dyDescent="0.25">
      <c r="A114" s="71" t="s">
        <v>108</v>
      </c>
      <c r="B114" s="65" t="s">
        <v>117</v>
      </c>
      <c r="C114" s="73" t="s">
        <v>35</v>
      </c>
      <c r="D114" s="94">
        <f>D$62</f>
        <v>846.74999999999989</v>
      </c>
      <c r="E114" s="73" t="s">
        <v>35</v>
      </c>
      <c r="F114" s="94">
        <f>F$62</f>
        <v>946.31</v>
      </c>
      <c r="G114" s="67" t="s">
        <v>35</v>
      </c>
      <c r="H114" s="96">
        <f>H$62</f>
        <v>952.57</v>
      </c>
    </row>
    <row r="115" spans="1:8" x14ac:dyDescent="0.25">
      <c r="A115" s="71" t="s">
        <v>110</v>
      </c>
      <c r="B115" s="65" t="s">
        <v>152</v>
      </c>
      <c r="C115" s="73" t="s">
        <v>35</v>
      </c>
      <c r="D115" s="94">
        <f>D$72</f>
        <v>35.310000160000001</v>
      </c>
      <c r="E115" s="73" t="s">
        <v>35</v>
      </c>
      <c r="F115" s="94">
        <f>F$72</f>
        <v>38.340000170000003</v>
      </c>
      <c r="G115" s="67" t="s">
        <v>35</v>
      </c>
      <c r="H115" s="96">
        <f>H$72</f>
        <v>40.490000179999996</v>
      </c>
    </row>
    <row r="116" spans="1:8" x14ac:dyDescent="0.25">
      <c r="A116" s="71" t="s">
        <v>112</v>
      </c>
      <c r="B116" s="65" t="s">
        <v>163</v>
      </c>
      <c r="C116" s="73" t="s">
        <v>35</v>
      </c>
      <c r="D116" s="94">
        <f>D$90</f>
        <v>7.5500000000000007</v>
      </c>
      <c r="E116" s="73" t="s">
        <v>35</v>
      </c>
      <c r="F116" s="94">
        <f>F$90</f>
        <v>8.1699999999999982</v>
      </c>
      <c r="G116" s="67" t="s">
        <v>35</v>
      </c>
      <c r="H116" s="96">
        <f>H$90</f>
        <v>8.6499999999999986</v>
      </c>
    </row>
    <row r="117" spans="1:8" x14ac:dyDescent="0.25">
      <c r="A117" s="71" t="s">
        <v>114</v>
      </c>
      <c r="B117" s="65" t="s">
        <v>176</v>
      </c>
      <c r="C117" s="73" t="s">
        <v>35</v>
      </c>
      <c r="D117" s="94">
        <f>D$97</f>
        <v>53.916666666666664</v>
      </c>
      <c r="E117" s="73" t="s">
        <v>35</v>
      </c>
      <c r="F117" s="94">
        <f>F$97</f>
        <v>53.916666666666664</v>
      </c>
      <c r="G117" s="67" t="s">
        <v>35</v>
      </c>
      <c r="H117" s="94">
        <f>H$97</f>
        <v>53.916666666666664</v>
      </c>
    </row>
    <row r="118" spans="1:8" x14ac:dyDescent="0.25">
      <c r="A118" s="188" t="s">
        <v>196</v>
      </c>
      <c r="B118" s="188"/>
      <c r="C118" s="73"/>
      <c r="D118" s="95">
        <f>SUM(D$113:D$117)</f>
        <v>1879.0166668266666</v>
      </c>
      <c r="E118" s="73"/>
      <c r="F118" s="95">
        <f>SUM(F$113:F$117)</f>
        <v>2061.7466668366665</v>
      </c>
      <c r="G118" s="67"/>
      <c r="H118" s="97">
        <f>SUM(H$113:H$117)</f>
        <v>2129.3966668466669</v>
      </c>
    </row>
    <row r="119" spans="1:8" x14ac:dyDescent="0.25">
      <c r="A119" s="71" t="s">
        <v>6</v>
      </c>
      <c r="B119" s="65" t="s">
        <v>197</v>
      </c>
      <c r="C119" s="73" t="s">
        <v>35</v>
      </c>
      <c r="D119" s="94">
        <f>D$109</f>
        <v>220.34</v>
      </c>
      <c r="E119" s="73" t="s">
        <v>35</v>
      </c>
      <c r="F119" s="94">
        <f>F$109</f>
        <v>241.74</v>
      </c>
      <c r="G119" s="67" t="s">
        <v>35</v>
      </c>
      <c r="H119" s="96">
        <f>H$109</f>
        <v>249.69000000000003</v>
      </c>
    </row>
    <row r="120" spans="1:8" x14ac:dyDescent="0.25">
      <c r="A120" s="202" t="s">
        <v>7</v>
      </c>
      <c r="B120" s="202"/>
      <c r="C120" s="73"/>
      <c r="D120" s="111">
        <f>SUM(D$118:D$119)</f>
        <v>2099.3566668266667</v>
      </c>
      <c r="E120" s="73"/>
      <c r="F120" s="111">
        <f>SUM(F$118:F$119)</f>
        <v>2303.4866668366667</v>
      </c>
      <c r="G120" s="67"/>
      <c r="H120" s="113">
        <f>SUM(H$118:H$119)</f>
        <v>2379.086666846667</v>
      </c>
    </row>
    <row r="121" spans="1:8" s="6" customFormat="1" x14ac:dyDescent="0.25">
      <c r="A121" s="197" t="s">
        <v>9</v>
      </c>
      <c r="B121" s="197"/>
      <c r="C121" s="81"/>
      <c r="D121" s="81"/>
      <c r="E121" s="81"/>
      <c r="F121" s="81"/>
      <c r="H121" s="47"/>
    </row>
    <row r="122" spans="1:8" s="6" customFormat="1" ht="25.5" customHeight="1" x14ac:dyDescent="0.25">
      <c r="A122" s="197" t="s">
        <v>212</v>
      </c>
      <c r="B122" s="197"/>
      <c r="C122" s="81"/>
      <c r="D122" s="81"/>
      <c r="E122" s="81"/>
      <c r="F122" s="81"/>
      <c r="H122" s="47"/>
    </row>
    <row r="123" spans="1:8" s="6" customFormat="1" ht="177" customHeight="1" x14ac:dyDescent="0.25">
      <c r="A123" s="197" t="s">
        <v>10</v>
      </c>
      <c r="B123" s="197"/>
      <c r="C123" s="81"/>
      <c r="D123" s="81"/>
      <c r="E123" s="81"/>
      <c r="F123" s="81"/>
      <c r="H123" s="47"/>
    </row>
  </sheetData>
  <mergeCells count="51">
    <mergeCell ref="A73:B73"/>
    <mergeCell ref="A74:B74"/>
    <mergeCell ref="A31:B31"/>
    <mergeCell ref="A3:D3"/>
    <mergeCell ref="A4:B4"/>
    <mergeCell ref="A11:B11"/>
    <mergeCell ref="A20:B20"/>
    <mergeCell ref="A21:B21"/>
    <mergeCell ref="A22:B22"/>
    <mergeCell ref="A23:B23"/>
    <mergeCell ref="A27:B27"/>
    <mergeCell ref="A28:B28"/>
    <mergeCell ref="A29:B29"/>
    <mergeCell ref="A30:B30"/>
    <mergeCell ref="A54:B54"/>
    <mergeCell ref="A55:B55"/>
    <mergeCell ref="A56:B56"/>
    <mergeCell ref="A57:B57"/>
    <mergeCell ref="A63:B63"/>
    <mergeCell ref="G1:H3"/>
    <mergeCell ref="A123:B123"/>
    <mergeCell ref="A118:B118"/>
    <mergeCell ref="A120:B120"/>
    <mergeCell ref="A1:D1"/>
    <mergeCell ref="A2:D2"/>
    <mergeCell ref="A121:B121"/>
    <mergeCell ref="A122:B122"/>
    <mergeCell ref="A98:B98"/>
    <mergeCell ref="A99:B99"/>
    <mergeCell ref="A100:B100"/>
    <mergeCell ref="A109:B109"/>
    <mergeCell ref="A111:B111"/>
    <mergeCell ref="A75:B75"/>
    <mergeCell ref="A76:B76"/>
    <mergeCell ref="A86:B86"/>
    <mergeCell ref="A112:B112"/>
    <mergeCell ref="A85:B85"/>
    <mergeCell ref="A91:B91"/>
    <mergeCell ref="A97:B97"/>
    <mergeCell ref="E1:F3"/>
    <mergeCell ref="A87:B87"/>
    <mergeCell ref="A90:B90"/>
    <mergeCell ref="A77:B77"/>
    <mergeCell ref="A62:B62"/>
    <mergeCell ref="A41:B41"/>
    <mergeCell ref="A42:B42"/>
    <mergeCell ref="A43:B43"/>
    <mergeCell ref="A44:B44"/>
    <mergeCell ref="A45:B45"/>
    <mergeCell ref="A46:B46"/>
    <mergeCell ref="A47:B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4A34-4EEC-4F36-A1C4-19C2FA8EA7E7}">
  <dimension ref="A1:D33"/>
  <sheetViews>
    <sheetView workbookViewId="0">
      <selection activeCell="D33" sqref="D33"/>
    </sheetView>
  </sheetViews>
  <sheetFormatPr defaultRowHeight="15" x14ac:dyDescent="0.25"/>
  <cols>
    <col min="1" max="1" width="109" style="6" bestFit="1" customWidth="1"/>
    <col min="2" max="2" width="17.7109375" style="6" bestFit="1" customWidth="1"/>
    <col min="3" max="3" width="13.7109375" style="6" bestFit="1" customWidth="1"/>
    <col min="4" max="4" width="11.7109375" style="6" customWidth="1"/>
    <col min="5" max="5" width="9.140625" style="6"/>
    <col min="6" max="7" width="9.140625" style="6" customWidth="1"/>
    <col min="8" max="16384" width="9.140625" style="6"/>
  </cols>
  <sheetData>
    <row r="1" spans="1:4" x14ac:dyDescent="0.25">
      <c r="A1" s="213" t="s">
        <v>11</v>
      </c>
      <c r="B1" s="214"/>
      <c r="C1" s="214"/>
      <c r="D1" s="215"/>
    </row>
    <row r="2" spans="1:4" x14ac:dyDescent="0.25">
      <c r="A2" s="216" t="s">
        <v>12</v>
      </c>
      <c r="B2" s="216"/>
      <c r="C2" s="216"/>
      <c r="D2" s="216"/>
    </row>
    <row r="3" spans="1:4" x14ac:dyDescent="0.25">
      <c r="A3" s="17" t="s">
        <v>13</v>
      </c>
      <c r="B3" s="18" t="s">
        <v>40</v>
      </c>
      <c r="C3" s="18" t="s">
        <v>42</v>
      </c>
      <c r="D3" s="18" t="s">
        <v>41</v>
      </c>
    </row>
    <row r="4" spans="1:4" x14ac:dyDescent="0.25">
      <c r="A4" s="10" t="s">
        <v>14</v>
      </c>
      <c r="B4" s="19">
        <v>2</v>
      </c>
      <c r="C4" s="20">
        <v>50</v>
      </c>
      <c r="D4" s="21">
        <f>B4*C4</f>
        <v>100</v>
      </c>
    </row>
    <row r="5" spans="1:4" x14ac:dyDescent="0.25">
      <c r="A5" s="10" t="s">
        <v>15</v>
      </c>
      <c r="B5" s="19">
        <v>2</v>
      </c>
      <c r="C5" s="20">
        <v>50</v>
      </c>
      <c r="D5" s="21">
        <f t="shared" ref="D5:D11" si="0">B5*C5</f>
        <v>100</v>
      </c>
    </row>
    <row r="6" spans="1:4" x14ac:dyDescent="0.25">
      <c r="A6" s="10" t="s">
        <v>83</v>
      </c>
      <c r="B6" s="19">
        <v>1</v>
      </c>
      <c r="C6" s="20">
        <v>70</v>
      </c>
      <c r="D6" s="21">
        <f t="shared" si="0"/>
        <v>70</v>
      </c>
    </row>
    <row r="7" spans="1:4" x14ac:dyDescent="0.25">
      <c r="A7" s="10" t="s">
        <v>16</v>
      </c>
      <c r="B7" s="19">
        <v>2</v>
      </c>
      <c r="C7" s="20">
        <v>10</v>
      </c>
      <c r="D7" s="21">
        <f t="shared" si="0"/>
        <v>20</v>
      </c>
    </row>
    <row r="8" spans="1:4" x14ac:dyDescent="0.25">
      <c r="A8" s="10" t="s">
        <v>17</v>
      </c>
      <c r="B8" s="19">
        <v>5</v>
      </c>
      <c r="C8" s="20">
        <v>25</v>
      </c>
      <c r="D8" s="21">
        <f t="shared" si="0"/>
        <v>125</v>
      </c>
    </row>
    <row r="9" spans="1:4" x14ac:dyDescent="0.25">
      <c r="A9" s="10" t="s">
        <v>18</v>
      </c>
      <c r="B9" s="19">
        <v>1</v>
      </c>
      <c r="C9" s="20">
        <v>200</v>
      </c>
      <c r="D9" s="21">
        <f t="shared" si="0"/>
        <v>200</v>
      </c>
    </row>
    <row r="10" spans="1:4" x14ac:dyDescent="0.25">
      <c r="A10" s="10" t="s">
        <v>19</v>
      </c>
      <c r="B10" s="19">
        <v>4</v>
      </c>
      <c r="C10" s="20">
        <v>5</v>
      </c>
      <c r="D10" s="21">
        <f t="shared" si="0"/>
        <v>20</v>
      </c>
    </row>
    <row r="11" spans="1:4" x14ac:dyDescent="0.25">
      <c r="A11" s="10" t="s">
        <v>20</v>
      </c>
      <c r="B11" s="19">
        <v>1</v>
      </c>
      <c r="C11" s="20">
        <v>12</v>
      </c>
      <c r="D11" s="21">
        <f t="shared" si="0"/>
        <v>12</v>
      </c>
    </row>
    <row r="12" spans="1:4" x14ac:dyDescent="0.25">
      <c r="A12" s="8" t="s">
        <v>21</v>
      </c>
      <c r="B12" s="22"/>
      <c r="C12" s="22"/>
      <c r="D12" s="23">
        <f>SUM(D4:H11)</f>
        <v>647</v>
      </c>
    </row>
    <row r="13" spans="1:4" x14ac:dyDescent="0.25">
      <c r="A13" s="8" t="s">
        <v>22</v>
      </c>
      <c r="B13" s="22"/>
      <c r="C13" s="22"/>
      <c r="D13" s="23">
        <f>D12/12</f>
        <v>53.916666666666664</v>
      </c>
    </row>
    <row r="14" spans="1:4" ht="31.5" x14ac:dyDescent="0.25">
      <c r="A14" s="7" t="s">
        <v>23</v>
      </c>
    </row>
    <row r="15" spans="1:4" x14ac:dyDescent="0.25">
      <c r="A15" s="5" t="s">
        <v>24</v>
      </c>
    </row>
    <row r="16" spans="1:4" x14ac:dyDescent="0.25">
      <c r="A16" s="3" t="s">
        <v>25</v>
      </c>
    </row>
    <row r="17" spans="1:4" x14ac:dyDescent="0.25">
      <c r="A17" s="3" t="s">
        <v>26</v>
      </c>
    </row>
    <row r="18" spans="1:4" x14ac:dyDescent="0.25">
      <c r="A18" s="5" t="s">
        <v>27</v>
      </c>
    </row>
    <row r="22" spans="1:4" x14ac:dyDescent="0.25">
      <c r="A22" s="216" t="s">
        <v>12</v>
      </c>
      <c r="B22" s="216"/>
      <c r="C22" s="216"/>
      <c r="D22" s="216"/>
    </row>
    <row r="23" spans="1:4" x14ac:dyDescent="0.25">
      <c r="A23" s="17" t="s">
        <v>13</v>
      </c>
      <c r="B23" s="18" t="s">
        <v>40</v>
      </c>
      <c r="C23" s="18" t="s">
        <v>42</v>
      </c>
      <c r="D23" s="18" t="s">
        <v>41</v>
      </c>
    </row>
    <row r="24" spans="1:4" x14ac:dyDescent="0.25">
      <c r="A24" s="44" t="s">
        <v>14</v>
      </c>
      <c r="B24" s="19">
        <v>2</v>
      </c>
      <c r="C24" s="20">
        <v>50</v>
      </c>
      <c r="D24" s="21">
        <f>B24*C24</f>
        <v>100</v>
      </c>
    </row>
    <row r="25" spans="1:4" x14ac:dyDescent="0.25">
      <c r="A25" s="44" t="s">
        <v>15</v>
      </c>
      <c r="B25" s="19">
        <v>2</v>
      </c>
      <c r="C25" s="20">
        <v>50</v>
      </c>
      <c r="D25" s="21">
        <f t="shared" ref="D25:D31" si="1">B25*C25</f>
        <v>100</v>
      </c>
    </row>
    <row r="26" spans="1:4" x14ac:dyDescent="0.25">
      <c r="A26" s="44" t="s">
        <v>83</v>
      </c>
      <c r="B26" s="19">
        <v>1</v>
      </c>
      <c r="C26" s="20">
        <v>70</v>
      </c>
      <c r="D26" s="21">
        <f t="shared" si="1"/>
        <v>70</v>
      </c>
    </row>
    <row r="27" spans="1:4" x14ac:dyDescent="0.25">
      <c r="A27" s="44" t="s">
        <v>16</v>
      </c>
      <c r="B27" s="19">
        <v>2</v>
      </c>
      <c r="C27" s="20">
        <v>10</v>
      </c>
      <c r="D27" s="21">
        <f t="shared" si="1"/>
        <v>20</v>
      </c>
    </row>
    <row r="28" spans="1:4" x14ac:dyDescent="0.25">
      <c r="A28" s="44" t="s">
        <v>17</v>
      </c>
      <c r="B28" s="19">
        <v>5</v>
      </c>
      <c r="C28" s="20">
        <v>25</v>
      </c>
      <c r="D28" s="21">
        <f t="shared" si="1"/>
        <v>125</v>
      </c>
    </row>
    <row r="29" spans="1:4" x14ac:dyDescent="0.25">
      <c r="A29" s="44" t="s">
        <v>18</v>
      </c>
      <c r="B29" s="19">
        <v>1</v>
      </c>
      <c r="C29" s="20">
        <v>200</v>
      </c>
      <c r="D29" s="21">
        <f t="shared" si="1"/>
        <v>200</v>
      </c>
    </row>
    <row r="30" spans="1:4" x14ac:dyDescent="0.25">
      <c r="A30" s="44" t="s">
        <v>19</v>
      </c>
      <c r="B30" s="19">
        <v>4</v>
      </c>
      <c r="C30" s="20">
        <v>5</v>
      </c>
      <c r="D30" s="21">
        <f t="shared" si="1"/>
        <v>20</v>
      </c>
    </row>
    <row r="31" spans="1:4" x14ac:dyDescent="0.25">
      <c r="A31" s="44" t="s">
        <v>20</v>
      </c>
      <c r="B31" s="19">
        <v>1</v>
      </c>
      <c r="C31" s="20">
        <v>12</v>
      </c>
      <c r="D31" s="21">
        <f t="shared" si="1"/>
        <v>12</v>
      </c>
    </row>
    <row r="32" spans="1:4" x14ac:dyDescent="0.25">
      <c r="A32" s="45" t="s">
        <v>21</v>
      </c>
      <c r="B32" s="22"/>
      <c r="C32" s="22"/>
      <c r="D32" s="23">
        <f>SUM(D24:H31)</f>
        <v>647</v>
      </c>
    </row>
    <row r="33" spans="1:4" x14ac:dyDescent="0.25">
      <c r="A33" s="45" t="s">
        <v>22</v>
      </c>
      <c r="B33" s="22"/>
      <c r="C33" s="22"/>
      <c r="D33" s="23">
        <f>D32/12</f>
        <v>53.916666666666664</v>
      </c>
    </row>
  </sheetData>
  <mergeCells count="3">
    <mergeCell ref="A1:D1"/>
    <mergeCell ref="A2:D2"/>
    <mergeCell ref="A22:D2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1BC2A-955B-4EE4-ACF6-4952FE427999}">
  <dimension ref="A1:B38"/>
  <sheetViews>
    <sheetView topLeftCell="A16" workbookViewId="0">
      <selection activeCell="C8" sqref="C8"/>
    </sheetView>
  </sheetViews>
  <sheetFormatPr defaultColWidth="64.140625" defaultRowHeight="15" x14ac:dyDescent="0.25"/>
  <cols>
    <col min="1" max="1" width="64" style="4" bestFit="1" customWidth="1"/>
    <col min="2" max="2" width="8" style="4" bestFit="1" customWidth="1"/>
    <col min="3" max="16384" width="64.140625" style="4"/>
  </cols>
  <sheetData>
    <row r="1" spans="1:2" x14ac:dyDescent="0.25">
      <c r="A1" s="218" t="s">
        <v>46</v>
      </c>
      <c r="B1" s="218"/>
    </row>
    <row r="2" spans="1:2" ht="39.950000000000003" customHeight="1" x14ac:dyDescent="0.25">
      <c r="A2" s="219" t="s">
        <v>47</v>
      </c>
      <c r="B2" s="219"/>
    </row>
    <row r="3" spans="1:2" x14ac:dyDescent="0.25">
      <c r="A3" s="30"/>
      <c r="B3" s="30"/>
    </row>
    <row r="4" spans="1:2" x14ac:dyDescent="0.25">
      <c r="A4" s="218" t="s">
        <v>48</v>
      </c>
      <c r="B4" s="218"/>
    </row>
    <row r="5" spans="1:2" ht="39.950000000000003" customHeight="1" x14ac:dyDescent="0.25">
      <c r="A5" s="217" t="s">
        <v>49</v>
      </c>
      <c r="B5" s="217"/>
    </row>
    <row r="6" spans="1:2" x14ac:dyDescent="0.25">
      <c r="A6" s="30"/>
      <c r="B6" s="30"/>
    </row>
    <row r="7" spans="1:2" x14ac:dyDescent="0.25">
      <c r="A7" s="218" t="s">
        <v>50</v>
      </c>
      <c r="B7" s="218"/>
    </row>
    <row r="8" spans="1:2" ht="80.099999999999994" customHeight="1" x14ac:dyDescent="0.25">
      <c r="A8" s="217" t="s">
        <v>51</v>
      </c>
      <c r="B8" s="217"/>
    </row>
    <row r="9" spans="1:2" x14ac:dyDescent="0.25">
      <c r="A9" s="30"/>
      <c r="B9" s="30"/>
    </row>
    <row r="10" spans="1:2" x14ac:dyDescent="0.25">
      <c r="A10" s="218" t="s">
        <v>52</v>
      </c>
      <c r="B10" s="218"/>
    </row>
    <row r="11" spans="1:2" ht="39.950000000000003" customHeight="1" x14ac:dyDescent="0.25">
      <c r="A11" s="217" t="s">
        <v>53</v>
      </c>
      <c r="B11" s="217"/>
    </row>
    <row r="12" spans="1:2" x14ac:dyDescent="0.25">
      <c r="A12" s="30"/>
      <c r="B12" s="30"/>
    </row>
    <row r="13" spans="1:2" x14ac:dyDescent="0.25">
      <c r="A13" s="218" t="s">
        <v>54</v>
      </c>
      <c r="B13" s="218"/>
    </row>
    <row r="14" spans="1:2" ht="80.099999999999994" customHeight="1" x14ac:dyDescent="0.25">
      <c r="A14" s="217" t="s">
        <v>55</v>
      </c>
      <c r="B14" s="217"/>
    </row>
    <row r="15" spans="1:2" x14ac:dyDescent="0.25">
      <c r="A15" s="30"/>
      <c r="B15" s="30"/>
    </row>
    <row r="16" spans="1:2" x14ac:dyDescent="0.25">
      <c r="A16" s="218" t="s">
        <v>56</v>
      </c>
      <c r="B16" s="218"/>
    </row>
    <row r="17" spans="1:2" ht="36" x14ac:dyDescent="0.25">
      <c r="A17" s="31" t="s">
        <v>57</v>
      </c>
      <c r="B17" s="32">
        <f>((0.002*(1/12)))</f>
        <v>1.6666666666666666E-4</v>
      </c>
    </row>
    <row r="18" spans="1:2" x14ac:dyDescent="0.25">
      <c r="A18" s="30"/>
      <c r="B18" s="30"/>
    </row>
    <row r="19" spans="1:2" x14ac:dyDescent="0.25">
      <c r="A19" s="218" t="s">
        <v>58</v>
      </c>
      <c r="B19" s="218"/>
    </row>
    <row r="20" spans="1:2" ht="60" x14ac:dyDescent="0.25">
      <c r="A20" s="31" t="s">
        <v>59</v>
      </c>
      <c r="B20" s="32">
        <f>(7/30/12)*0.1</f>
        <v>1.9444444444444446E-3</v>
      </c>
    </row>
    <row r="21" spans="1:2" x14ac:dyDescent="0.25">
      <c r="A21" s="30"/>
      <c r="B21" s="30"/>
    </row>
    <row r="22" spans="1:2" x14ac:dyDescent="0.25">
      <c r="A22" s="218" t="s">
        <v>60</v>
      </c>
      <c r="B22" s="218"/>
    </row>
    <row r="23" spans="1:2" x14ac:dyDescent="0.25">
      <c r="A23" s="31" t="s">
        <v>61</v>
      </c>
      <c r="B23" s="33">
        <v>9.9999999999999995E-7</v>
      </c>
    </row>
    <row r="24" spans="1:2" x14ac:dyDescent="0.25">
      <c r="A24" s="30"/>
      <c r="B24" s="34"/>
    </row>
    <row r="25" spans="1:2" x14ac:dyDescent="0.25">
      <c r="A25" s="220" t="s">
        <v>62</v>
      </c>
      <c r="B25" s="221"/>
    </row>
    <row r="26" spans="1:2" x14ac:dyDescent="0.25">
      <c r="A26" s="31" t="s">
        <v>61</v>
      </c>
      <c r="B26" s="35">
        <v>1E-4</v>
      </c>
    </row>
    <row r="27" spans="1:2" x14ac:dyDescent="0.25">
      <c r="A27" s="30"/>
      <c r="B27" s="34"/>
    </row>
    <row r="28" spans="1:2" x14ac:dyDescent="0.25">
      <c r="A28" s="220" t="s">
        <v>63</v>
      </c>
      <c r="B28" s="221"/>
    </row>
    <row r="29" spans="1:2" x14ac:dyDescent="0.25">
      <c r="A29" s="31" t="s">
        <v>64</v>
      </c>
      <c r="B29" s="35">
        <v>3.49E-2</v>
      </c>
    </row>
    <row r="30" spans="1:2" x14ac:dyDescent="0.25">
      <c r="A30" s="30"/>
      <c r="B30" s="30"/>
    </row>
    <row r="31" spans="1:2" x14ac:dyDescent="0.25">
      <c r="A31" s="218" t="s">
        <v>65</v>
      </c>
      <c r="B31" s="218"/>
    </row>
    <row r="32" spans="1:2" x14ac:dyDescent="0.25">
      <c r="A32" s="36" t="s">
        <v>66</v>
      </c>
      <c r="B32" s="32">
        <v>7.6E-3</v>
      </c>
    </row>
    <row r="33" spans="1:2" ht="25.5" x14ac:dyDescent="0.25">
      <c r="A33" s="36" t="s">
        <v>67</v>
      </c>
      <c r="B33" s="37">
        <f>((1/30)*0.015)/12</f>
        <v>4.1666666666666665E-5</v>
      </c>
    </row>
    <row r="34" spans="1:2" ht="38.25" x14ac:dyDescent="0.25">
      <c r="A34" s="36" t="s">
        <v>68</v>
      </c>
      <c r="B34" s="32">
        <f>(((5/30)/12)*0.01)</f>
        <v>1.3888888888888889E-4</v>
      </c>
    </row>
    <row r="35" spans="1:2" ht="38.25" x14ac:dyDescent="0.25">
      <c r="A35" s="38" t="s">
        <v>69</v>
      </c>
      <c r="B35" s="32">
        <f>(((1/30)/12)*0.03)</f>
        <v>8.3333333333333331E-5</v>
      </c>
    </row>
    <row r="36" spans="1:2" x14ac:dyDescent="0.25">
      <c r="A36" s="16" t="s">
        <v>70</v>
      </c>
      <c r="B36" s="32">
        <f>((((1/12)*4)+((1.33/12)*4))/12)*0.0025</f>
        <v>1.6180555555555555E-4</v>
      </c>
    </row>
    <row r="37" spans="1:2" x14ac:dyDescent="0.25">
      <c r="A37" s="39"/>
      <c r="B37" s="32"/>
    </row>
    <row r="38" spans="1:2" x14ac:dyDescent="0.25">
      <c r="A38" s="40" t="s">
        <v>71</v>
      </c>
      <c r="B38" s="41">
        <f>SUM(B32:B36)</f>
        <v>8.0256944444444447E-3</v>
      </c>
    </row>
  </sheetData>
  <mergeCells count="16">
    <mergeCell ref="A22:B22"/>
    <mergeCell ref="A25:B25"/>
    <mergeCell ref="A28:B28"/>
    <mergeCell ref="A31:B31"/>
    <mergeCell ref="A10:B10"/>
    <mergeCell ref="A11:B11"/>
    <mergeCell ref="A13:B13"/>
    <mergeCell ref="A14:B14"/>
    <mergeCell ref="A16:B16"/>
    <mergeCell ref="A19:B19"/>
    <mergeCell ref="A8:B8"/>
    <mergeCell ref="A1:B1"/>
    <mergeCell ref="A2:B2"/>
    <mergeCell ref="A4:B4"/>
    <mergeCell ref="A5:B5"/>
    <mergeCell ref="A7:B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Quadro Resumo</vt:lpstr>
      <vt:lpstr>Cálculo da Garantia</vt:lpstr>
      <vt:lpstr>Bombeiro Civil 12x36 Diurno</vt:lpstr>
      <vt:lpstr>Bombeiro Civil 12x36 Noturno</vt:lpstr>
      <vt:lpstr>Bombeiro Civil Folguista Noturn</vt:lpstr>
      <vt:lpstr>Bombeiro Civil Folguista Diurno</vt:lpstr>
      <vt:lpstr>Uniformes</vt:lpstr>
      <vt:lpstr>Memória de Cálculo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Borges Marra</dc:creator>
  <cp:lastModifiedBy>Filipe Borges Marra</cp:lastModifiedBy>
  <dcterms:created xsi:type="dcterms:W3CDTF">2022-09-29T16:35:45Z</dcterms:created>
  <dcterms:modified xsi:type="dcterms:W3CDTF">2023-04-28T17:23:18Z</dcterms:modified>
</cp:coreProperties>
</file>