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rnanda.kawano\Downloads\"/>
    </mc:Choice>
  </mc:AlternateContent>
  <xr:revisionPtr revIDLastSave="0" documentId="13_ncr:1_{C8759326-47A9-437F-A1A7-E7F0CDE79E69}" xr6:coauthVersionLast="47" xr6:coauthVersionMax="47" xr10:uidLastSave="{00000000-0000-0000-0000-000000000000}"/>
  <bookViews>
    <workbookView xWindow="28680" yWindow="-120" windowWidth="29040" windowHeight="15840" tabRatio="858" xr2:uid="{00000000-000D-0000-FFFF-FFFF00000000}"/>
  </bookViews>
  <sheets>
    <sheet name="Quadro-Resumo" sheetId="2" r:id="rId1"/>
    <sheet name="Acréscimo" sheetId="18" r:id="rId2"/>
    <sheet name="Garantia" sheetId="19" state="hidden" r:id="rId3"/>
    <sheet name="Coordenador de Jornalismo" sheetId="6" r:id="rId4"/>
    <sheet name="Mídias Sociais" sheetId="15" r:id="rId5"/>
    <sheet name="Jornalista Produtor" sheetId="16" r:id="rId6"/>
    <sheet name="Repórter Fotográfico" sheetId="17" r:id="rId7"/>
    <sheet name="Editor de Pós-Produção" sheetId="7" r:id="rId8"/>
    <sheet name="Operador de Câmera UPE" sheetId="8" r:id="rId9"/>
    <sheet name="Auxiliar de Operador de Câmera " sheetId="11" r:id="rId10"/>
    <sheet name="Webdesigner" sheetId="12" r:id="rId11"/>
    <sheet name="Designer Gráfico" sheetId="13" r:id="rId12"/>
    <sheet name="Anexo Uniformes" sheetId="10" state="hidden" r:id="rId13"/>
  </sheets>
  <definedNames>
    <definedName name="_xlnm.Print_Area" localSheetId="12">'Anexo Uniformes'!$A$1:$E$43</definedName>
    <definedName name="Print_Area" localSheetId="12">'Anexo Uniformes'!$A$1:$E$52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16" i="2" l="1"/>
  <c r="AE15" i="2"/>
  <c r="AE14" i="2"/>
  <c r="AE13" i="2"/>
  <c r="AE12" i="2"/>
  <c r="AE11" i="2"/>
  <c r="AE10" i="2"/>
  <c r="AE9" i="2"/>
  <c r="AE8" i="2"/>
  <c r="AE17" i="2" s="1"/>
  <c r="E7" i="19"/>
  <c r="D7" i="19"/>
  <c r="D8" i="18"/>
  <c r="C48" i="18"/>
  <c r="C47" i="18"/>
  <c r="AD16" i="2"/>
  <c r="AD15" i="2"/>
  <c r="AC16" i="2"/>
  <c r="AC15" i="2"/>
  <c r="BP40" i="2"/>
  <c r="BP39" i="2"/>
  <c r="BR39" i="2" s="1"/>
  <c r="BQ41" i="2"/>
  <c r="BR40" i="2"/>
  <c r="AB134" i="13"/>
  <c r="AB111" i="13"/>
  <c r="AB102" i="13"/>
  <c r="AA97" i="13"/>
  <c r="AA89" i="13"/>
  <c r="AA88" i="13"/>
  <c r="AA91" i="13" s="1"/>
  <c r="AA87" i="13"/>
  <c r="AA86" i="13"/>
  <c r="AA74" i="13"/>
  <c r="AA73" i="13"/>
  <c r="AA70" i="13"/>
  <c r="AA69" i="13"/>
  <c r="AA71" i="13" s="1"/>
  <c r="AA76" i="13" s="1"/>
  <c r="AA42" i="13"/>
  <c r="AA36" i="13"/>
  <c r="AB13" i="13"/>
  <c r="AB19" i="13" s="1"/>
  <c r="AA6" i="13"/>
  <c r="AB124" i="12"/>
  <c r="AB123" i="12"/>
  <c r="AB119" i="12"/>
  <c r="AB118" i="12"/>
  <c r="AA36" i="12"/>
  <c r="AB36" i="12" s="1"/>
  <c r="AA42" i="12"/>
  <c r="AB41" i="12"/>
  <c r="AB40" i="12"/>
  <c r="AB39" i="12"/>
  <c r="AB38" i="12"/>
  <c r="AB37" i="12"/>
  <c r="AB35" i="12"/>
  <c r="AB34" i="12"/>
  <c r="AB27" i="12"/>
  <c r="AB26" i="12"/>
  <c r="AA97" i="12"/>
  <c r="AA88" i="12"/>
  <c r="AA87" i="12"/>
  <c r="AA86" i="12"/>
  <c r="AA74" i="12"/>
  <c r="AA71" i="12"/>
  <c r="AA69" i="12"/>
  <c r="AB134" i="12"/>
  <c r="AB111" i="12"/>
  <c r="AB102" i="12"/>
  <c r="AB14" i="2"/>
  <c r="AB13" i="2"/>
  <c r="AB12" i="2"/>
  <c r="K36" i="8"/>
  <c r="M42" i="17"/>
  <c r="N41" i="17"/>
  <c r="L41" i="17"/>
  <c r="N40" i="17"/>
  <c r="L40" i="17"/>
  <c r="N39" i="17"/>
  <c r="L39" i="17"/>
  <c r="N38" i="17"/>
  <c r="L38" i="17"/>
  <c r="N37" i="17"/>
  <c r="L37" i="17"/>
  <c r="N36" i="17"/>
  <c r="M36" i="17"/>
  <c r="L36" i="17"/>
  <c r="N35" i="17"/>
  <c r="L35" i="17"/>
  <c r="N34" i="17"/>
  <c r="N42" i="17" s="1"/>
  <c r="L34" i="17"/>
  <c r="L42" i="17" s="1"/>
  <c r="M42" i="16"/>
  <c r="N41" i="16"/>
  <c r="L41" i="16"/>
  <c r="N40" i="16"/>
  <c r="L40" i="16"/>
  <c r="N39" i="16"/>
  <c r="L39" i="16"/>
  <c r="N38" i="16"/>
  <c r="L38" i="16"/>
  <c r="N37" i="16"/>
  <c r="L37" i="16"/>
  <c r="N36" i="16"/>
  <c r="M36" i="16"/>
  <c r="L36" i="16"/>
  <c r="N35" i="16"/>
  <c r="L35" i="16"/>
  <c r="N34" i="16"/>
  <c r="N42" i="16" s="1"/>
  <c r="L34" i="16"/>
  <c r="L42" i="16" s="1"/>
  <c r="N36" i="15"/>
  <c r="M42" i="15"/>
  <c r="N41" i="15"/>
  <c r="L41" i="15"/>
  <c r="N40" i="15"/>
  <c r="L40" i="15"/>
  <c r="N39" i="15"/>
  <c r="L39" i="15"/>
  <c r="N38" i="15"/>
  <c r="L38" i="15"/>
  <c r="N37" i="15"/>
  <c r="L37" i="15"/>
  <c r="M36" i="15"/>
  <c r="L36" i="15"/>
  <c r="N35" i="15"/>
  <c r="L35" i="15"/>
  <c r="N34" i="15"/>
  <c r="N42" i="15" s="1"/>
  <c r="L34" i="15"/>
  <c r="L42" i="15" s="1"/>
  <c r="N39" i="6"/>
  <c r="N38" i="6"/>
  <c r="N37" i="6"/>
  <c r="N36" i="6"/>
  <c r="N35" i="6"/>
  <c r="L41" i="6"/>
  <c r="L40" i="6"/>
  <c r="L39" i="6"/>
  <c r="L38" i="6"/>
  <c r="L37" i="6"/>
  <c r="L36" i="6"/>
  <c r="L35" i="6"/>
  <c r="N41" i="6"/>
  <c r="N40" i="6"/>
  <c r="L34" i="6"/>
  <c r="M36" i="6"/>
  <c r="M42" i="6" s="1"/>
  <c r="J42" i="11"/>
  <c r="K41" i="11"/>
  <c r="K40" i="11"/>
  <c r="K39" i="11"/>
  <c r="K38" i="11"/>
  <c r="K37" i="11"/>
  <c r="J36" i="11"/>
  <c r="K36" i="11" s="1"/>
  <c r="K35" i="11"/>
  <c r="K34" i="11"/>
  <c r="K42" i="11" s="1"/>
  <c r="J42" i="8"/>
  <c r="K41" i="8"/>
  <c r="K40" i="8"/>
  <c r="K39" i="8"/>
  <c r="K38" i="8"/>
  <c r="K37" i="8"/>
  <c r="J36" i="8"/>
  <c r="K35" i="8"/>
  <c r="K34" i="8"/>
  <c r="K41" i="7"/>
  <c r="K40" i="7"/>
  <c r="K39" i="7"/>
  <c r="K38" i="7"/>
  <c r="K37" i="7"/>
  <c r="K36" i="7"/>
  <c r="K35" i="7"/>
  <c r="K34" i="7"/>
  <c r="J36" i="7"/>
  <c r="J42" i="7"/>
  <c r="AB16" i="2"/>
  <c r="R34" i="2"/>
  <c r="X26" i="2"/>
  <c r="U26" i="2"/>
  <c r="K134" i="11"/>
  <c r="K111" i="11"/>
  <c r="J97" i="11"/>
  <c r="K102" i="11" s="1"/>
  <c r="J74" i="11"/>
  <c r="J73" i="11"/>
  <c r="J71" i="11"/>
  <c r="J69" i="11"/>
  <c r="J70" i="11" s="1"/>
  <c r="K52" i="11"/>
  <c r="K13" i="11"/>
  <c r="K19" i="11" s="1"/>
  <c r="K6" i="11"/>
  <c r="K134" i="8"/>
  <c r="K111" i="8"/>
  <c r="J97" i="8"/>
  <c r="K102" i="8" s="1"/>
  <c r="J74" i="8"/>
  <c r="J73" i="8"/>
  <c r="J69" i="8"/>
  <c r="J71" i="8" s="1"/>
  <c r="K52" i="8"/>
  <c r="K6" i="8"/>
  <c r="K13" i="8" s="1"/>
  <c r="K19" i="8" s="1"/>
  <c r="J73" i="7"/>
  <c r="J70" i="7"/>
  <c r="K70" i="7" s="1"/>
  <c r="H70" i="7"/>
  <c r="I70" i="7"/>
  <c r="K75" i="7"/>
  <c r="K74" i="7"/>
  <c r="K73" i="7"/>
  <c r="K72" i="7"/>
  <c r="K71" i="7"/>
  <c r="I75" i="7"/>
  <c r="I74" i="7"/>
  <c r="I73" i="7"/>
  <c r="I72" i="7"/>
  <c r="I71" i="7"/>
  <c r="I69" i="7"/>
  <c r="G70" i="7"/>
  <c r="K69" i="7"/>
  <c r="K52" i="7"/>
  <c r="K6" i="7"/>
  <c r="K13" i="7" s="1"/>
  <c r="K19" i="7" s="1"/>
  <c r="K134" i="7"/>
  <c r="K111" i="7"/>
  <c r="J97" i="7"/>
  <c r="K102" i="7" s="1"/>
  <c r="J74" i="7"/>
  <c r="J69" i="7"/>
  <c r="N111" i="17"/>
  <c r="N134" i="17" s="1"/>
  <c r="L111" i="17"/>
  <c r="L134" i="17" s="1"/>
  <c r="N102" i="17"/>
  <c r="L102" i="17"/>
  <c r="M89" i="17"/>
  <c r="K89" i="17"/>
  <c r="M88" i="17"/>
  <c r="K88" i="17"/>
  <c r="M87" i="17"/>
  <c r="K87" i="17"/>
  <c r="M86" i="17"/>
  <c r="M91" i="17" s="1"/>
  <c r="K86" i="17"/>
  <c r="K91" i="17" s="1"/>
  <c r="K76" i="17"/>
  <c r="M74" i="17"/>
  <c r="K74" i="17"/>
  <c r="M73" i="17"/>
  <c r="K73" i="17"/>
  <c r="M71" i="17"/>
  <c r="K71" i="17"/>
  <c r="M70" i="17"/>
  <c r="M76" i="17" s="1"/>
  <c r="K70" i="17"/>
  <c r="M69" i="17"/>
  <c r="K69" i="17"/>
  <c r="N52" i="17"/>
  <c r="L52" i="17"/>
  <c r="L13" i="17"/>
  <c r="L19" i="17" s="1"/>
  <c r="M6" i="17"/>
  <c r="N13" i="17" s="1"/>
  <c r="N19" i="17" s="1"/>
  <c r="K6" i="17"/>
  <c r="N111" i="16"/>
  <c r="N134" i="16" s="1"/>
  <c r="L111" i="16"/>
  <c r="L134" i="16" s="1"/>
  <c r="N102" i="16"/>
  <c r="L102" i="16"/>
  <c r="M91" i="16"/>
  <c r="M89" i="16"/>
  <c r="K89" i="16"/>
  <c r="M88" i="16"/>
  <c r="K88" i="16"/>
  <c r="M87" i="16"/>
  <c r="K87" i="16"/>
  <c r="M86" i="16"/>
  <c r="K86" i="16"/>
  <c r="K91" i="16" s="1"/>
  <c r="M74" i="16"/>
  <c r="K74" i="16"/>
  <c r="M73" i="16"/>
  <c r="K73" i="16"/>
  <c r="M71" i="16"/>
  <c r="K71" i="16"/>
  <c r="M70" i="16"/>
  <c r="K70" i="16"/>
  <c r="M69" i="16"/>
  <c r="M76" i="16" s="1"/>
  <c r="K69" i="16"/>
  <c r="N52" i="16"/>
  <c r="L52" i="16"/>
  <c r="N13" i="16"/>
  <c r="N19" i="16" s="1"/>
  <c r="L13" i="16"/>
  <c r="L19" i="16" s="1"/>
  <c r="M6" i="16"/>
  <c r="K6" i="16"/>
  <c r="M6" i="15"/>
  <c r="K6" i="15"/>
  <c r="N111" i="15"/>
  <c r="N134" i="15" s="1"/>
  <c r="L111" i="15"/>
  <c r="L134" i="15" s="1"/>
  <c r="N102" i="15"/>
  <c r="L102" i="15"/>
  <c r="M89" i="15"/>
  <c r="K89" i="15"/>
  <c r="M88" i="15"/>
  <c r="M91" i="15" s="1"/>
  <c r="K88" i="15"/>
  <c r="M87" i="15"/>
  <c r="K87" i="15"/>
  <c r="M86" i="15"/>
  <c r="K86" i="15"/>
  <c r="K91" i="15" s="1"/>
  <c r="M74" i="15"/>
  <c r="K74" i="15"/>
  <c r="M73" i="15"/>
  <c r="K73" i="15"/>
  <c r="M71" i="15"/>
  <c r="K71" i="15"/>
  <c r="K76" i="15" s="1"/>
  <c r="M70" i="15"/>
  <c r="K70" i="15"/>
  <c r="M69" i="15"/>
  <c r="M76" i="15" s="1"/>
  <c r="K69" i="15"/>
  <c r="N52" i="15"/>
  <c r="L52" i="15"/>
  <c r="N13" i="15"/>
  <c r="N19" i="15" s="1"/>
  <c r="L13" i="15"/>
  <c r="L19" i="15" s="1"/>
  <c r="BR41" i="2" l="1"/>
  <c r="AB51" i="13"/>
  <c r="AB56" i="13" s="1"/>
  <c r="AB64" i="13" s="1"/>
  <c r="AB130" i="13"/>
  <c r="AB25" i="13"/>
  <c r="AB27" i="13" s="1"/>
  <c r="AB62" i="13" s="1"/>
  <c r="AB34" i="13"/>
  <c r="AB26" i="13"/>
  <c r="K42" i="8"/>
  <c r="K25" i="11"/>
  <c r="K130" i="11"/>
  <c r="K26" i="11"/>
  <c r="K51" i="11"/>
  <c r="K56" i="11" s="1"/>
  <c r="K64" i="11" s="1"/>
  <c r="J76" i="11"/>
  <c r="K25" i="8"/>
  <c r="K51" i="8"/>
  <c r="K56" i="8" s="1"/>
  <c r="K64" i="8" s="1"/>
  <c r="K130" i="8"/>
  <c r="K26" i="8"/>
  <c r="J70" i="8"/>
  <c r="K130" i="7"/>
  <c r="K25" i="7"/>
  <c r="K26" i="7"/>
  <c r="K51" i="7"/>
  <c r="K56" i="7" s="1"/>
  <c r="K64" i="7" s="1"/>
  <c r="J71" i="7"/>
  <c r="N69" i="17"/>
  <c r="N51" i="17"/>
  <c r="N56" i="17" s="1"/>
  <c r="N64" i="17" s="1"/>
  <c r="N26" i="17"/>
  <c r="N25" i="17"/>
  <c r="N27" i="17" s="1"/>
  <c r="N62" i="17" s="1"/>
  <c r="N130" i="17"/>
  <c r="N75" i="17"/>
  <c r="L51" i="17"/>
  <c r="L56" i="17" s="1"/>
  <c r="L64" i="17" s="1"/>
  <c r="L26" i="17"/>
  <c r="L25" i="17"/>
  <c r="L130" i="17"/>
  <c r="N51" i="16"/>
  <c r="N56" i="16" s="1"/>
  <c r="N64" i="16" s="1"/>
  <c r="N25" i="16"/>
  <c r="N26" i="16"/>
  <c r="N130" i="16"/>
  <c r="L70" i="16"/>
  <c r="L87" i="16"/>
  <c r="L51" i="16"/>
  <c r="L56" i="16" s="1"/>
  <c r="L64" i="16" s="1"/>
  <c r="L25" i="16"/>
  <c r="L27" i="16" s="1"/>
  <c r="L62" i="16" s="1"/>
  <c r="L90" i="16"/>
  <c r="L130" i="16"/>
  <c r="L72" i="16"/>
  <c r="L26" i="16"/>
  <c r="K76" i="16"/>
  <c r="N74" i="15"/>
  <c r="N51" i="15"/>
  <c r="N56" i="15" s="1"/>
  <c r="N64" i="15" s="1"/>
  <c r="N26" i="15"/>
  <c r="N25" i="15"/>
  <c r="N27" i="15" s="1"/>
  <c r="N62" i="15" s="1"/>
  <c r="N130" i="15"/>
  <c r="L26" i="15"/>
  <c r="L25" i="15"/>
  <c r="L27" i="15" s="1"/>
  <c r="L62" i="15" s="1"/>
  <c r="L130" i="15"/>
  <c r="L51" i="15"/>
  <c r="L56" i="15" s="1"/>
  <c r="L64" i="15" s="1"/>
  <c r="AB90" i="13" l="1"/>
  <c r="AB73" i="13"/>
  <c r="AB69" i="13"/>
  <c r="AB74" i="13"/>
  <c r="AB87" i="13"/>
  <c r="AB75" i="13"/>
  <c r="AB70" i="13"/>
  <c r="AB37" i="13"/>
  <c r="AB36" i="13"/>
  <c r="AB38" i="13"/>
  <c r="AB88" i="13"/>
  <c r="AB89" i="13"/>
  <c r="AB41" i="13"/>
  <c r="AB35" i="13"/>
  <c r="AB86" i="13"/>
  <c r="AB39" i="13"/>
  <c r="AB71" i="13"/>
  <c r="AB40" i="13"/>
  <c r="AB85" i="13"/>
  <c r="AB91" i="13" s="1"/>
  <c r="AB101" i="13" s="1"/>
  <c r="AB103" i="13" s="1"/>
  <c r="AB133" i="13" s="1"/>
  <c r="AB72" i="13"/>
  <c r="AB42" i="13"/>
  <c r="AB63" i="13" s="1"/>
  <c r="AB65" i="13" s="1"/>
  <c r="AB131" i="13" s="1"/>
  <c r="K27" i="11"/>
  <c r="K70" i="8"/>
  <c r="K27" i="8"/>
  <c r="J76" i="8"/>
  <c r="K27" i="7"/>
  <c r="K86" i="7" s="1"/>
  <c r="K88" i="7"/>
  <c r="K90" i="7"/>
  <c r="K76" i="7"/>
  <c r="K132" i="7" s="1"/>
  <c r="K85" i="7"/>
  <c r="K87" i="7"/>
  <c r="J76" i="7"/>
  <c r="N88" i="17"/>
  <c r="N87" i="17"/>
  <c r="N72" i="17"/>
  <c r="N85" i="17"/>
  <c r="N91" i="17" s="1"/>
  <c r="N101" i="17" s="1"/>
  <c r="N103" i="17" s="1"/>
  <c r="N133" i="17" s="1"/>
  <c r="N89" i="17"/>
  <c r="L27" i="17"/>
  <c r="N90" i="17"/>
  <c r="N71" i="17"/>
  <c r="N86" i="17"/>
  <c r="N74" i="17"/>
  <c r="N70" i="17"/>
  <c r="N73" i="17"/>
  <c r="N76" i="17" s="1"/>
  <c r="N132" i="17" s="1"/>
  <c r="L75" i="16"/>
  <c r="L74" i="16"/>
  <c r="L71" i="16"/>
  <c r="N27" i="16"/>
  <c r="L85" i="16"/>
  <c r="L89" i="16"/>
  <c r="L69" i="16"/>
  <c r="L88" i="16"/>
  <c r="L86" i="16"/>
  <c r="L73" i="16"/>
  <c r="L72" i="15"/>
  <c r="L89" i="15"/>
  <c r="N72" i="15"/>
  <c r="N87" i="15"/>
  <c r="L85" i="15"/>
  <c r="N85" i="15"/>
  <c r="N89" i="15"/>
  <c r="L74" i="15"/>
  <c r="L87" i="15"/>
  <c r="L90" i="15"/>
  <c r="N90" i="15"/>
  <c r="L70" i="15"/>
  <c r="L75" i="15"/>
  <c r="N73" i="15"/>
  <c r="L86" i="15"/>
  <c r="L69" i="15"/>
  <c r="N75" i="15"/>
  <c r="L73" i="15"/>
  <c r="N86" i="15"/>
  <c r="N70" i="15"/>
  <c r="N88" i="15"/>
  <c r="L88" i="15"/>
  <c r="N69" i="15"/>
  <c r="N76" i="15" s="1"/>
  <c r="N132" i="15" s="1"/>
  <c r="L71" i="15"/>
  <c r="N71" i="15"/>
  <c r="AB76" i="13" l="1"/>
  <c r="AB132" i="13" s="1"/>
  <c r="AB135" i="13" s="1"/>
  <c r="K62" i="11"/>
  <c r="K70" i="11"/>
  <c r="K86" i="11"/>
  <c r="K74" i="11"/>
  <c r="K75" i="11"/>
  <c r="K89" i="11"/>
  <c r="K72" i="11"/>
  <c r="K88" i="11"/>
  <c r="K69" i="11"/>
  <c r="K76" i="11" s="1"/>
  <c r="K132" i="11" s="1"/>
  <c r="K85" i="11"/>
  <c r="K91" i="11" s="1"/>
  <c r="K101" i="11" s="1"/>
  <c r="K103" i="11" s="1"/>
  <c r="K133" i="11" s="1"/>
  <c r="K71" i="11"/>
  <c r="K87" i="11"/>
  <c r="K73" i="11"/>
  <c r="K90" i="11"/>
  <c r="K62" i="8"/>
  <c r="K71" i="8"/>
  <c r="K73" i="8"/>
  <c r="K90" i="8"/>
  <c r="K72" i="8"/>
  <c r="K89" i="8"/>
  <c r="K69" i="8"/>
  <c r="K88" i="8"/>
  <c r="K86" i="8"/>
  <c r="K87" i="8"/>
  <c r="K75" i="8"/>
  <c r="K74" i="8"/>
  <c r="K85" i="8"/>
  <c r="K62" i="7"/>
  <c r="K42" i="7"/>
  <c r="K63" i="7" s="1"/>
  <c r="K65" i="7" s="1"/>
  <c r="K131" i="7" s="1"/>
  <c r="K89" i="7"/>
  <c r="K91" i="7"/>
  <c r="K101" i="7" s="1"/>
  <c r="K103" i="7" s="1"/>
  <c r="K133" i="7" s="1"/>
  <c r="N63" i="17"/>
  <c r="N65" i="17" s="1"/>
  <c r="N131" i="17" s="1"/>
  <c r="N135" i="17" s="1"/>
  <c r="L62" i="17"/>
  <c r="L85" i="17"/>
  <c r="L72" i="17"/>
  <c r="L71" i="17"/>
  <c r="L70" i="17"/>
  <c r="L89" i="17"/>
  <c r="L63" i="17"/>
  <c r="L87" i="17"/>
  <c r="L74" i="17"/>
  <c r="L75" i="17"/>
  <c r="L88" i="17"/>
  <c r="L90" i="17"/>
  <c r="L86" i="17"/>
  <c r="L69" i="17"/>
  <c r="L73" i="17"/>
  <c r="L63" i="16"/>
  <c r="L65" i="16" s="1"/>
  <c r="L131" i="16" s="1"/>
  <c r="L76" i="16"/>
  <c r="L132" i="16" s="1"/>
  <c r="L91" i="16"/>
  <c r="L101" i="16" s="1"/>
  <c r="L103" i="16" s="1"/>
  <c r="L133" i="16" s="1"/>
  <c r="N62" i="16"/>
  <c r="N71" i="16"/>
  <c r="N70" i="16"/>
  <c r="N88" i="16"/>
  <c r="N69" i="16"/>
  <c r="N76" i="16" s="1"/>
  <c r="N132" i="16" s="1"/>
  <c r="N89" i="16"/>
  <c r="N74" i="16"/>
  <c r="N86" i="16"/>
  <c r="N75" i="16"/>
  <c r="N87" i="16"/>
  <c r="N90" i="16"/>
  <c r="N73" i="16"/>
  <c r="N85" i="16"/>
  <c r="N72" i="16"/>
  <c r="L63" i="15"/>
  <c r="L65" i="15" s="1"/>
  <c r="L131" i="15" s="1"/>
  <c r="L76" i="15"/>
  <c r="L132" i="15" s="1"/>
  <c r="N91" i="15"/>
  <c r="N101" i="15" s="1"/>
  <c r="N103" i="15" s="1"/>
  <c r="N133" i="15" s="1"/>
  <c r="L91" i="15"/>
  <c r="L101" i="15" s="1"/>
  <c r="L103" i="15" s="1"/>
  <c r="L133" i="15" s="1"/>
  <c r="N63" i="15"/>
  <c r="N65" i="15" s="1"/>
  <c r="N131" i="15" s="1"/>
  <c r="AB118" i="13" l="1"/>
  <c r="AB119" i="13" s="1"/>
  <c r="AB117" i="13"/>
  <c r="K63" i="11"/>
  <c r="K65" i="11" s="1"/>
  <c r="K131" i="11" s="1"/>
  <c r="K135" i="11" s="1"/>
  <c r="K76" i="8"/>
  <c r="K132" i="8" s="1"/>
  <c r="K91" i="8"/>
  <c r="K101" i="8" s="1"/>
  <c r="K103" i="8" s="1"/>
  <c r="K133" i="8" s="1"/>
  <c r="K63" i="8"/>
  <c r="K65" i="8" s="1"/>
  <c r="K131" i="8" s="1"/>
  <c r="K135" i="8" s="1"/>
  <c r="K135" i="7"/>
  <c r="L76" i="17"/>
  <c r="L132" i="17" s="1"/>
  <c r="L91" i="17"/>
  <c r="L101" i="17" s="1"/>
  <c r="L103" i="17" s="1"/>
  <c r="L133" i="17" s="1"/>
  <c r="L65" i="17"/>
  <c r="L131" i="17" s="1"/>
  <c r="N118" i="17"/>
  <c r="N117" i="17"/>
  <c r="L135" i="16"/>
  <c r="N63" i="16"/>
  <c r="N65" i="16" s="1"/>
  <c r="N131" i="16" s="1"/>
  <c r="N135" i="16" s="1"/>
  <c r="N91" i="16"/>
  <c r="N101" i="16" s="1"/>
  <c r="N103" i="16" s="1"/>
  <c r="N133" i="16" s="1"/>
  <c r="L135" i="15"/>
  <c r="N135" i="15"/>
  <c r="AB123" i="13" l="1"/>
  <c r="AB124" i="13" s="1"/>
  <c r="AB136" i="13" s="1"/>
  <c r="AB137" i="13" s="1"/>
  <c r="N119" i="17"/>
  <c r="N123" i="17"/>
  <c r="K118" i="11"/>
  <c r="K119" i="11" s="1"/>
  <c r="K117" i="11"/>
  <c r="K118" i="8"/>
  <c r="K123" i="8" s="1"/>
  <c r="K117" i="8"/>
  <c r="K118" i="7"/>
  <c r="K117" i="7"/>
  <c r="L135" i="17"/>
  <c r="N118" i="16"/>
  <c r="N123" i="16" s="1"/>
  <c r="N117" i="16"/>
  <c r="L118" i="16"/>
  <c r="L117" i="16"/>
  <c r="L118" i="15"/>
  <c r="L117" i="15"/>
  <c r="N118" i="15"/>
  <c r="N117" i="15"/>
  <c r="N119" i="15" s="1"/>
  <c r="L119" i="16" l="1"/>
  <c r="N124" i="17"/>
  <c r="N136" i="17" s="1"/>
  <c r="N137" i="17" s="1"/>
  <c r="C43" i="18" s="1"/>
  <c r="N119" i="16"/>
  <c r="N124" i="16" s="1"/>
  <c r="N136" i="16" s="1"/>
  <c r="N137" i="16" s="1"/>
  <c r="K124" i="8"/>
  <c r="K136" i="8" s="1"/>
  <c r="K137" i="8" s="1"/>
  <c r="K119" i="8"/>
  <c r="L119" i="15"/>
  <c r="N123" i="15"/>
  <c r="N124" i="15" s="1"/>
  <c r="N136" i="15" s="1"/>
  <c r="N137" i="15" s="1"/>
  <c r="K123" i="11"/>
  <c r="K124" i="11" s="1"/>
  <c r="K136" i="11" s="1"/>
  <c r="K137" i="11" s="1"/>
  <c r="K119" i="7"/>
  <c r="K123" i="7"/>
  <c r="L118" i="17"/>
  <c r="L117" i="17"/>
  <c r="L123" i="16"/>
  <c r="L123" i="15"/>
  <c r="L124" i="16" l="1"/>
  <c r="L136" i="16" s="1"/>
  <c r="L137" i="16" s="1"/>
  <c r="T24" i="2" s="1"/>
  <c r="V24" i="2" s="1"/>
  <c r="L119" i="17"/>
  <c r="W25" i="2"/>
  <c r="AD11" i="2" s="1"/>
  <c r="C42" i="18"/>
  <c r="W24" i="2"/>
  <c r="AD10" i="2" s="1"/>
  <c r="Q33" i="2"/>
  <c r="C46" i="18"/>
  <c r="C45" i="18"/>
  <c r="Q32" i="2"/>
  <c r="L123" i="17"/>
  <c r="C41" i="18"/>
  <c r="W23" i="2"/>
  <c r="L124" i="15"/>
  <c r="L136" i="15" s="1"/>
  <c r="L137" i="15" s="1"/>
  <c r="T23" i="2" s="1"/>
  <c r="AB9" i="2" s="1"/>
  <c r="K124" i="7"/>
  <c r="K136" i="7" s="1"/>
  <c r="K137" i="7" s="1"/>
  <c r="Y25" i="2" l="1"/>
  <c r="AC11" i="2"/>
  <c r="AB10" i="2"/>
  <c r="L124" i="17"/>
  <c r="L136" i="17" s="1"/>
  <c r="L137" i="17" s="1"/>
  <c r="T25" i="2" s="1"/>
  <c r="V25" i="2" s="1"/>
  <c r="Y24" i="2"/>
  <c r="AC10" i="2"/>
  <c r="V23" i="2"/>
  <c r="AC14" i="2"/>
  <c r="S33" i="2"/>
  <c r="AD14" i="2"/>
  <c r="S32" i="2"/>
  <c r="AC13" i="2"/>
  <c r="AD13" i="2"/>
  <c r="C44" i="18"/>
  <c r="Q31" i="2"/>
  <c r="Y23" i="2"/>
  <c r="AC9" i="2"/>
  <c r="AD9" i="2"/>
  <c r="J119" i="6"/>
  <c r="J118" i="6"/>
  <c r="J117" i="6"/>
  <c r="M89" i="6"/>
  <c r="N89" i="6" s="1"/>
  <c r="N91" i="6" s="1"/>
  <c r="K89" i="6"/>
  <c r="L89" i="6" s="1"/>
  <c r="I89" i="6"/>
  <c r="N87" i="6"/>
  <c r="N86" i="6"/>
  <c r="N85" i="6"/>
  <c r="L86" i="6"/>
  <c r="L85" i="6"/>
  <c r="N90" i="6"/>
  <c r="N88" i="6"/>
  <c r="L90" i="6"/>
  <c r="L88" i="6"/>
  <c r="L87" i="6"/>
  <c r="N75" i="6"/>
  <c r="N74" i="6"/>
  <c r="N73" i="6"/>
  <c r="N72" i="6"/>
  <c r="N71" i="6"/>
  <c r="N70" i="6"/>
  <c r="N69" i="6"/>
  <c r="L75" i="6"/>
  <c r="L74" i="6"/>
  <c r="L73" i="6"/>
  <c r="L72" i="6"/>
  <c r="L71" i="6"/>
  <c r="L69" i="6"/>
  <c r="L70" i="6"/>
  <c r="N52" i="6"/>
  <c r="L52" i="6"/>
  <c r="L42" i="6"/>
  <c r="H36" i="6"/>
  <c r="F36" i="6"/>
  <c r="E36" i="6"/>
  <c r="D36" i="6"/>
  <c r="J36" i="6"/>
  <c r="K6" i="6"/>
  <c r="L13" i="6" s="1"/>
  <c r="L19" i="6" s="1"/>
  <c r="M6" i="6"/>
  <c r="N13" i="6" s="1"/>
  <c r="N19" i="6" s="1"/>
  <c r="N134" i="6"/>
  <c r="N111" i="6"/>
  <c r="N102" i="6"/>
  <c r="M88" i="6"/>
  <c r="M87" i="6"/>
  <c r="M86" i="6"/>
  <c r="M74" i="6"/>
  <c r="M73" i="6"/>
  <c r="M71" i="6"/>
  <c r="M70" i="6"/>
  <c r="M69" i="6"/>
  <c r="L134" i="6"/>
  <c r="L111" i="6"/>
  <c r="L102" i="6"/>
  <c r="K88" i="6"/>
  <c r="K87" i="6"/>
  <c r="K86" i="6"/>
  <c r="K74" i="6"/>
  <c r="K73" i="6"/>
  <c r="K71" i="6"/>
  <c r="K70" i="6"/>
  <c r="K69" i="6"/>
  <c r="K76" i="6" s="1"/>
  <c r="AB11" i="2" l="1"/>
  <c r="S31" i="2"/>
  <c r="S34" i="2" s="1"/>
  <c r="AC12" i="2"/>
  <c r="AD12" i="2"/>
  <c r="N101" i="6"/>
  <c r="N103" i="6" s="1"/>
  <c r="N133" i="6" s="1"/>
  <c r="N76" i="6"/>
  <c r="N132" i="6" s="1"/>
  <c r="N130" i="6"/>
  <c r="N51" i="6"/>
  <c r="N56" i="6" s="1"/>
  <c r="N64" i="6" s="1"/>
  <c r="N26" i="6"/>
  <c r="N25" i="6"/>
  <c r="N27" i="6" s="1"/>
  <c r="N62" i="6" s="1"/>
  <c r="M91" i="6"/>
  <c r="M76" i="6"/>
  <c r="L26" i="6"/>
  <c r="L51" i="6"/>
  <c r="L56" i="6" s="1"/>
  <c r="L64" i="6" s="1"/>
  <c r="L130" i="6"/>
  <c r="L91" i="6"/>
  <c r="L101" i="6" s="1"/>
  <c r="L103" i="6" s="1"/>
  <c r="L133" i="6" s="1"/>
  <c r="L76" i="6"/>
  <c r="L132" i="6" s="1"/>
  <c r="K91" i="6"/>
  <c r="L25" i="6"/>
  <c r="N34" i="6" l="1"/>
  <c r="L27" i="6"/>
  <c r="L62" i="6" l="1"/>
  <c r="N42" i="6"/>
  <c r="N63" i="6" s="1"/>
  <c r="N65" i="6" s="1"/>
  <c r="N131" i="6" s="1"/>
  <c r="N135" i="6" s="1"/>
  <c r="N117" i="6" l="1"/>
  <c r="N118" i="6"/>
  <c r="L63" i="6"/>
  <c r="L65" i="6" s="1"/>
  <c r="L131" i="6" s="1"/>
  <c r="L135" i="6" s="1"/>
  <c r="N119" i="6" l="1"/>
  <c r="N123" i="6"/>
  <c r="L118" i="6"/>
  <c r="L117" i="6"/>
  <c r="N124" i="6" l="1"/>
  <c r="N136" i="6" s="1"/>
  <c r="N137" i="6" s="1"/>
  <c r="W22" i="2" s="1"/>
  <c r="L119" i="6"/>
  <c r="L123" i="6"/>
  <c r="E48" i="18"/>
  <c r="G48" i="18" s="1"/>
  <c r="H48" i="18" s="1"/>
  <c r="E45" i="18"/>
  <c r="G45" i="18" s="1"/>
  <c r="H45" i="18" s="1"/>
  <c r="E43" i="18"/>
  <c r="G43" i="18" s="1"/>
  <c r="H43" i="18" s="1"/>
  <c r="C35" i="18"/>
  <c r="E35" i="18" s="1"/>
  <c r="G35" i="18" s="1"/>
  <c r="H35" i="18" s="1"/>
  <c r="C33" i="18"/>
  <c r="E33" i="18" s="1"/>
  <c r="G33" i="18" s="1"/>
  <c r="H33" i="18" s="1"/>
  <c r="C32" i="18"/>
  <c r="E32" i="18" s="1"/>
  <c r="G32" i="18" s="1"/>
  <c r="H32" i="18" s="1"/>
  <c r="C30" i="18"/>
  <c r="E30" i="18" s="1"/>
  <c r="G30" i="18" s="1"/>
  <c r="H30" i="18" s="1"/>
  <c r="C29" i="18"/>
  <c r="E29" i="18" s="1"/>
  <c r="G29" i="18" s="1"/>
  <c r="H29" i="18" s="1"/>
  <c r="C28" i="18"/>
  <c r="E28" i="18" s="1"/>
  <c r="G28" i="18" s="1"/>
  <c r="H28" i="18" s="1"/>
  <c r="E46" i="18"/>
  <c r="G46" i="18" s="1"/>
  <c r="H46" i="18" s="1"/>
  <c r="E42" i="18"/>
  <c r="G42" i="18" s="1"/>
  <c r="H42" i="18" s="1"/>
  <c r="E41" i="18"/>
  <c r="G41" i="18" s="1"/>
  <c r="H41" i="18" s="1"/>
  <c r="C22" i="18"/>
  <c r="E22" i="18" s="1"/>
  <c r="G22" i="18" s="1"/>
  <c r="H22" i="18" s="1"/>
  <c r="C20" i="18"/>
  <c r="E20" i="18" s="1"/>
  <c r="G20" i="18" s="1"/>
  <c r="H20" i="18" s="1"/>
  <c r="C19" i="18"/>
  <c r="E19" i="18" s="1"/>
  <c r="G19" i="18" s="1"/>
  <c r="H19" i="18" s="1"/>
  <c r="C18" i="18"/>
  <c r="E18" i="18" s="1"/>
  <c r="G18" i="18" s="1"/>
  <c r="H18" i="18" s="1"/>
  <c r="C17" i="18"/>
  <c r="E17" i="18" s="1"/>
  <c r="G17" i="18" s="1"/>
  <c r="H17" i="18" s="1"/>
  <c r="C16" i="18"/>
  <c r="E16" i="18" s="1"/>
  <c r="G16" i="18" s="1"/>
  <c r="H16" i="18" s="1"/>
  <c r="C15" i="18"/>
  <c r="E15" i="18" s="1"/>
  <c r="G15" i="18" s="1"/>
  <c r="H15" i="18" s="1"/>
  <c r="C14" i="18"/>
  <c r="E14" i="18" s="1"/>
  <c r="G14" i="18" s="1"/>
  <c r="H14" i="18" s="1"/>
  <c r="E11" i="2"/>
  <c r="N33" i="2"/>
  <c r="K33" i="2"/>
  <c r="H33" i="2"/>
  <c r="H14" i="2" s="1"/>
  <c r="H16" i="2"/>
  <c r="H13" i="2"/>
  <c r="H12" i="2"/>
  <c r="H11" i="2"/>
  <c r="H10" i="2"/>
  <c r="H9" i="2"/>
  <c r="H8" i="2"/>
  <c r="U16" i="2"/>
  <c r="U14" i="2"/>
  <c r="U13" i="2"/>
  <c r="U11" i="2"/>
  <c r="U10" i="2"/>
  <c r="U9" i="2"/>
  <c r="T16" i="2"/>
  <c r="T14" i="2"/>
  <c r="T13" i="2"/>
  <c r="T12" i="2"/>
  <c r="T11" i="2"/>
  <c r="T10" i="2"/>
  <c r="T9" i="2"/>
  <c r="T8" i="2"/>
  <c r="C40" i="18" l="1"/>
  <c r="Y22" i="2"/>
  <c r="Y26" i="2" s="1"/>
  <c r="AD8" i="2"/>
  <c r="AC8" i="2"/>
  <c r="L124" i="6"/>
  <c r="L136" i="6" s="1"/>
  <c r="L137" i="6" s="1"/>
  <c r="T22" i="2" s="1"/>
  <c r="V22" i="2" s="1"/>
  <c r="V26" i="2" s="1"/>
  <c r="I73" i="15"/>
  <c r="C40" i="2"/>
  <c r="C33" i="2"/>
  <c r="C32" i="2"/>
  <c r="C31" i="2"/>
  <c r="C25" i="2"/>
  <c r="C24" i="2"/>
  <c r="C23" i="2"/>
  <c r="C22" i="2"/>
  <c r="AA16" i="2"/>
  <c r="AA14" i="2"/>
  <c r="AA13" i="2"/>
  <c r="AA11" i="2"/>
  <c r="AA10" i="2"/>
  <c r="AA9" i="2"/>
  <c r="BM40" i="2"/>
  <c r="BO40" i="2" s="1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BN41" i="2"/>
  <c r="N32" i="2"/>
  <c r="K32" i="2"/>
  <c r="K31" i="2"/>
  <c r="Q25" i="2"/>
  <c r="Q24" i="2"/>
  <c r="Q23" i="2"/>
  <c r="N25" i="2"/>
  <c r="N24" i="2"/>
  <c r="N23" i="2"/>
  <c r="N22" i="2"/>
  <c r="K25" i="2"/>
  <c r="K24" i="2"/>
  <c r="K23" i="2"/>
  <c r="K22" i="2"/>
  <c r="H40" i="2"/>
  <c r="H32" i="2"/>
  <c r="H31" i="2"/>
  <c r="H25" i="2"/>
  <c r="H24" i="2"/>
  <c r="H23" i="2"/>
  <c r="H22" i="2"/>
  <c r="I6" i="17"/>
  <c r="J13" i="17" s="1"/>
  <c r="J19" i="17" s="1"/>
  <c r="G6" i="17"/>
  <c r="H13" i="17" s="1"/>
  <c r="H19" i="17" s="1"/>
  <c r="F6" i="17"/>
  <c r="F13" i="17" s="1"/>
  <c r="F19" i="17" s="1"/>
  <c r="G121" i="17"/>
  <c r="G120" i="17"/>
  <c r="G119" i="17" s="1"/>
  <c r="G124" i="17" s="1"/>
  <c r="J111" i="17"/>
  <c r="J134" i="17" s="1"/>
  <c r="H111" i="17"/>
  <c r="H134" i="17" s="1"/>
  <c r="F111" i="17"/>
  <c r="F134" i="17" s="1"/>
  <c r="E111" i="17"/>
  <c r="E134" i="17" s="1"/>
  <c r="J102" i="17"/>
  <c r="H102" i="17"/>
  <c r="F102" i="17"/>
  <c r="E102" i="17"/>
  <c r="I88" i="17"/>
  <c r="G88" i="17"/>
  <c r="I87" i="17"/>
  <c r="I91" i="17" s="1"/>
  <c r="G87" i="17"/>
  <c r="I86" i="17"/>
  <c r="G86" i="17"/>
  <c r="I74" i="17"/>
  <c r="G72" i="17"/>
  <c r="I71" i="17"/>
  <c r="I70" i="17"/>
  <c r="G70" i="17"/>
  <c r="I69" i="17"/>
  <c r="G69" i="17"/>
  <c r="J52" i="17"/>
  <c r="H52" i="17"/>
  <c r="F52" i="17"/>
  <c r="E52" i="17"/>
  <c r="G36" i="17"/>
  <c r="I89" i="17" s="1"/>
  <c r="E6" i="17"/>
  <c r="E13" i="17" s="1"/>
  <c r="E19" i="17" s="1"/>
  <c r="G89" i="8"/>
  <c r="G36" i="8"/>
  <c r="I111" i="8"/>
  <c r="I134" i="8" s="1"/>
  <c r="G111" i="8"/>
  <c r="G134" i="8" s="1"/>
  <c r="E111" i="8"/>
  <c r="E134" i="8" s="1"/>
  <c r="E102" i="8"/>
  <c r="H97" i="8"/>
  <c r="I102" i="8" s="1"/>
  <c r="F97" i="8"/>
  <c r="G102" i="8" s="1"/>
  <c r="F88" i="8"/>
  <c r="F87" i="8"/>
  <c r="F86" i="8"/>
  <c r="H74" i="8"/>
  <c r="F72" i="8"/>
  <c r="H71" i="8"/>
  <c r="H69" i="8"/>
  <c r="F69" i="8"/>
  <c r="I52" i="8"/>
  <c r="G52" i="8"/>
  <c r="E52" i="8"/>
  <c r="F36" i="8"/>
  <c r="F42" i="8" s="1"/>
  <c r="E6" i="8"/>
  <c r="G6" i="8" s="1"/>
  <c r="I111" i="7"/>
  <c r="I134" i="7" s="1"/>
  <c r="G111" i="7"/>
  <c r="G134" i="7" s="1"/>
  <c r="E111" i="7"/>
  <c r="E134" i="7" s="1"/>
  <c r="E102" i="7"/>
  <c r="H97" i="7"/>
  <c r="I102" i="7" s="1"/>
  <c r="F97" i="7"/>
  <c r="G102" i="7" s="1"/>
  <c r="F88" i="7"/>
  <c r="F87" i="7"/>
  <c r="F86" i="7"/>
  <c r="H74" i="7"/>
  <c r="F72" i="7"/>
  <c r="F71" i="7"/>
  <c r="H69" i="7"/>
  <c r="F69" i="7"/>
  <c r="I52" i="7"/>
  <c r="G52" i="7"/>
  <c r="E52" i="7"/>
  <c r="F42" i="7"/>
  <c r="H73" i="7" s="1"/>
  <c r="F36" i="7"/>
  <c r="E6" i="7"/>
  <c r="G6" i="7" s="1"/>
  <c r="I52" i="11"/>
  <c r="G52" i="11"/>
  <c r="E52" i="11"/>
  <c r="E102" i="11"/>
  <c r="F88" i="11"/>
  <c r="F87" i="11"/>
  <c r="F86" i="11"/>
  <c r="H74" i="11"/>
  <c r="H69" i="11"/>
  <c r="H70" i="11" s="1"/>
  <c r="F72" i="11"/>
  <c r="F74" i="11" s="1"/>
  <c r="F69" i="11"/>
  <c r="F71" i="11" s="1"/>
  <c r="E6" i="11"/>
  <c r="G6" i="11" s="1"/>
  <c r="I6" i="11" s="1"/>
  <c r="D52" i="11"/>
  <c r="AB8" i="2" l="1"/>
  <c r="H51" i="17"/>
  <c r="H56" i="17" s="1"/>
  <c r="H64" i="17" s="1"/>
  <c r="H25" i="17"/>
  <c r="H27" i="17" s="1"/>
  <c r="H62" i="17" s="1"/>
  <c r="H26" i="17"/>
  <c r="H130" i="17"/>
  <c r="J51" i="17"/>
  <c r="J56" i="17" s="1"/>
  <c r="J64" i="17" s="1"/>
  <c r="J25" i="17"/>
  <c r="J130" i="17"/>
  <c r="J26" i="17"/>
  <c r="E26" i="17"/>
  <c r="E51" i="17"/>
  <c r="E56" i="17" s="1"/>
  <c r="E64" i="17" s="1"/>
  <c r="E25" i="17"/>
  <c r="E130" i="17"/>
  <c r="F51" i="17"/>
  <c r="F56" i="17" s="1"/>
  <c r="F64" i="17" s="1"/>
  <c r="F26" i="17"/>
  <c r="F25" i="17"/>
  <c r="F27" i="17" s="1"/>
  <c r="F62" i="17" s="1"/>
  <c r="F130" i="17"/>
  <c r="G71" i="17"/>
  <c r="G74" i="17"/>
  <c r="G42" i="17"/>
  <c r="G89" i="17"/>
  <c r="E13" i="8"/>
  <c r="E19" i="8" s="1"/>
  <c r="E25" i="8" s="1"/>
  <c r="F73" i="8"/>
  <c r="H73" i="8"/>
  <c r="G13" i="8"/>
  <c r="G19" i="8" s="1"/>
  <c r="I6" i="8"/>
  <c r="I13" i="8" s="1"/>
  <c r="I19" i="8" s="1"/>
  <c r="F89" i="8"/>
  <c r="F91" i="8" s="1"/>
  <c r="F70" i="8"/>
  <c r="H70" i="8"/>
  <c r="H76" i="8" s="1"/>
  <c r="F74" i="8"/>
  <c r="F71" i="8"/>
  <c r="F76" i="8" s="1"/>
  <c r="E13" i="7"/>
  <c r="E19" i="7" s="1"/>
  <c r="E130" i="7" s="1"/>
  <c r="E51" i="7"/>
  <c r="E56" i="7" s="1"/>
  <c r="E64" i="7" s="1"/>
  <c r="E26" i="7"/>
  <c r="E25" i="7"/>
  <c r="I6" i="7"/>
  <c r="I13" i="7" s="1"/>
  <c r="I19" i="7" s="1"/>
  <c r="G13" i="7"/>
  <c r="G19" i="7" s="1"/>
  <c r="F73" i="7"/>
  <c r="F89" i="7"/>
  <c r="F91" i="7" s="1"/>
  <c r="F70" i="7"/>
  <c r="F74" i="7"/>
  <c r="H71" i="7"/>
  <c r="H76" i="7" s="1"/>
  <c r="H71" i="11"/>
  <c r="F70" i="11"/>
  <c r="H34" i="17" l="1"/>
  <c r="H38" i="17"/>
  <c r="H89" i="17"/>
  <c r="F38" i="17"/>
  <c r="F69" i="17"/>
  <c r="F40" i="17"/>
  <c r="F86" i="17"/>
  <c r="J88" i="17"/>
  <c r="J70" i="17"/>
  <c r="H40" i="17"/>
  <c r="H70" i="17"/>
  <c r="F36" i="17"/>
  <c r="J90" i="17"/>
  <c r="H36" i="17"/>
  <c r="H35" i="17"/>
  <c r="J36" i="17"/>
  <c r="H72" i="17"/>
  <c r="F75" i="17"/>
  <c r="H90" i="17"/>
  <c r="J71" i="17"/>
  <c r="H37" i="17"/>
  <c r="F37" i="17"/>
  <c r="F90" i="17"/>
  <c r="J89" i="17"/>
  <c r="H85" i="17"/>
  <c r="J74" i="17"/>
  <c r="J27" i="17"/>
  <c r="J39" i="17" s="1"/>
  <c r="F39" i="17"/>
  <c r="F41" i="17"/>
  <c r="J85" i="17"/>
  <c r="F88" i="17"/>
  <c r="H88" i="17"/>
  <c r="G91" i="17"/>
  <c r="J87" i="17"/>
  <c r="F34" i="17"/>
  <c r="F87" i="17"/>
  <c r="J69" i="17"/>
  <c r="F35" i="17"/>
  <c r="H86" i="17"/>
  <c r="F72" i="17"/>
  <c r="H87" i="17"/>
  <c r="H39" i="17"/>
  <c r="H69" i="17"/>
  <c r="J86" i="17"/>
  <c r="H75" i="17"/>
  <c r="G73" i="17"/>
  <c r="I73" i="17"/>
  <c r="H74" i="17"/>
  <c r="H41" i="17"/>
  <c r="J72" i="17"/>
  <c r="H71" i="17"/>
  <c r="F85" i="17"/>
  <c r="E27" i="17"/>
  <c r="J37" i="17"/>
  <c r="J75" i="17"/>
  <c r="E130" i="8"/>
  <c r="E51" i="8"/>
  <c r="E56" i="8" s="1"/>
  <c r="E64" i="8" s="1"/>
  <c r="E26" i="8"/>
  <c r="E27" i="8" s="1"/>
  <c r="G130" i="8"/>
  <c r="G51" i="8"/>
  <c r="G56" i="8" s="1"/>
  <c r="G64" i="8" s="1"/>
  <c r="G26" i="8"/>
  <c r="G25" i="8"/>
  <c r="I130" i="8"/>
  <c r="I51" i="8"/>
  <c r="I56" i="8" s="1"/>
  <c r="I64" i="8" s="1"/>
  <c r="I26" i="8"/>
  <c r="I25" i="8"/>
  <c r="F76" i="7"/>
  <c r="I130" i="7"/>
  <c r="I51" i="7"/>
  <c r="I56" i="7" s="1"/>
  <c r="I64" i="7" s="1"/>
  <c r="I26" i="7"/>
  <c r="I25" i="7"/>
  <c r="I27" i="7" s="1"/>
  <c r="I62" i="7" s="1"/>
  <c r="G130" i="7"/>
  <c r="G51" i="7"/>
  <c r="G56" i="7" s="1"/>
  <c r="G64" i="7" s="1"/>
  <c r="G26" i="7"/>
  <c r="G25" i="7"/>
  <c r="G27" i="7" s="1"/>
  <c r="E27" i="7"/>
  <c r="G36" i="7"/>
  <c r="H42" i="17" l="1"/>
  <c r="H63" i="17" s="1"/>
  <c r="H65" i="17" s="1"/>
  <c r="H131" i="17" s="1"/>
  <c r="H91" i="17"/>
  <c r="H101" i="17" s="1"/>
  <c r="H103" i="17" s="1"/>
  <c r="H133" i="17" s="1"/>
  <c r="J40" i="17"/>
  <c r="J35" i="17"/>
  <c r="J62" i="17"/>
  <c r="J38" i="17"/>
  <c r="J34" i="17"/>
  <c r="J41" i="17"/>
  <c r="J91" i="17"/>
  <c r="J101" i="17" s="1"/>
  <c r="J103" i="17" s="1"/>
  <c r="J133" i="17" s="1"/>
  <c r="J73" i="17"/>
  <c r="I76" i="17"/>
  <c r="H73" i="17"/>
  <c r="H76" i="17" s="1"/>
  <c r="H132" i="17" s="1"/>
  <c r="G76" i="17"/>
  <c r="F42" i="17"/>
  <c r="F63" i="17" s="1"/>
  <c r="F65" i="17" s="1"/>
  <c r="F131" i="17" s="1"/>
  <c r="J76" i="17"/>
  <c r="J132" i="17" s="1"/>
  <c r="E62" i="17"/>
  <c r="E86" i="17"/>
  <c r="E69" i="17"/>
  <c r="E90" i="17"/>
  <c r="E34" i="17"/>
  <c r="E42" i="17" s="1"/>
  <c r="E63" i="17" s="1"/>
  <c r="E88" i="17"/>
  <c r="E85" i="17"/>
  <c r="E36" i="17"/>
  <c r="E37" i="17"/>
  <c r="E75" i="17"/>
  <c r="E39" i="17"/>
  <c r="E41" i="17"/>
  <c r="E40" i="17"/>
  <c r="E35" i="17"/>
  <c r="E72" i="17"/>
  <c r="E38" i="17"/>
  <c r="E87" i="17"/>
  <c r="E62" i="8"/>
  <c r="E38" i="8"/>
  <c r="E36" i="8"/>
  <c r="E75" i="8"/>
  <c r="E35" i="8"/>
  <c r="E42" i="8" s="1"/>
  <c r="E63" i="8" s="1"/>
  <c r="E65" i="8" s="1"/>
  <c r="E131" i="8" s="1"/>
  <c r="E39" i="8"/>
  <c r="E86" i="8"/>
  <c r="E85" i="8"/>
  <c r="E34" i="8"/>
  <c r="E40" i="8"/>
  <c r="E72" i="8"/>
  <c r="E69" i="8"/>
  <c r="E90" i="8"/>
  <c r="E41" i="8"/>
  <c r="E87" i="8"/>
  <c r="E37" i="8"/>
  <c r="E88" i="8"/>
  <c r="I27" i="8"/>
  <c r="G27" i="8"/>
  <c r="G41" i="7"/>
  <c r="I36" i="7"/>
  <c r="G75" i="7"/>
  <c r="I39" i="7"/>
  <c r="G38" i="7"/>
  <c r="G35" i="7"/>
  <c r="I87" i="7"/>
  <c r="G69" i="7"/>
  <c r="G72" i="7"/>
  <c r="G87" i="7"/>
  <c r="I34" i="7"/>
  <c r="I35" i="7"/>
  <c r="G74" i="7"/>
  <c r="G34" i="7"/>
  <c r="I88" i="7"/>
  <c r="E62" i="7"/>
  <c r="E40" i="7"/>
  <c r="E90" i="7"/>
  <c r="E88" i="7"/>
  <c r="E72" i="7"/>
  <c r="E34" i="7"/>
  <c r="E75" i="7"/>
  <c r="E41" i="7"/>
  <c r="E35" i="7"/>
  <c r="E36" i="7"/>
  <c r="E69" i="7"/>
  <c r="E85" i="7"/>
  <c r="E39" i="7"/>
  <c r="E86" i="7"/>
  <c r="E38" i="7"/>
  <c r="E87" i="7"/>
  <c r="E37" i="7"/>
  <c r="G39" i="7"/>
  <c r="I41" i="7"/>
  <c r="G71" i="7"/>
  <c r="I40" i="7"/>
  <c r="G40" i="7"/>
  <c r="G73" i="7"/>
  <c r="I90" i="7"/>
  <c r="G90" i="7"/>
  <c r="I86" i="7"/>
  <c r="G62" i="7"/>
  <c r="I85" i="7"/>
  <c r="G85" i="7"/>
  <c r="G88" i="7"/>
  <c r="I37" i="7"/>
  <c r="G37" i="7"/>
  <c r="G86" i="7"/>
  <c r="I38" i="7"/>
  <c r="H135" i="17" l="1"/>
  <c r="J42" i="17"/>
  <c r="J63" i="17" s="1"/>
  <c r="J65" i="17" s="1"/>
  <c r="J131" i="17" s="1"/>
  <c r="J135" i="17" s="1"/>
  <c r="J117" i="17" s="1"/>
  <c r="H118" i="17"/>
  <c r="H117" i="17"/>
  <c r="H119" i="17"/>
  <c r="E65" i="17"/>
  <c r="E131" i="17" s="1"/>
  <c r="G62" i="8"/>
  <c r="G69" i="8"/>
  <c r="G39" i="8"/>
  <c r="G71" i="8"/>
  <c r="I73" i="8"/>
  <c r="G74" i="8"/>
  <c r="G75" i="8"/>
  <c r="G72" i="8"/>
  <c r="G34" i="8"/>
  <c r="G41" i="8"/>
  <c r="G87" i="8"/>
  <c r="G73" i="8"/>
  <c r="I71" i="8"/>
  <c r="I74" i="8"/>
  <c r="I70" i="8"/>
  <c r="G85" i="8"/>
  <c r="G38" i="8"/>
  <c r="G86" i="8"/>
  <c r="G70" i="8"/>
  <c r="I69" i="8"/>
  <c r="G88" i="8"/>
  <c r="G90" i="8"/>
  <c r="I72" i="8"/>
  <c r="G37" i="8"/>
  <c r="G40" i="8"/>
  <c r="G35" i="8"/>
  <c r="I75" i="8"/>
  <c r="I62" i="8"/>
  <c r="I38" i="8"/>
  <c r="I86" i="8"/>
  <c r="I37" i="8"/>
  <c r="I90" i="8"/>
  <c r="I87" i="8"/>
  <c r="I85" i="8"/>
  <c r="I36" i="8"/>
  <c r="I88" i="8"/>
  <c r="I40" i="8"/>
  <c r="I41" i="8"/>
  <c r="I35" i="8"/>
  <c r="I39" i="8"/>
  <c r="I34" i="8"/>
  <c r="I42" i="7"/>
  <c r="I63" i="7" s="1"/>
  <c r="I65" i="7" s="1"/>
  <c r="I131" i="7" s="1"/>
  <c r="G76" i="7"/>
  <c r="G132" i="7" s="1"/>
  <c r="I76" i="7"/>
  <c r="I132" i="7" s="1"/>
  <c r="E42" i="7"/>
  <c r="E63" i="7" s="1"/>
  <c r="E65" i="7" s="1"/>
  <c r="E131" i="7" s="1"/>
  <c r="G42" i="7"/>
  <c r="G63" i="7" s="1"/>
  <c r="G65" i="7" s="1"/>
  <c r="G131" i="7" s="1"/>
  <c r="H123" i="17" l="1"/>
  <c r="H124" i="17" s="1"/>
  <c r="H136" i="17" s="1"/>
  <c r="H137" i="17" s="1"/>
  <c r="J118" i="17"/>
  <c r="J119" i="17" s="1"/>
  <c r="I76" i="8"/>
  <c r="I132" i="8" s="1"/>
  <c r="G76" i="8"/>
  <c r="G132" i="8" s="1"/>
  <c r="I42" i="8"/>
  <c r="I63" i="8" s="1"/>
  <c r="I65" i="8" s="1"/>
  <c r="I131" i="8" s="1"/>
  <c r="G42" i="8"/>
  <c r="G63" i="8" s="1"/>
  <c r="G65" i="8" s="1"/>
  <c r="G131" i="8" s="1"/>
  <c r="J123" i="17" l="1"/>
  <c r="J124" i="17" s="1"/>
  <c r="J136" i="17" s="1"/>
  <c r="J137" i="17" s="1"/>
  <c r="E134" i="13"/>
  <c r="Z111" i="13"/>
  <c r="Z134" i="13" s="1"/>
  <c r="Y111" i="13"/>
  <c r="Y134" i="13" s="1"/>
  <c r="X111" i="13"/>
  <c r="X134" i="13" s="1"/>
  <c r="W111" i="13"/>
  <c r="W134" i="13" s="1"/>
  <c r="V111" i="13"/>
  <c r="V134" i="13" s="1"/>
  <c r="U111" i="13"/>
  <c r="U134" i="13" s="1"/>
  <c r="T111" i="13"/>
  <c r="T134" i="13" s="1"/>
  <c r="R111" i="13"/>
  <c r="R134" i="13" s="1"/>
  <c r="Q111" i="13"/>
  <c r="Q134" i="13" s="1"/>
  <c r="O111" i="13"/>
  <c r="O134" i="13" s="1"/>
  <c r="N111" i="13"/>
  <c r="N134" i="13" s="1"/>
  <c r="M111" i="13"/>
  <c r="M134" i="13" s="1"/>
  <c r="L111" i="13"/>
  <c r="L134" i="13" s="1"/>
  <c r="K111" i="13"/>
  <c r="K134" i="13" s="1"/>
  <c r="J111" i="13"/>
  <c r="J134" i="13" s="1"/>
  <c r="I111" i="13"/>
  <c r="I134" i="13" s="1"/>
  <c r="H111" i="13"/>
  <c r="H134" i="13" s="1"/>
  <c r="G111" i="13"/>
  <c r="G134" i="13" s="1"/>
  <c r="F111" i="13"/>
  <c r="F134" i="13" s="1"/>
  <c r="E111" i="13"/>
  <c r="Z102" i="13"/>
  <c r="Y102" i="13"/>
  <c r="X102" i="13"/>
  <c r="W102" i="13"/>
  <c r="V102" i="13"/>
  <c r="U102" i="13"/>
  <c r="R102" i="13"/>
  <c r="O102" i="13"/>
  <c r="N102" i="13"/>
  <c r="M102" i="13"/>
  <c r="L102" i="13"/>
  <c r="K102" i="13"/>
  <c r="J102" i="13"/>
  <c r="I102" i="13"/>
  <c r="H102" i="13"/>
  <c r="G102" i="13"/>
  <c r="F102" i="13"/>
  <c r="S97" i="13"/>
  <c r="T102" i="13" s="1"/>
  <c r="P97" i="13"/>
  <c r="Q102" i="13" s="1"/>
  <c r="E97" i="13"/>
  <c r="E102" i="13" s="1"/>
  <c r="S88" i="13"/>
  <c r="P88" i="13"/>
  <c r="S87" i="13"/>
  <c r="P87" i="13"/>
  <c r="S86" i="13"/>
  <c r="P86" i="13"/>
  <c r="S74" i="13"/>
  <c r="P74" i="13"/>
  <c r="P72" i="13"/>
  <c r="S71" i="13"/>
  <c r="P71" i="13"/>
  <c r="P70" i="13"/>
  <c r="S69" i="13"/>
  <c r="S70" i="13" s="1"/>
  <c r="P69" i="13"/>
  <c r="P36" i="13"/>
  <c r="E6" i="13"/>
  <c r="E13" i="13" s="1"/>
  <c r="E19" i="13" s="1"/>
  <c r="Z102" i="12"/>
  <c r="Y102" i="12"/>
  <c r="X102" i="12"/>
  <c r="W102" i="12"/>
  <c r="V102" i="12"/>
  <c r="U102" i="12"/>
  <c r="R102" i="12"/>
  <c r="S74" i="12"/>
  <c r="P88" i="12"/>
  <c r="P87" i="12"/>
  <c r="P86" i="12"/>
  <c r="O111" i="12"/>
  <c r="N111" i="12"/>
  <c r="M111" i="12"/>
  <c r="L111" i="12"/>
  <c r="K111" i="12"/>
  <c r="J111" i="12"/>
  <c r="I111" i="12"/>
  <c r="H111" i="12"/>
  <c r="G111" i="12"/>
  <c r="F111" i="12"/>
  <c r="E111" i="12"/>
  <c r="O102" i="12"/>
  <c r="N102" i="12"/>
  <c r="M102" i="12"/>
  <c r="L102" i="12"/>
  <c r="K102" i="12"/>
  <c r="J102" i="12"/>
  <c r="I102" i="12"/>
  <c r="H102" i="12"/>
  <c r="G102" i="12"/>
  <c r="F102" i="12"/>
  <c r="Z111" i="12"/>
  <c r="Z134" i="12" s="1"/>
  <c r="E51" i="13" l="1"/>
  <c r="E56" i="13" s="1"/>
  <c r="E64" i="13" s="1"/>
  <c r="E25" i="13"/>
  <c r="E130" i="13"/>
  <c r="E26" i="13"/>
  <c r="S76" i="13"/>
  <c r="S91" i="13"/>
  <c r="P73" i="13"/>
  <c r="F6" i="13"/>
  <c r="P42" i="13"/>
  <c r="S73" i="13" s="1"/>
  <c r="P89" i="13"/>
  <c r="P91" i="13" s="1"/>
  <c r="S89" i="13"/>
  <c r="F134" i="16"/>
  <c r="E134" i="16"/>
  <c r="G121" i="16"/>
  <c r="G120" i="16"/>
  <c r="G119" i="16" s="1"/>
  <c r="G124" i="16" s="1"/>
  <c r="J111" i="16"/>
  <c r="J134" i="16" s="1"/>
  <c r="H111" i="16"/>
  <c r="H134" i="16" s="1"/>
  <c r="F111" i="16"/>
  <c r="E111" i="16"/>
  <c r="J102" i="16"/>
  <c r="H102" i="16"/>
  <c r="F102" i="16"/>
  <c r="E102" i="16"/>
  <c r="I88" i="16"/>
  <c r="G88" i="16"/>
  <c r="I87" i="16"/>
  <c r="G87" i="16"/>
  <c r="I86" i="16"/>
  <c r="G86" i="16"/>
  <c r="I74" i="16"/>
  <c r="G72" i="16"/>
  <c r="G70" i="16"/>
  <c r="I69" i="16"/>
  <c r="I70" i="16" s="1"/>
  <c r="G69" i="16"/>
  <c r="G71" i="16" s="1"/>
  <c r="J52" i="16"/>
  <c r="H52" i="16"/>
  <c r="F52" i="16"/>
  <c r="E52" i="16"/>
  <c r="G36" i="16"/>
  <c r="F6" i="16"/>
  <c r="E6" i="16"/>
  <c r="E13" i="16" s="1"/>
  <c r="E19" i="16" s="1"/>
  <c r="F134" i="15"/>
  <c r="E134" i="15"/>
  <c r="G121" i="15"/>
  <c r="G120" i="15"/>
  <c r="G119" i="15" s="1"/>
  <c r="G124" i="15" s="1"/>
  <c r="J111" i="15"/>
  <c r="J134" i="15" s="1"/>
  <c r="H111" i="15"/>
  <c r="H134" i="15" s="1"/>
  <c r="F111" i="15"/>
  <c r="E111" i="15"/>
  <c r="J102" i="15"/>
  <c r="H102" i="15"/>
  <c r="F102" i="15"/>
  <c r="E102" i="15"/>
  <c r="I88" i="15"/>
  <c r="G88" i="15"/>
  <c r="I87" i="15"/>
  <c r="G87" i="15"/>
  <c r="I86" i="15"/>
  <c r="G86" i="15"/>
  <c r="I74" i="15"/>
  <c r="G72" i="15"/>
  <c r="G70" i="15"/>
  <c r="I69" i="15"/>
  <c r="I70" i="15" s="1"/>
  <c r="G69" i="15"/>
  <c r="J52" i="15"/>
  <c r="H52" i="15"/>
  <c r="F52" i="15"/>
  <c r="E52" i="15"/>
  <c r="G36" i="15"/>
  <c r="E6" i="15"/>
  <c r="I88" i="6"/>
  <c r="I87" i="6"/>
  <c r="I86" i="6"/>
  <c r="G88" i="6"/>
  <c r="G87" i="6"/>
  <c r="G86" i="6"/>
  <c r="I74" i="6"/>
  <c r="I69" i="6"/>
  <c r="I70" i="6" s="1"/>
  <c r="G72" i="6"/>
  <c r="G74" i="6" s="1"/>
  <c r="G69" i="6"/>
  <c r="G70" i="6" s="1"/>
  <c r="C72" i="6"/>
  <c r="C74" i="6" s="1"/>
  <c r="J52" i="6"/>
  <c r="H52" i="6"/>
  <c r="G36" i="6"/>
  <c r="G42" i="6" s="1"/>
  <c r="I73" i="6" s="1"/>
  <c r="G120" i="6"/>
  <c r="G121" i="6"/>
  <c r="F52" i="6"/>
  <c r="F13" i="16" l="1"/>
  <c r="F19" i="16" s="1"/>
  <c r="F130" i="16" s="1"/>
  <c r="G6" i="16"/>
  <c r="E13" i="15"/>
  <c r="E19" i="15" s="1"/>
  <c r="E51" i="15" s="1"/>
  <c r="E56" i="15" s="1"/>
  <c r="E64" i="15" s="1"/>
  <c r="F6" i="15"/>
  <c r="F13" i="13"/>
  <c r="F19" i="13" s="1"/>
  <c r="G6" i="13"/>
  <c r="P76" i="13"/>
  <c r="E27" i="13"/>
  <c r="E26" i="16"/>
  <c r="E51" i="16"/>
  <c r="E56" i="16" s="1"/>
  <c r="E64" i="16" s="1"/>
  <c r="E25" i="16"/>
  <c r="E130" i="16"/>
  <c r="F51" i="16"/>
  <c r="F56" i="16" s="1"/>
  <c r="F64" i="16" s="1"/>
  <c r="F25" i="16"/>
  <c r="F26" i="16"/>
  <c r="G74" i="16"/>
  <c r="I71" i="16"/>
  <c r="G42" i="16"/>
  <c r="I73" i="16" s="1"/>
  <c r="I76" i="16" s="1"/>
  <c r="G89" i="16"/>
  <c r="G91" i="16" s="1"/>
  <c r="I89" i="16"/>
  <c r="I91" i="16" s="1"/>
  <c r="E26" i="15"/>
  <c r="E25" i="15"/>
  <c r="E130" i="15"/>
  <c r="G71" i="15"/>
  <c r="G74" i="15"/>
  <c r="I71" i="15"/>
  <c r="G42" i="15"/>
  <c r="I76" i="15"/>
  <c r="G89" i="15"/>
  <c r="G91" i="15" s="1"/>
  <c r="I89" i="15"/>
  <c r="I71" i="6"/>
  <c r="I76" i="6" s="1"/>
  <c r="G71" i="6"/>
  <c r="G73" i="6"/>
  <c r="G119" i="6"/>
  <c r="G124" i="6" s="1"/>
  <c r="I6" i="16" l="1"/>
  <c r="J13" i="16" s="1"/>
  <c r="J19" i="16" s="1"/>
  <c r="H13" i="16"/>
  <c r="H19" i="16" s="1"/>
  <c r="G73" i="16"/>
  <c r="G76" i="16" s="1"/>
  <c r="G6" i="15"/>
  <c r="F13" i="15"/>
  <c r="F19" i="15" s="1"/>
  <c r="E27" i="15"/>
  <c r="E62" i="13"/>
  <c r="E39" i="13"/>
  <c r="E85" i="13"/>
  <c r="E37" i="13"/>
  <c r="E88" i="13"/>
  <c r="E35" i="13"/>
  <c r="E36" i="13"/>
  <c r="E69" i="13"/>
  <c r="E40" i="13"/>
  <c r="E75" i="13"/>
  <c r="E38" i="13"/>
  <c r="E72" i="13"/>
  <c r="E34" i="13"/>
  <c r="E42" i="13" s="1"/>
  <c r="E63" i="13" s="1"/>
  <c r="E41" i="13"/>
  <c r="E86" i="13"/>
  <c r="E90" i="13"/>
  <c r="E87" i="13"/>
  <c r="G13" i="13"/>
  <c r="G19" i="13" s="1"/>
  <c r="H6" i="13"/>
  <c r="F51" i="13"/>
  <c r="F56" i="13" s="1"/>
  <c r="F64" i="13" s="1"/>
  <c r="F25" i="13"/>
  <c r="F130" i="13"/>
  <c r="F26" i="13"/>
  <c r="F27" i="16"/>
  <c r="F62" i="16" s="1"/>
  <c r="E88" i="15"/>
  <c r="E41" i="15"/>
  <c r="E40" i="15"/>
  <c r="E69" i="15"/>
  <c r="E86" i="15"/>
  <c r="E37" i="15"/>
  <c r="E35" i="15"/>
  <c r="E27" i="16"/>
  <c r="E39" i="15"/>
  <c r="I91" i="15"/>
  <c r="G73" i="15"/>
  <c r="G76" i="15" s="1"/>
  <c r="G76" i="6"/>
  <c r="H51" i="16" l="1"/>
  <c r="H56" i="16" s="1"/>
  <c r="H64" i="16" s="1"/>
  <c r="H25" i="16"/>
  <c r="H130" i="16"/>
  <c r="H26" i="16"/>
  <c r="J51" i="16"/>
  <c r="J56" i="16" s="1"/>
  <c r="J64" i="16" s="1"/>
  <c r="J25" i="16"/>
  <c r="J27" i="16" s="1"/>
  <c r="J40" i="16" s="1"/>
  <c r="J130" i="16"/>
  <c r="J26" i="16"/>
  <c r="F72" i="16"/>
  <c r="F86" i="16"/>
  <c r="F88" i="16"/>
  <c r="F87" i="16"/>
  <c r="F85" i="16"/>
  <c r="E62" i="15"/>
  <c r="E85" i="15"/>
  <c r="E36" i="15"/>
  <c r="E42" i="15" s="1"/>
  <c r="E63" i="15" s="1"/>
  <c r="E65" i="15" s="1"/>
  <c r="E131" i="15" s="1"/>
  <c r="F130" i="15"/>
  <c r="F25" i="15"/>
  <c r="F26" i="15"/>
  <c r="F51" i="15"/>
  <c r="F56" i="15" s="1"/>
  <c r="F64" i="15" s="1"/>
  <c r="E75" i="15"/>
  <c r="I6" i="15"/>
  <c r="J13" i="15" s="1"/>
  <c r="J19" i="15" s="1"/>
  <c r="H13" i="15"/>
  <c r="H19" i="15" s="1"/>
  <c r="E72" i="15"/>
  <c r="E90" i="15"/>
  <c r="E38" i="15"/>
  <c r="E87" i="15"/>
  <c r="E34" i="15"/>
  <c r="E65" i="13"/>
  <c r="E131" i="13" s="1"/>
  <c r="F27" i="13"/>
  <c r="H13" i="13"/>
  <c r="H19" i="13" s="1"/>
  <c r="I6" i="13"/>
  <c r="G25" i="13"/>
  <c r="G51" i="13"/>
  <c r="G56" i="13" s="1"/>
  <c r="G64" i="13" s="1"/>
  <c r="G130" i="13"/>
  <c r="G26" i="13"/>
  <c r="F40" i="16"/>
  <c r="F69" i="16"/>
  <c r="F38" i="16"/>
  <c r="F41" i="16"/>
  <c r="F75" i="16"/>
  <c r="F34" i="16"/>
  <c r="F42" i="16" s="1"/>
  <c r="F63" i="16" s="1"/>
  <c r="F65" i="16" s="1"/>
  <c r="F131" i="16" s="1"/>
  <c r="F35" i="16"/>
  <c r="F36" i="16"/>
  <c r="F37" i="16"/>
  <c r="F90" i="16"/>
  <c r="F39" i="16"/>
  <c r="J62" i="16"/>
  <c r="J39" i="16"/>
  <c r="J38" i="16"/>
  <c r="J41" i="16"/>
  <c r="J37" i="16"/>
  <c r="E62" i="16"/>
  <c r="E90" i="16"/>
  <c r="E87" i="16"/>
  <c r="E41" i="16"/>
  <c r="E38" i="16"/>
  <c r="E37" i="16"/>
  <c r="E36" i="16"/>
  <c r="E40" i="16"/>
  <c r="E34" i="16"/>
  <c r="E88" i="16"/>
  <c r="E39" i="16"/>
  <c r="E85" i="16"/>
  <c r="E75" i="16"/>
  <c r="E72" i="16"/>
  <c r="E35" i="16"/>
  <c r="E69" i="16"/>
  <c r="E86" i="16"/>
  <c r="J34" i="16" l="1"/>
  <c r="J35" i="16"/>
  <c r="H27" i="16"/>
  <c r="H26" i="15"/>
  <c r="H51" i="15"/>
  <c r="H56" i="15" s="1"/>
  <c r="H64" i="15" s="1"/>
  <c r="H25" i="15"/>
  <c r="H27" i="15" s="1"/>
  <c r="J87" i="15" s="1"/>
  <c r="H130" i="15"/>
  <c r="J86" i="15"/>
  <c r="J26" i="15"/>
  <c r="J51" i="15"/>
  <c r="J56" i="15" s="1"/>
  <c r="J64" i="15" s="1"/>
  <c r="J25" i="15"/>
  <c r="J130" i="15"/>
  <c r="F27" i="15"/>
  <c r="G27" i="13"/>
  <c r="H25" i="13"/>
  <c r="H130" i="13"/>
  <c r="H26" i="13"/>
  <c r="H51" i="13"/>
  <c r="H56" i="13" s="1"/>
  <c r="H64" i="13" s="1"/>
  <c r="F62" i="13"/>
  <c r="F38" i="13"/>
  <c r="F72" i="13"/>
  <c r="F69" i="13"/>
  <c r="F34" i="13"/>
  <c r="F86" i="13"/>
  <c r="F41" i="13"/>
  <c r="F75" i="13"/>
  <c r="F37" i="13"/>
  <c r="F88" i="13"/>
  <c r="F87" i="13"/>
  <c r="F85" i="13"/>
  <c r="F90" i="13"/>
  <c r="F39" i="13"/>
  <c r="F40" i="13"/>
  <c r="F35" i="13"/>
  <c r="F36" i="13"/>
  <c r="I13" i="13"/>
  <c r="I19" i="13" s="1"/>
  <c r="J6" i="13"/>
  <c r="E42" i="16"/>
  <c r="E63" i="16" s="1"/>
  <c r="E65" i="16" s="1"/>
  <c r="E131" i="16" s="1"/>
  <c r="H73" i="16" l="1"/>
  <c r="H87" i="16"/>
  <c r="H86" i="16"/>
  <c r="H90" i="16"/>
  <c r="H34" i="16"/>
  <c r="H72" i="16"/>
  <c r="J88" i="16"/>
  <c r="J86" i="16"/>
  <c r="H88" i="16"/>
  <c r="H62" i="16"/>
  <c r="J71" i="16"/>
  <c r="J75" i="16"/>
  <c r="J70" i="16"/>
  <c r="J73" i="16"/>
  <c r="H41" i="16"/>
  <c r="H38" i="16"/>
  <c r="H89" i="16"/>
  <c r="J72" i="16"/>
  <c r="J36" i="16"/>
  <c r="J42" i="16" s="1"/>
  <c r="J63" i="16" s="1"/>
  <c r="J65" i="16" s="1"/>
  <c r="J131" i="16" s="1"/>
  <c r="H74" i="16"/>
  <c r="J89" i="16"/>
  <c r="H37" i="16"/>
  <c r="J69" i="16"/>
  <c r="H75" i="16"/>
  <c r="H36" i="16"/>
  <c r="J87" i="16"/>
  <c r="J85" i="16"/>
  <c r="H39" i="16"/>
  <c r="J74" i="16"/>
  <c r="H69" i="16"/>
  <c r="H71" i="16"/>
  <c r="H85" i="16"/>
  <c r="H70" i="16"/>
  <c r="J90" i="16"/>
  <c r="H40" i="16"/>
  <c r="H35" i="16"/>
  <c r="J89" i="15"/>
  <c r="H74" i="15"/>
  <c r="H85" i="15"/>
  <c r="H89" i="15"/>
  <c r="H36" i="15"/>
  <c r="H62" i="15"/>
  <c r="J75" i="15"/>
  <c r="H41" i="15"/>
  <c r="J73" i="15"/>
  <c r="H35" i="15"/>
  <c r="H37" i="15"/>
  <c r="J88" i="15"/>
  <c r="H69" i="15"/>
  <c r="J72" i="15"/>
  <c r="H73" i="15"/>
  <c r="J74" i="15"/>
  <c r="H39" i="15"/>
  <c r="J36" i="15"/>
  <c r="J85" i="15"/>
  <c r="H87" i="15"/>
  <c r="F88" i="15"/>
  <c r="F90" i="15"/>
  <c r="F38" i="15"/>
  <c r="F87" i="15"/>
  <c r="F62" i="15"/>
  <c r="F34" i="15"/>
  <c r="F36" i="15"/>
  <c r="F85" i="15"/>
  <c r="F41" i="15"/>
  <c r="F40" i="15"/>
  <c r="F39" i="15"/>
  <c r="F37" i="15"/>
  <c r="F75" i="15"/>
  <c r="F72" i="15"/>
  <c r="F35" i="15"/>
  <c r="F86" i="15"/>
  <c r="F69" i="15"/>
  <c r="H38" i="15"/>
  <c r="H40" i="15"/>
  <c r="J90" i="15"/>
  <c r="H34" i="15"/>
  <c r="J71" i="15"/>
  <c r="H75" i="15"/>
  <c r="H90" i="15"/>
  <c r="J70" i="15"/>
  <c r="H86" i="15"/>
  <c r="H88" i="15"/>
  <c r="H71" i="15"/>
  <c r="H70" i="15"/>
  <c r="J27" i="15"/>
  <c r="H72" i="15"/>
  <c r="J69" i="15"/>
  <c r="H27" i="13"/>
  <c r="J13" i="13"/>
  <c r="J19" i="13" s="1"/>
  <c r="K6" i="13"/>
  <c r="I75" i="13"/>
  <c r="I38" i="13"/>
  <c r="I37" i="13"/>
  <c r="I130" i="13"/>
  <c r="I26" i="13"/>
  <c r="I51" i="13"/>
  <c r="I56" i="13" s="1"/>
  <c r="I64" i="13" s="1"/>
  <c r="I25" i="13"/>
  <c r="I27" i="13" s="1"/>
  <c r="I62" i="13" s="1"/>
  <c r="G62" i="13"/>
  <c r="G34" i="13"/>
  <c r="G86" i="13"/>
  <c r="G69" i="13"/>
  <c r="G41" i="13"/>
  <c r="G37" i="13"/>
  <c r="G87" i="13"/>
  <c r="G88" i="13"/>
  <c r="G39" i="13"/>
  <c r="G36" i="13"/>
  <c r="G85" i="13"/>
  <c r="G35" i="13"/>
  <c r="G40" i="13"/>
  <c r="G75" i="13"/>
  <c r="G90" i="13"/>
  <c r="G38" i="13"/>
  <c r="G72" i="13"/>
  <c r="F42" i="13"/>
  <c r="F63" i="13" s="1"/>
  <c r="F65" i="13" s="1"/>
  <c r="F131" i="13" s="1"/>
  <c r="G42" i="13" l="1"/>
  <c r="G63" i="13" s="1"/>
  <c r="I85" i="13"/>
  <c r="I90" i="13"/>
  <c r="I35" i="13"/>
  <c r="I88" i="13"/>
  <c r="J91" i="16"/>
  <c r="J101" i="16" s="1"/>
  <c r="J103" i="16" s="1"/>
  <c r="J133" i="16" s="1"/>
  <c r="H76" i="16"/>
  <c r="H132" i="16" s="1"/>
  <c r="H42" i="16"/>
  <c r="H63" i="16" s="1"/>
  <c r="H65" i="16" s="1"/>
  <c r="H131" i="16" s="1"/>
  <c r="J76" i="16"/>
  <c r="J132" i="16" s="1"/>
  <c r="J135" i="16" s="1"/>
  <c r="H91" i="16"/>
  <c r="H101" i="16" s="1"/>
  <c r="H103" i="16" s="1"/>
  <c r="H133" i="16" s="1"/>
  <c r="H76" i="15"/>
  <c r="H132" i="15" s="1"/>
  <c r="J76" i="15"/>
  <c r="J132" i="15" s="1"/>
  <c r="H42" i="15"/>
  <c r="H63" i="15" s="1"/>
  <c r="H65" i="15" s="1"/>
  <c r="H131" i="15" s="1"/>
  <c r="J91" i="15"/>
  <c r="J101" i="15" s="1"/>
  <c r="J103" i="15" s="1"/>
  <c r="J133" i="15" s="1"/>
  <c r="H91" i="15"/>
  <c r="H101" i="15" s="1"/>
  <c r="H103" i="15" s="1"/>
  <c r="H133" i="15" s="1"/>
  <c r="J62" i="15"/>
  <c r="J34" i="15"/>
  <c r="J37" i="15"/>
  <c r="J40" i="15"/>
  <c r="J38" i="15"/>
  <c r="J35" i="15"/>
  <c r="J39" i="15"/>
  <c r="J41" i="15"/>
  <c r="F42" i="15"/>
  <c r="F63" i="15" s="1"/>
  <c r="F65" i="15" s="1"/>
  <c r="F131" i="15" s="1"/>
  <c r="I41" i="13"/>
  <c r="I39" i="13"/>
  <c r="I69" i="13"/>
  <c r="G65" i="13"/>
  <c r="G131" i="13" s="1"/>
  <c r="I87" i="13"/>
  <c r="I86" i="13"/>
  <c r="I34" i="13"/>
  <c r="I72" i="13"/>
  <c r="I36" i="13"/>
  <c r="K13" i="13"/>
  <c r="K19" i="13" s="1"/>
  <c r="L6" i="13"/>
  <c r="J26" i="13"/>
  <c r="J130" i="13"/>
  <c r="J51" i="13"/>
  <c r="J56" i="13" s="1"/>
  <c r="J64" i="13" s="1"/>
  <c r="J25" i="13"/>
  <c r="I40" i="13"/>
  <c r="H62" i="13"/>
  <c r="H69" i="13"/>
  <c r="H41" i="13"/>
  <c r="H37" i="13"/>
  <c r="H88" i="13"/>
  <c r="H85" i="13"/>
  <c r="H40" i="13"/>
  <c r="H35" i="13"/>
  <c r="H90" i="13"/>
  <c r="H39" i="13"/>
  <c r="H36" i="13"/>
  <c r="H75" i="13"/>
  <c r="H38" i="13"/>
  <c r="H86" i="13"/>
  <c r="H72" i="13"/>
  <c r="H34" i="13"/>
  <c r="H87" i="13"/>
  <c r="J27" i="13" l="1"/>
  <c r="J117" i="16"/>
  <c r="J118" i="16"/>
  <c r="J119" i="16"/>
  <c r="J123" i="16"/>
  <c r="H135" i="16"/>
  <c r="H135" i="15"/>
  <c r="J42" i="15"/>
  <c r="J63" i="15" s="1"/>
  <c r="J65" i="15" s="1"/>
  <c r="J131" i="15" s="1"/>
  <c r="J135" i="15" s="1"/>
  <c r="J124" i="16"/>
  <c r="J136" i="16" s="1"/>
  <c r="J137" i="16" s="1"/>
  <c r="I42" i="13"/>
  <c r="I63" i="13" s="1"/>
  <c r="I65" i="13" s="1"/>
  <c r="I131" i="13" s="1"/>
  <c r="J37" i="13"/>
  <c r="J69" i="13"/>
  <c r="J39" i="13"/>
  <c r="J86" i="13"/>
  <c r="J34" i="13"/>
  <c r="H42" i="13"/>
  <c r="H63" i="13" s="1"/>
  <c r="H65" i="13" s="1"/>
  <c r="H131" i="13" s="1"/>
  <c r="J87" i="13"/>
  <c r="L13" i="13"/>
  <c r="L19" i="13" s="1"/>
  <c r="M6" i="13"/>
  <c r="J72" i="13"/>
  <c r="J90" i="13"/>
  <c r="J40" i="13"/>
  <c r="K130" i="13"/>
  <c r="K26" i="13"/>
  <c r="K51" i="13"/>
  <c r="K56" i="13" s="1"/>
  <c r="K64" i="13" s="1"/>
  <c r="K25" i="13"/>
  <c r="J75" i="13"/>
  <c r="J62" i="13" l="1"/>
  <c r="J85" i="13"/>
  <c r="J35" i="13"/>
  <c r="J42" i="13" s="1"/>
  <c r="J63" i="13" s="1"/>
  <c r="J65" i="13" s="1"/>
  <c r="J131" i="13" s="1"/>
  <c r="J88" i="13"/>
  <c r="J41" i="13"/>
  <c r="J36" i="13"/>
  <c r="J38" i="13"/>
  <c r="H117" i="16"/>
  <c r="H118" i="16"/>
  <c r="J117" i="15"/>
  <c r="J118" i="15"/>
  <c r="J119" i="15"/>
  <c r="J123" i="15"/>
  <c r="J124" i="15" s="1"/>
  <c r="J136" i="15" s="1"/>
  <c r="J137" i="15" s="1"/>
  <c r="H118" i="15"/>
  <c r="H117" i="15"/>
  <c r="K27" i="13"/>
  <c r="M13" i="13"/>
  <c r="M19" i="13" s="1"/>
  <c r="N6" i="13"/>
  <c r="L130" i="13"/>
  <c r="L26" i="13"/>
  <c r="L51" i="13"/>
  <c r="L56" i="13" s="1"/>
  <c r="L64" i="13" s="1"/>
  <c r="L25" i="13"/>
  <c r="H123" i="16" l="1"/>
  <c r="H119" i="16"/>
  <c r="H119" i="15"/>
  <c r="H123" i="15"/>
  <c r="K62" i="13"/>
  <c r="K69" i="13"/>
  <c r="K35" i="13"/>
  <c r="K41" i="13"/>
  <c r="K85" i="13"/>
  <c r="K88" i="13"/>
  <c r="K40" i="13"/>
  <c r="K36" i="13"/>
  <c r="K90" i="13"/>
  <c r="K75" i="13"/>
  <c r="K38" i="13"/>
  <c r="K37" i="13"/>
  <c r="K87" i="13"/>
  <c r="K86" i="13"/>
  <c r="K72" i="13"/>
  <c r="K34" i="13"/>
  <c r="K39" i="13"/>
  <c r="N13" i="13"/>
  <c r="N19" i="13" s="1"/>
  <c r="O6" i="13"/>
  <c r="L27" i="13"/>
  <c r="M130" i="13"/>
  <c r="M26" i="13"/>
  <c r="M51" i="13"/>
  <c r="M56" i="13" s="1"/>
  <c r="M64" i="13" s="1"/>
  <c r="M25" i="13"/>
  <c r="M27" i="13" s="1"/>
  <c r="M62" i="13" s="1"/>
  <c r="M38" i="13"/>
  <c r="M75" i="13" l="1"/>
  <c r="H124" i="16"/>
  <c r="H136" i="16" s="1"/>
  <c r="H137" i="16" s="1"/>
  <c r="H124" i="15"/>
  <c r="H136" i="15" s="1"/>
  <c r="H137" i="15" s="1"/>
  <c r="M85" i="13"/>
  <c r="M37" i="13"/>
  <c r="M69" i="13"/>
  <c r="M41" i="13"/>
  <c r="M86" i="13"/>
  <c r="M87" i="13"/>
  <c r="P6" i="13"/>
  <c r="O13" i="13"/>
  <c r="O19" i="13" s="1"/>
  <c r="L62" i="13"/>
  <c r="L72" i="13"/>
  <c r="L40" i="13"/>
  <c r="L34" i="13"/>
  <c r="L87" i="13"/>
  <c r="L35" i="13"/>
  <c r="L38" i="13"/>
  <c r="L88" i="13"/>
  <c r="L90" i="13"/>
  <c r="L86" i="13"/>
  <c r="L41" i="13"/>
  <c r="L69" i="13"/>
  <c r="L39" i="13"/>
  <c r="L37" i="13"/>
  <c r="L85" i="13"/>
  <c r="L75" i="13"/>
  <c r="L36" i="13"/>
  <c r="N26" i="13"/>
  <c r="N130" i="13"/>
  <c r="N51" i="13"/>
  <c r="N56" i="13" s="1"/>
  <c r="N64" i="13" s="1"/>
  <c r="N25" i="13"/>
  <c r="K65" i="13"/>
  <c r="K131" i="13" s="1"/>
  <c r="M35" i="13"/>
  <c r="M36" i="13"/>
  <c r="M88" i="13"/>
  <c r="M39" i="13"/>
  <c r="M90" i="13"/>
  <c r="K42" i="13"/>
  <c r="K63" i="13" s="1"/>
  <c r="M34" i="13"/>
  <c r="M72" i="13"/>
  <c r="M40" i="13"/>
  <c r="O130" i="13" l="1"/>
  <c r="O26" i="13"/>
  <c r="O51" i="13"/>
  <c r="O56" i="13" s="1"/>
  <c r="O64" i="13" s="1"/>
  <c r="O25" i="13"/>
  <c r="Q13" i="13"/>
  <c r="Q19" i="13" s="1"/>
  <c r="R6" i="13"/>
  <c r="M42" i="13"/>
  <c r="M63" i="13" s="1"/>
  <c r="M65" i="13" s="1"/>
  <c r="M131" i="13" s="1"/>
  <c r="N27" i="13"/>
  <c r="L42" i="13"/>
  <c r="L63" i="13" s="1"/>
  <c r="L65" i="13" s="1"/>
  <c r="L131" i="13" s="1"/>
  <c r="Q130" i="13" l="1"/>
  <c r="Q26" i="13"/>
  <c r="Q51" i="13"/>
  <c r="Q56" i="13" s="1"/>
  <c r="Q64" i="13" s="1"/>
  <c r="Q25" i="13"/>
  <c r="S6" i="13"/>
  <c r="R13" i="13"/>
  <c r="R19" i="13" s="1"/>
  <c r="O27" i="13"/>
  <c r="N62" i="13"/>
  <c r="N87" i="13"/>
  <c r="N85" i="13"/>
  <c r="N75" i="13"/>
  <c r="N40" i="13"/>
  <c r="N36" i="13"/>
  <c r="N39" i="13"/>
  <c r="N35" i="13"/>
  <c r="N34" i="13"/>
  <c r="N69" i="13"/>
  <c r="N37" i="13"/>
  <c r="N90" i="13"/>
  <c r="N41" i="13"/>
  <c r="N72" i="13"/>
  <c r="N88" i="13"/>
  <c r="N38" i="13"/>
  <c r="N86" i="13"/>
  <c r="R130" i="13" l="1"/>
  <c r="R26" i="13"/>
  <c r="R51" i="13"/>
  <c r="R56" i="13" s="1"/>
  <c r="R64" i="13" s="1"/>
  <c r="R25" i="13"/>
  <c r="R27" i="13" s="1"/>
  <c r="R62" i="13" s="1"/>
  <c r="R38" i="13"/>
  <c r="N42" i="13"/>
  <c r="N63" i="13" s="1"/>
  <c r="N65" i="13" s="1"/>
  <c r="N131" i="13" s="1"/>
  <c r="Q27" i="13"/>
  <c r="U6" i="13"/>
  <c r="T13" i="13"/>
  <c r="T19" i="13" s="1"/>
  <c r="O62" i="13"/>
  <c r="O39" i="13"/>
  <c r="O69" i="13"/>
  <c r="O34" i="13"/>
  <c r="O36" i="13"/>
  <c r="O41" i="13"/>
  <c r="O35" i="13"/>
  <c r="O75" i="13"/>
  <c r="O40" i="13"/>
  <c r="O86" i="13"/>
  <c r="O37" i="13"/>
  <c r="O38" i="13"/>
  <c r="O88" i="13"/>
  <c r="O72" i="13"/>
  <c r="O87" i="13"/>
  <c r="O85" i="13"/>
  <c r="O90" i="13"/>
  <c r="Q62" i="13" l="1"/>
  <c r="Q34" i="13"/>
  <c r="Q40" i="13"/>
  <c r="Q90" i="13"/>
  <c r="Q39" i="13"/>
  <c r="Q73" i="13"/>
  <c r="Q35" i="13"/>
  <c r="Q41" i="13"/>
  <c r="Q36" i="13"/>
  <c r="Q87" i="13"/>
  <c r="Q75" i="13"/>
  <c r="Q86" i="13"/>
  <c r="Q37" i="13"/>
  <c r="Q88" i="13"/>
  <c r="Q72" i="13"/>
  <c r="Q38" i="13"/>
  <c r="Q69" i="13"/>
  <c r="Q89" i="13"/>
  <c r="Q85" i="13"/>
  <c r="T130" i="13"/>
  <c r="T26" i="13"/>
  <c r="T51" i="13"/>
  <c r="T56" i="13" s="1"/>
  <c r="T64" i="13" s="1"/>
  <c r="T25" i="13"/>
  <c r="O42" i="13"/>
  <c r="O63" i="13" s="1"/>
  <c r="O65" i="13" s="1"/>
  <c r="O131" i="13" s="1"/>
  <c r="R87" i="13"/>
  <c r="R36" i="13"/>
  <c r="R90" i="13"/>
  <c r="R37" i="13"/>
  <c r="V6" i="13"/>
  <c r="U13" i="13"/>
  <c r="U19" i="13" s="1"/>
  <c r="R35" i="13"/>
  <c r="R39" i="13"/>
  <c r="R41" i="13"/>
  <c r="R40" i="13"/>
  <c r="R72" i="13"/>
  <c r="R89" i="13"/>
  <c r="R88" i="13"/>
  <c r="R69" i="13"/>
  <c r="R85" i="13"/>
  <c r="R75" i="13"/>
  <c r="R73" i="13"/>
  <c r="R86" i="13"/>
  <c r="V13" i="13" l="1"/>
  <c r="V19" i="13" s="1"/>
  <c r="W6" i="13"/>
  <c r="Q42" i="13"/>
  <c r="Q63" i="13" s="1"/>
  <c r="Q65" i="13" s="1"/>
  <c r="Q131" i="13" s="1"/>
  <c r="R34" i="13"/>
  <c r="R42" i="13" s="1"/>
  <c r="R63" i="13" s="1"/>
  <c r="R65" i="13" s="1"/>
  <c r="R131" i="13" s="1"/>
  <c r="U130" i="13"/>
  <c r="U26" i="13"/>
  <c r="U51" i="13"/>
  <c r="U56" i="13" s="1"/>
  <c r="U64" i="13" s="1"/>
  <c r="U25" i="13"/>
  <c r="R91" i="13"/>
  <c r="R101" i="13" s="1"/>
  <c r="R103" i="13" s="1"/>
  <c r="R133" i="13" s="1"/>
  <c r="Q91" i="13"/>
  <c r="Q101" i="13" s="1"/>
  <c r="Q103" i="13" s="1"/>
  <c r="Q133" i="13" s="1"/>
  <c r="T27" i="13"/>
  <c r="T62" i="13" l="1"/>
  <c r="T87" i="13"/>
  <c r="T85" i="13"/>
  <c r="T89" i="13"/>
  <c r="T72" i="13"/>
  <c r="T40" i="13"/>
  <c r="T36" i="13"/>
  <c r="T74" i="13"/>
  <c r="T75" i="13"/>
  <c r="T38" i="13"/>
  <c r="T41" i="13"/>
  <c r="T35" i="13"/>
  <c r="T86" i="13"/>
  <c r="T37" i="13"/>
  <c r="T39" i="13"/>
  <c r="T73" i="13"/>
  <c r="T34" i="13"/>
  <c r="T88" i="13"/>
  <c r="T90" i="13"/>
  <c r="T69" i="13"/>
  <c r="W13" i="13"/>
  <c r="W19" i="13" s="1"/>
  <c r="X6" i="13"/>
  <c r="U27" i="13"/>
  <c r="V130" i="13"/>
  <c r="V26" i="13"/>
  <c r="V51" i="13"/>
  <c r="V56" i="13" s="1"/>
  <c r="V64" i="13" s="1"/>
  <c r="V25" i="13"/>
  <c r="V27" i="13" s="1"/>
  <c r="V62" i="13" s="1"/>
  <c r="V75" i="13"/>
  <c r="V39" i="13" l="1"/>
  <c r="V36" i="13"/>
  <c r="V40" i="13"/>
  <c r="V86" i="13"/>
  <c r="V89" i="13"/>
  <c r="V87" i="13"/>
  <c r="V74" i="13"/>
  <c r="V35" i="13"/>
  <c r="T91" i="13"/>
  <c r="T101" i="13" s="1"/>
  <c r="T103" i="13" s="1"/>
  <c r="T133" i="13" s="1"/>
  <c r="X13" i="13"/>
  <c r="X19" i="13" s="1"/>
  <c r="Y6" i="13"/>
  <c r="V37" i="13"/>
  <c r="V41" i="13"/>
  <c r="W51" i="13"/>
  <c r="W56" i="13" s="1"/>
  <c r="W64" i="13" s="1"/>
  <c r="W25" i="13"/>
  <c r="W26" i="13"/>
  <c r="W130" i="13"/>
  <c r="V85" i="13"/>
  <c r="V90" i="13"/>
  <c r="U62" i="13"/>
  <c r="U87" i="13"/>
  <c r="U74" i="13"/>
  <c r="U73" i="13"/>
  <c r="U35" i="13"/>
  <c r="U37" i="13"/>
  <c r="U36" i="13"/>
  <c r="U89" i="13"/>
  <c r="U86" i="13"/>
  <c r="U88" i="13"/>
  <c r="U39" i="13"/>
  <c r="U72" i="13"/>
  <c r="U69" i="13"/>
  <c r="U75" i="13"/>
  <c r="U85" i="13"/>
  <c r="U38" i="13"/>
  <c r="U40" i="13"/>
  <c r="U41" i="13"/>
  <c r="U90" i="13"/>
  <c r="V88" i="13"/>
  <c r="V38" i="13"/>
  <c r="V73" i="13"/>
  <c r="T42" i="13"/>
  <c r="T63" i="13" s="1"/>
  <c r="T65" i="13" s="1"/>
  <c r="T131" i="13" s="1"/>
  <c r="U34" i="13"/>
  <c r="V69" i="13"/>
  <c r="V72" i="13"/>
  <c r="U91" i="13" l="1"/>
  <c r="U101" i="13" s="1"/>
  <c r="U103" i="13" s="1"/>
  <c r="U133" i="13" s="1"/>
  <c r="W27" i="13"/>
  <c r="X51" i="13"/>
  <c r="X56" i="13" s="1"/>
  <c r="X64" i="13" s="1"/>
  <c r="X25" i="13"/>
  <c r="X27" i="13" s="1"/>
  <c r="X62" i="13" s="1"/>
  <c r="X86" i="13"/>
  <c r="X75" i="13"/>
  <c r="X72" i="13"/>
  <c r="X130" i="13"/>
  <c r="X26" i="13"/>
  <c r="W40" i="13"/>
  <c r="V91" i="13"/>
  <c r="V101" i="13" s="1"/>
  <c r="V103" i="13" s="1"/>
  <c r="V133" i="13" s="1"/>
  <c r="U42" i="13"/>
  <c r="U63" i="13" s="1"/>
  <c r="U65" i="13" s="1"/>
  <c r="U131" i="13" s="1"/>
  <c r="V34" i="13"/>
  <c r="W87" i="13"/>
  <c r="W85" i="13"/>
  <c r="W37" i="13"/>
  <c r="W90" i="13"/>
  <c r="W39" i="13"/>
  <c r="W74" i="13"/>
  <c r="W36" i="13"/>
  <c r="W88" i="13"/>
  <c r="W73" i="13"/>
  <c r="W41" i="13"/>
  <c r="W35" i="13"/>
  <c r="Y13" i="13"/>
  <c r="Y19" i="13" s="1"/>
  <c r="Z6" i="13"/>
  <c r="Z13" i="13" s="1"/>
  <c r="Z19" i="13" s="1"/>
  <c r="X35" i="13" l="1"/>
  <c r="X89" i="13"/>
  <c r="X73" i="13"/>
  <c r="X36" i="13"/>
  <c r="X88" i="13"/>
  <c r="W62" i="13"/>
  <c r="W69" i="13"/>
  <c r="W86" i="13"/>
  <c r="W75" i="13"/>
  <c r="W72" i="13"/>
  <c r="W89" i="13"/>
  <c r="W91" i="13" s="1"/>
  <c r="W101" i="13" s="1"/>
  <c r="W103" i="13" s="1"/>
  <c r="W133" i="13" s="1"/>
  <c r="W38" i="13"/>
  <c r="X69" i="13"/>
  <c r="X90" i="13"/>
  <c r="X38" i="13"/>
  <c r="X87" i="13"/>
  <c r="X39" i="13"/>
  <c r="X85" i="13"/>
  <c r="V42" i="13"/>
  <c r="V63" i="13" s="1"/>
  <c r="V65" i="13" s="1"/>
  <c r="V131" i="13" s="1"/>
  <c r="W34" i="13"/>
  <c r="X37" i="13"/>
  <c r="Y25" i="13"/>
  <c r="Y51" i="13"/>
  <c r="Y56" i="13" s="1"/>
  <c r="Y64" i="13" s="1"/>
  <c r="Y130" i="13"/>
  <c r="Y26" i="13"/>
  <c r="X41" i="13"/>
  <c r="Z25" i="13"/>
  <c r="Z27" i="13" s="1"/>
  <c r="Z62" i="13" s="1"/>
  <c r="Z130" i="13"/>
  <c r="Z26" i="13"/>
  <c r="Z51" i="13"/>
  <c r="Z56" i="13" s="1"/>
  <c r="Z64" i="13" s="1"/>
  <c r="X40" i="13"/>
  <c r="X74" i="13"/>
  <c r="Z73" i="13" l="1"/>
  <c r="Z36" i="13"/>
  <c r="X91" i="13"/>
  <c r="X101" i="13" s="1"/>
  <c r="X103" i="13" s="1"/>
  <c r="X133" i="13" s="1"/>
  <c r="Z72" i="13"/>
  <c r="Z89" i="13"/>
  <c r="Z74" i="13"/>
  <c r="Y27" i="13"/>
  <c r="Y62" i="13" s="1"/>
  <c r="Z88" i="13"/>
  <c r="Z69" i="13"/>
  <c r="Z75" i="13"/>
  <c r="Z39" i="13"/>
  <c r="Z38" i="13"/>
  <c r="Z86" i="13"/>
  <c r="Y35" i="13"/>
  <c r="Y39" i="13"/>
  <c r="Z90" i="13"/>
  <c r="Y73" i="13"/>
  <c r="Y69" i="13"/>
  <c r="Y37" i="13"/>
  <c r="Z87" i="13"/>
  <c r="Z35" i="13"/>
  <c r="Y72" i="13"/>
  <c r="Y85" i="13"/>
  <c r="Y74" i="13"/>
  <c r="Z40" i="13"/>
  <c r="Z37" i="13"/>
  <c r="Y87" i="13"/>
  <c r="Y75" i="13"/>
  <c r="Y40" i="13"/>
  <c r="W42" i="13"/>
  <c r="W63" i="13" s="1"/>
  <c r="W65" i="13" s="1"/>
  <c r="W131" i="13" s="1"/>
  <c r="X34" i="13"/>
  <c r="Z85" i="13"/>
  <c r="Z41" i="13"/>
  <c r="Y86" i="13" l="1"/>
  <c r="Y91" i="13" s="1"/>
  <c r="Y101" i="13" s="1"/>
  <c r="Y103" i="13" s="1"/>
  <c r="Y133" i="13" s="1"/>
  <c r="Y38" i="13"/>
  <c r="Y89" i="13"/>
  <c r="Y90" i="13"/>
  <c r="Y88" i="13"/>
  <c r="Y36" i="13"/>
  <c r="Y41" i="13"/>
  <c r="Z91" i="13"/>
  <c r="Z101" i="13" s="1"/>
  <c r="Z103" i="13" s="1"/>
  <c r="Z133" i="13" s="1"/>
  <c r="X42" i="13"/>
  <c r="X63" i="13" s="1"/>
  <c r="X65" i="13" s="1"/>
  <c r="X131" i="13" s="1"/>
  <c r="Y34" i="13"/>
  <c r="Z34" i="13" l="1"/>
  <c r="Z42" i="13" s="1"/>
  <c r="Z63" i="13" s="1"/>
  <c r="Z65" i="13" s="1"/>
  <c r="Z131" i="13" s="1"/>
  <c r="Y42" i="13"/>
  <c r="Y63" i="13" s="1"/>
  <c r="Y65" i="13" s="1"/>
  <c r="Y131" i="13" s="1"/>
  <c r="E6" i="6" l="1"/>
  <c r="E13" i="6" s="1"/>
  <c r="V16" i="2" l="1"/>
  <c r="T111" i="12"/>
  <c r="T134" i="12" s="1"/>
  <c r="S97" i="12"/>
  <c r="T102" i="12" s="1"/>
  <c r="S88" i="12"/>
  <c r="S87" i="12"/>
  <c r="S86" i="12"/>
  <c r="S69" i="12"/>
  <c r="AW40" i="2"/>
  <c r="AZ40" i="2"/>
  <c r="AV41" i="2"/>
  <c r="AY41" i="2"/>
  <c r="BB41" i="2"/>
  <c r="BE41" i="2"/>
  <c r="BH41" i="2"/>
  <c r="BK41" i="2"/>
  <c r="O34" i="2"/>
  <c r="I111" i="11"/>
  <c r="I134" i="11" s="1"/>
  <c r="H97" i="11"/>
  <c r="I102" i="11" s="1"/>
  <c r="I13" i="11"/>
  <c r="I19" i="11" s="1"/>
  <c r="R26" i="2"/>
  <c r="J111" i="6"/>
  <c r="J134" i="6" s="1"/>
  <c r="J102" i="6"/>
  <c r="I6" i="6"/>
  <c r="Y111" i="12"/>
  <c r="Y134" i="12" s="1"/>
  <c r="S70" i="12" l="1"/>
  <c r="S71" i="12"/>
  <c r="J13" i="6"/>
  <c r="J19" i="6" s="1"/>
  <c r="I51" i="11"/>
  <c r="I56" i="11" s="1"/>
  <c r="I64" i="11" s="1"/>
  <c r="BC40" i="2"/>
  <c r="W16" i="2"/>
  <c r="BF40" i="2"/>
  <c r="X16" i="2"/>
  <c r="BI40" i="2"/>
  <c r="Y16" i="2"/>
  <c r="BL40" i="2"/>
  <c r="Z16" i="2"/>
  <c r="I130" i="11"/>
  <c r="J130" i="6" l="1"/>
  <c r="J51" i="6"/>
  <c r="J56" i="6" s="1"/>
  <c r="J64" i="6" s="1"/>
  <c r="S25" i="2" l="1"/>
  <c r="Y11" i="2"/>
  <c r="Z11" i="2"/>
  <c r="X11" i="2"/>
  <c r="V11" i="2"/>
  <c r="W11" i="2"/>
  <c r="P32" i="2"/>
  <c r="X13" i="2"/>
  <c r="W13" i="2"/>
  <c r="V13" i="2"/>
  <c r="Y13" i="2"/>
  <c r="Z13" i="2"/>
  <c r="S24" i="2"/>
  <c r="W10" i="2"/>
  <c r="V10" i="2"/>
  <c r="Z10" i="2"/>
  <c r="Y10" i="2"/>
  <c r="X10" i="2"/>
  <c r="S23" i="2"/>
  <c r="V9" i="2"/>
  <c r="Z9" i="2"/>
  <c r="X9" i="2"/>
  <c r="W9" i="2"/>
  <c r="Y9" i="2"/>
  <c r="I41" i="2" l="1"/>
  <c r="AS41" i="2"/>
  <c r="AP41" i="2"/>
  <c r="AM41" i="2"/>
  <c r="AJ41" i="2"/>
  <c r="AG41" i="2"/>
  <c r="AD41" i="2"/>
  <c r="AA41" i="2"/>
  <c r="X41" i="2"/>
  <c r="U41" i="2"/>
  <c r="R41" i="2"/>
  <c r="O41" i="2"/>
  <c r="L41" i="2"/>
  <c r="L34" i="2"/>
  <c r="I34" i="2"/>
  <c r="O26" i="2"/>
  <c r="L26" i="2"/>
  <c r="I26" i="2"/>
  <c r="F26" i="2"/>
  <c r="F41" i="2"/>
  <c r="E40" i="2"/>
  <c r="G40" i="2" s="1"/>
  <c r="F34" i="2"/>
  <c r="E33" i="2"/>
  <c r="G33" i="2" s="1"/>
  <c r="E25" i="2"/>
  <c r="E24" i="2"/>
  <c r="E23" i="2"/>
  <c r="G25" i="2" l="1"/>
  <c r="I11" i="2"/>
  <c r="J11" i="2"/>
  <c r="K11" i="2"/>
  <c r="L11" i="2"/>
  <c r="M11" i="2"/>
  <c r="N11" i="2"/>
  <c r="G24" i="2"/>
  <c r="N10" i="2"/>
  <c r="M10" i="2"/>
  <c r="L10" i="2"/>
  <c r="K10" i="2"/>
  <c r="J10" i="2"/>
  <c r="I10" i="2"/>
  <c r="G23" i="2"/>
  <c r="I9" i="2"/>
  <c r="J9" i="2"/>
  <c r="K9" i="2"/>
  <c r="L9" i="2"/>
  <c r="M9" i="2"/>
  <c r="N9" i="2"/>
  <c r="P25" i="2"/>
  <c r="S11" i="2"/>
  <c r="M25" i="2"/>
  <c r="P11" i="2"/>
  <c r="R11" i="2"/>
  <c r="Q11" i="2"/>
  <c r="J25" i="2"/>
  <c r="O11" i="2"/>
  <c r="M32" i="2"/>
  <c r="S13" i="2"/>
  <c r="J32" i="2"/>
  <c r="I13" i="2"/>
  <c r="J13" i="2"/>
  <c r="K13" i="2"/>
  <c r="L13" i="2"/>
  <c r="M13" i="2"/>
  <c r="N13" i="2"/>
  <c r="O13" i="2"/>
  <c r="R13" i="2"/>
  <c r="P13" i="2"/>
  <c r="Q13" i="2"/>
  <c r="J31" i="2"/>
  <c r="I12" i="2"/>
  <c r="J12" i="2"/>
  <c r="K12" i="2"/>
  <c r="L12" i="2"/>
  <c r="M12" i="2"/>
  <c r="N12" i="2"/>
  <c r="O12" i="2"/>
  <c r="P12" i="2"/>
  <c r="Q12" i="2"/>
  <c r="R12" i="2"/>
  <c r="M31" i="2"/>
  <c r="S12" i="2"/>
  <c r="J24" i="2"/>
  <c r="O10" i="2"/>
  <c r="M24" i="2"/>
  <c r="Q10" i="2"/>
  <c r="R10" i="2"/>
  <c r="P10" i="2"/>
  <c r="P24" i="2"/>
  <c r="S10" i="2"/>
  <c r="P23" i="2"/>
  <c r="S9" i="2"/>
  <c r="J23" i="2"/>
  <c r="O9" i="2"/>
  <c r="M23" i="2"/>
  <c r="R9" i="2"/>
  <c r="Q9" i="2"/>
  <c r="P9" i="2"/>
  <c r="J16" i="2" l="1"/>
  <c r="M40" i="2" l="1"/>
  <c r="I16" i="2"/>
  <c r="P40" i="2"/>
  <c r="K16" i="2"/>
  <c r="J40" i="2" l="1"/>
  <c r="S40" i="2"/>
  <c r="L16" i="2"/>
  <c r="V40" i="2" l="1"/>
  <c r="Y40" i="2" l="1"/>
  <c r="M16" i="2"/>
  <c r="O16" i="2"/>
  <c r="AB40" i="2" l="1"/>
  <c r="N16" i="2"/>
  <c r="AE40" i="2"/>
  <c r="Q16" i="2"/>
  <c r="AH40" i="2" l="1"/>
  <c r="P16" i="2"/>
  <c r="AK40" i="2"/>
  <c r="R16" i="2"/>
  <c r="S16" i="2"/>
  <c r="AN40" i="2" l="1"/>
  <c r="AQ40" i="2" l="1"/>
  <c r="AT40" i="2" l="1"/>
  <c r="P36" i="12" l="1"/>
  <c r="E6" i="12"/>
  <c r="X111" i="12"/>
  <c r="X134" i="12" s="1"/>
  <c r="W111" i="12"/>
  <c r="W134" i="12" s="1"/>
  <c r="V111" i="12"/>
  <c r="V134" i="12" s="1"/>
  <c r="U111" i="12"/>
  <c r="U134" i="12" s="1"/>
  <c r="R111" i="12"/>
  <c r="R134" i="12" s="1"/>
  <c r="Q111" i="12"/>
  <c r="Q134" i="12" s="1"/>
  <c r="O134" i="12"/>
  <c r="N134" i="12"/>
  <c r="M134" i="12"/>
  <c r="L134" i="12"/>
  <c r="K134" i="12"/>
  <c r="J134" i="12"/>
  <c r="I134" i="12"/>
  <c r="H134" i="12"/>
  <c r="G134" i="12"/>
  <c r="F134" i="12"/>
  <c r="P97" i="12"/>
  <c r="Q102" i="12" s="1"/>
  <c r="P72" i="12"/>
  <c r="P69" i="12"/>
  <c r="E134" i="12"/>
  <c r="E97" i="12"/>
  <c r="E102" i="12" s="1"/>
  <c r="G111" i="11"/>
  <c r="G134" i="11" s="1"/>
  <c r="E111" i="11"/>
  <c r="E134" i="11" s="1"/>
  <c r="F97" i="11"/>
  <c r="G102" i="11" s="1"/>
  <c r="F36" i="11"/>
  <c r="G13" i="11"/>
  <c r="G19" i="11" s="1"/>
  <c r="E13" i="11"/>
  <c r="E19" i="11" s="1"/>
  <c r="G6" i="6"/>
  <c r="H13" i="6" s="1"/>
  <c r="F6" i="6"/>
  <c r="F13" i="6" s="1"/>
  <c r="F19" i="6" s="1"/>
  <c r="H111" i="6"/>
  <c r="H134" i="6" s="1"/>
  <c r="H102" i="6"/>
  <c r="F111" i="6"/>
  <c r="F134" i="6" s="1"/>
  <c r="F102" i="6"/>
  <c r="F42" i="11" l="1"/>
  <c r="H73" i="11" s="1"/>
  <c r="H76" i="11" s="1"/>
  <c r="G51" i="11"/>
  <c r="G56" i="11" s="1"/>
  <c r="G64" i="11" s="1"/>
  <c r="E51" i="11"/>
  <c r="E56" i="11" s="1"/>
  <c r="E64" i="11" s="1"/>
  <c r="G130" i="11"/>
  <c r="F6" i="12"/>
  <c r="E13" i="12"/>
  <c r="E19" i="12" s="1"/>
  <c r="E130" i="12" s="1"/>
  <c r="F51" i="6"/>
  <c r="F56" i="6" s="1"/>
  <c r="F64" i="6" s="1"/>
  <c r="F13" i="12"/>
  <c r="F19" i="12" s="1"/>
  <c r="G6" i="12"/>
  <c r="H6" i="12" s="1"/>
  <c r="I6" i="12" s="1"/>
  <c r="J6" i="12" s="1"/>
  <c r="K6" i="12" s="1"/>
  <c r="L6" i="12" s="1"/>
  <c r="M6" i="12" s="1"/>
  <c r="N6" i="12" s="1"/>
  <c r="O6" i="12" s="1"/>
  <c r="P6" i="12" s="1"/>
  <c r="R6" i="12" s="1"/>
  <c r="P42" i="12"/>
  <c r="P70" i="12"/>
  <c r="P71" i="12"/>
  <c r="P74" i="12"/>
  <c r="E130" i="11"/>
  <c r="H19" i="6"/>
  <c r="F130" i="6"/>
  <c r="P73" i="12" l="1"/>
  <c r="S73" i="12"/>
  <c r="R13" i="12"/>
  <c r="R19" i="12" s="1"/>
  <c r="S6" i="12"/>
  <c r="F73" i="11"/>
  <c r="F51" i="12"/>
  <c r="F56" i="12" s="1"/>
  <c r="F64" i="12" s="1"/>
  <c r="E51" i="12"/>
  <c r="E56" i="12" s="1"/>
  <c r="E64" i="12" s="1"/>
  <c r="F130" i="12"/>
  <c r="H13" i="12"/>
  <c r="H19" i="12" s="1"/>
  <c r="G13" i="12"/>
  <c r="G19" i="12" s="1"/>
  <c r="H51" i="6"/>
  <c r="H56" i="6" s="1"/>
  <c r="H64" i="6" s="1"/>
  <c r="P76" i="12"/>
  <c r="I13" i="12"/>
  <c r="I19" i="12" s="1"/>
  <c r="F76" i="11"/>
  <c r="H130" i="6"/>
  <c r="T13" i="12" l="1"/>
  <c r="T19" i="12" s="1"/>
  <c r="U6" i="12"/>
  <c r="S76" i="12"/>
  <c r="R51" i="12"/>
  <c r="R56" i="12" s="1"/>
  <c r="I51" i="12"/>
  <c r="I56" i="12" s="1"/>
  <c r="I64" i="12" s="1"/>
  <c r="H51" i="12"/>
  <c r="H56" i="12" s="1"/>
  <c r="H64" i="12" s="1"/>
  <c r="G51" i="12"/>
  <c r="G56" i="12" s="1"/>
  <c r="G64" i="12" s="1"/>
  <c r="H130" i="12"/>
  <c r="G130" i="12"/>
  <c r="T130" i="12"/>
  <c r="J13" i="12"/>
  <c r="J19" i="12" s="1"/>
  <c r="I130" i="12"/>
  <c r="E19" i="6"/>
  <c r="E111" i="6"/>
  <c r="E134" i="6" s="1"/>
  <c r="E102" i="6"/>
  <c r="E52" i="6"/>
  <c r="U13" i="12" l="1"/>
  <c r="U19" i="12" s="1"/>
  <c r="V6" i="12"/>
  <c r="T51" i="12"/>
  <c r="T56" i="12" s="1"/>
  <c r="T64" i="12" s="1"/>
  <c r="J51" i="12"/>
  <c r="J56" i="12" s="1"/>
  <c r="J64" i="12" s="1"/>
  <c r="E51" i="6"/>
  <c r="E56" i="6" s="1"/>
  <c r="E64" i="6" s="1"/>
  <c r="J130" i="12"/>
  <c r="K13" i="12"/>
  <c r="K19" i="12" s="1"/>
  <c r="E130" i="6"/>
  <c r="D52" i="7"/>
  <c r="D52" i="8"/>
  <c r="W6" i="12" l="1"/>
  <c r="V13" i="12"/>
  <c r="V19" i="12" s="1"/>
  <c r="U51" i="12"/>
  <c r="U56" i="12" s="1"/>
  <c r="K51" i="12"/>
  <c r="K56" i="12" s="1"/>
  <c r="K64" i="12" s="1"/>
  <c r="K130" i="12"/>
  <c r="L13" i="12"/>
  <c r="L19" i="12" s="1"/>
  <c r="C26" i="7"/>
  <c r="C26" i="8"/>
  <c r="C26" i="11"/>
  <c r="C26" i="12"/>
  <c r="U26" i="12" s="1"/>
  <c r="C26" i="13"/>
  <c r="C26" i="15"/>
  <c r="C26" i="16"/>
  <c r="C26" i="17"/>
  <c r="C26" i="6"/>
  <c r="R26" i="12" l="1"/>
  <c r="T26" i="12"/>
  <c r="V26" i="12"/>
  <c r="V51" i="12"/>
  <c r="V56" i="12" s="1"/>
  <c r="W13" i="12"/>
  <c r="W19" i="12" s="1"/>
  <c r="X6" i="12"/>
  <c r="I26" i="11"/>
  <c r="G26" i="11"/>
  <c r="E26" i="11"/>
  <c r="F26" i="12"/>
  <c r="I26" i="12"/>
  <c r="G26" i="12"/>
  <c r="H26" i="12"/>
  <c r="J26" i="12"/>
  <c r="K26" i="12"/>
  <c r="L26" i="12"/>
  <c r="L51" i="12"/>
  <c r="L56" i="12" s="1"/>
  <c r="L64" i="12" s="1"/>
  <c r="E26" i="12"/>
  <c r="H26" i="6"/>
  <c r="J26" i="6"/>
  <c r="F26" i="6"/>
  <c r="E26" i="6"/>
  <c r="L130" i="12"/>
  <c r="M13" i="12"/>
  <c r="M19" i="12" s="1"/>
  <c r="X13" i="12" l="1"/>
  <c r="X19" i="12" s="1"/>
  <c r="Y6" i="12"/>
  <c r="W26" i="12"/>
  <c r="W51" i="12"/>
  <c r="W56" i="12" s="1"/>
  <c r="M51" i="12"/>
  <c r="M56" i="12" s="1"/>
  <c r="M64" i="12" s="1"/>
  <c r="M26" i="12"/>
  <c r="M130" i="12"/>
  <c r="N13" i="12"/>
  <c r="N19" i="12" s="1"/>
  <c r="X51" i="12" l="1"/>
  <c r="X56" i="12" s="1"/>
  <c r="X26" i="12"/>
  <c r="Z6" i="12"/>
  <c r="Y13" i="12"/>
  <c r="Y19" i="12" s="1"/>
  <c r="N51" i="12"/>
  <c r="N56" i="12" s="1"/>
  <c r="N64" i="12" s="1"/>
  <c r="N26" i="12"/>
  <c r="N130" i="12"/>
  <c r="O13" i="12"/>
  <c r="O19" i="12" s="1"/>
  <c r="C86" i="7"/>
  <c r="C86" i="8"/>
  <c r="C86" i="11"/>
  <c r="C86" i="12"/>
  <c r="C86" i="13"/>
  <c r="C86" i="15"/>
  <c r="C86" i="16"/>
  <c r="C86" i="17"/>
  <c r="C86" i="6"/>
  <c r="C88" i="7"/>
  <c r="C88" i="8"/>
  <c r="C88" i="11"/>
  <c r="C88" i="12"/>
  <c r="C88" i="13"/>
  <c r="C88" i="15"/>
  <c r="C88" i="16"/>
  <c r="C88" i="17"/>
  <c r="C88" i="6"/>
  <c r="C87" i="7"/>
  <c r="C87" i="8"/>
  <c r="C87" i="11"/>
  <c r="C87" i="12"/>
  <c r="C87" i="13"/>
  <c r="C87" i="15"/>
  <c r="C87" i="16"/>
  <c r="C87" i="17"/>
  <c r="C87" i="6"/>
  <c r="C25" i="7"/>
  <c r="C25" i="8"/>
  <c r="C27" i="8" s="1"/>
  <c r="C25" i="11"/>
  <c r="C25" i="12"/>
  <c r="X25" i="12" s="1"/>
  <c r="C25" i="13"/>
  <c r="C27" i="13" s="1"/>
  <c r="C25" i="15"/>
  <c r="C25" i="16"/>
  <c r="C27" i="16" s="1"/>
  <c r="C25" i="17"/>
  <c r="C25" i="6"/>
  <c r="C27" i="15"/>
  <c r="C27" i="17"/>
  <c r="T86" i="12" l="1"/>
  <c r="U86" i="12"/>
  <c r="V86" i="12"/>
  <c r="W86" i="12"/>
  <c r="T87" i="12"/>
  <c r="U87" i="12"/>
  <c r="V87" i="12"/>
  <c r="N25" i="12"/>
  <c r="N27" i="12" s="1"/>
  <c r="N75" i="12" s="1"/>
  <c r="P89" i="12"/>
  <c r="S89" i="12"/>
  <c r="Y89" i="12" s="1"/>
  <c r="R25" i="12"/>
  <c r="R27" i="12" s="1"/>
  <c r="R87" i="12" s="1"/>
  <c r="T25" i="12"/>
  <c r="T27" i="12" s="1"/>
  <c r="U25" i="12"/>
  <c r="U27" i="12" s="1"/>
  <c r="V25" i="12"/>
  <c r="V27" i="12" s="1"/>
  <c r="W25" i="12"/>
  <c r="W27" i="12" s="1"/>
  <c r="Z13" i="12"/>
  <c r="Z19" i="12" s="1"/>
  <c r="AA6" i="12"/>
  <c r="AB13" i="12" s="1"/>
  <c r="AB19" i="12" s="1"/>
  <c r="AB25" i="12" s="1"/>
  <c r="T88" i="12"/>
  <c r="U88" i="12"/>
  <c r="W88" i="12"/>
  <c r="W87" i="12"/>
  <c r="Z25" i="12"/>
  <c r="Z51" i="12"/>
  <c r="Z56" i="12" s="1"/>
  <c r="Z64" i="12" s="1"/>
  <c r="Z26" i="12"/>
  <c r="Z130" i="12"/>
  <c r="X27" i="12"/>
  <c r="Y51" i="12"/>
  <c r="Y56" i="12" s="1"/>
  <c r="Y64" i="12" s="1"/>
  <c r="Y26" i="12"/>
  <c r="Y25" i="12"/>
  <c r="Y27" i="12" s="1"/>
  <c r="Y62" i="12" s="1"/>
  <c r="Y74" i="12"/>
  <c r="Y73" i="12"/>
  <c r="Y130" i="12"/>
  <c r="C27" i="7"/>
  <c r="I25" i="11"/>
  <c r="I27" i="11" s="1"/>
  <c r="G25" i="11"/>
  <c r="G27" i="11" s="1"/>
  <c r="F89" i="11"/>
  <c r="F91" i="11" s="1"/>
  <c r="E25" i="11"/>
  <c r="E27" i="11" s="1"/>
  <c r="E86" i="11" s="1"/>
  <c r="I86" i="11"/>
  <c r="G86" i="11"/>
  <c r="I88" i="11"/>
  <c r="E88" i="11"/>
  <c r="G88" i="11"/>
  <c r="E87" i="11"/>
  <c r="I87" i="11"/>
  <c r="C27" i="11"/>
  <c r="C27" i="12"/>
  <c r="F25" i="12"/>
  <c r="F27" i="12" s="1"/>
  <c r="H25" i="12"/>
  <c r="H27" i="12" s="1"/>
  <c r="I25" i="12"/>
  <c r="I27" i="12" s="1"/>
  <c r="G25" i="12"/>
  <c r="G27" i="12" s="1"/>
  <c r="G88" i="12" s="1"/>
  <c r="J25" i="12"/>
  <c r="J27" i="12" s="1"/>
  <c r="J87" i="12" s="1"/>
  <c r="K25" i="12"/>
  <c r="K27" i="12" s="1"/>
  <c r="K86" i="12" s="1"/>
  <c r="L25" i="12"/>
  <c r="L27" i="12" s="1"/>
  <c r="L87" i="12" s="1"/>
  <c r="M25" i="12"/>
  <c r="M27" i="12" s="1"/>
  <c r="M62" i="12" s="1"/>
  <c r="O51" i="12"/>
  <c r="O56" i="12" s="1"/>
  <c r="O64" i="12" s="1"/>
  <c r="O26" i="12"/>
  <c r="O25" i="12"/>
  <c r="E25" i="12"/>
  <c r="E27" i="12" s="1"/>
  <c r="E87" i="12" s="1"/>
  <c r="H25" i="6"/>
  <c r="H27" i="6" s="1"/>
  <c r="J25" i="6"/>
  <c r="J27" i="6" s="1"/>
  <c r="G89" i="6"/>
  <c r="F25" i="6"/>
  <c r="F27" i="6" s="1"/>
  <c r="F86" i="6" s="1"/>
  <c r="E25" i="6"/>
  <c r="E27" i="6" s="1"/>
  <c r="C27" i="6"/>
  <c r="O130" i="12"/>
  <c r="Q13" i="12"/>
  <c r="Q19" i="12" s="1"/>
  <c r="R89" i="12" l="1"/>
  <c r="Y36" i="12"/>
  <c r="P91" i="12"/>
  <c r="Y72" i="12"/>
  <c r="R37" i="12"/>
  <c r="R85" i="12"/>
  <c r="R73" i="12"/>
  <c r="R40" i="12"/>
  <c r="R35" i="12"/>
  <c r="R36" i="12"/>
  <c r="R75" i="12"/>
  <c r="R41" i="12"/>
  <c r="R90" i="12"/>
  <c r="R39" i="12"/>
  <c r="R38" i="12"/>
  <c r="AB51" i="12"/>
  <c r="AB56" i="12" s="1"/>
  <c r="AB64" i="12" s="1"/>
  <c r="AB130" i="12"/>
  <c r="W72" i="12"/>
  <c r="W85" i="12"/>
  <c r="W91" i="12" s="1"/>
  <c r="W101" i="12" s="1"/>
  <c r="W103" i="12" s="1"/>
  <c r="W75" i="12"/>
  <c r="W40" i="12"/>
  <c r="W38" i="12"/>
  <c r="W36" i="12"/>
  <c r="W35" i="12"/>
  <c r="W39" i="12"/>
  <c r="W90" i="12"/>
  <c r="W73" i="12"/>
  <c r="W41" i="12"/>
  <c r="W74" i="12"/>
  <c r="W37" i="12"/>
  <c r="R88" i="12"/>
  <c r="Y87" i="12"/>
  <c r="V88" i="12"/>
  <c r="V36" i="12"/>
  <c r="V37" i="12"/>
  <c r="V39" i="12"/>
  <c r="V72" i="12"/>
  <c r="V85" i="12"/>
  <c r="V40" i="12"/>
  <c r="V75" i="12"/>
  <c r="V38" i="12"/>
  <c r="V73" i="12"/>
  <c r="V90" i="12"/>
  <c r="V41" i="12"/>
  <c r="V35" i="12"/>
  <c r="V74" i="12"/>
  <c r="S91" i="12"/>
  <c r="T89" i="12"/>
  <c r="U89" i="12"/>
  <c r="V89" i="12"/>
  <c r="W89" i="12"/>
  <c r="Y85" i="12"/>
  <c r="Y86" i="12"/>
  <c r="Y88" i="12"/>
  <c r="U90" i="12"/>
  <c r="U72" i="12"/>
  <c r="U40" i="12"/>
  <c r="U39" i="12"/>
  <c r="U73" i="12"/>
  <c r="U74" i="12"/>
  <c r="U75" i="12"/>
  <c r="U38" i="12"/>
  <c r="U36" i="12"/>
  <c r="U37" i="12"/>
  <c r="U41" i="12"/>
  <c r="U35" i="12"/>
  <c r="U85" i="12"/>
  <c r="R86" i="12"/>
  <c r="Y38" i="12"/>
  <c r="T73" i="12"/>
  <c r="T75" i="12"/>
  <c r="T85" i="12"/>
  <c r="T41" i="12"/>
  <c r="T38" i="12"/>
  <c r="T34" i="12"/>
  <c r="T37" i="12"/>
  <c r="T40" i="12"/>
  <c r="T72" i="12"/>
  <c r="T36" i="12"/>
  <c r="T35" i="12"/>
  <c r="T62" i="12"/>
  <c r="T90" i="12"/>
  <c r="T74" i="12"/>
  <c r="T39" i="12"/>
  <c r="Y75" i="12"/>
  <c r="Y37" i="12"/>
  <c r="X72" i="12"/>
  <c r="X75" i="12"/>
  <c r="X37" i="12"/>
  <c r="X36" i="12"/>
  <c r="X89" i="12"/>
  <c r="X87" i="12"/>
  <c r="X88" i="12"/>
  <c r="X40" i="12"/>
  <c r="X35" i="12"/>
  <c r="X73" i="12"/>
  <c r="X41" i="12"/>
  <c r="X74" i="12"/>
  <c r="X38" i="12"/>
  <c r="X90" i="12"/>
  <c r="X85" i="12"/>
  <c r="X39" i="12"/>
  <c r="X86" i="12"/>
  <c r="Y39" i="12"/>
  <c r="Y40" i="12"/>
  <c r="Y90" i="12"/>
  <c r="Y91" i="12" s="1"/>
  <c r="Y101" i="12" s="1"/>
  <c r="Y103" i="12" s="1"/>
  <c r="Y133" i="12" s="1"/>
  <c r="Y41" i="12"/>
  <c r="Q25" i="12"/>
  <c r="Y35" i="12"/>
  <c r="Z27" i="12"/>
  <c r="E85" i="11"/>
  <c r="E75" i="11"/>
  <c r="E90" i="11"/>
  <c r="E40" i="11"/>
  <c r="E38" i="11"/>
  <c r="E41" i="11"/>
  <c r="E35" i="11"/>
  <c r="E39" i="11"/>
  <c r="E37" i="11"/>
  <c r="E34" i="11"/>
  <c r="E62" i="11"/>
  <c r="G39" i="11"/>
  <c r="G85" i="11"/>
  <c r="G90" i="11"/>
  <c r="I72" i="11"/>
  <c r="G74" i="11"/>
  <c r="G37" i="11"/>
  <c r="G41" i="11"/>
  <c r="G70" i="11"/>
  <c r="G34" i="11"/>
  <c r="I70" i="11"/>
  <c r="I74" i="11"/>
  <c r="G75" i="11"/>
  <c r="G35" i="11"/>
  <c r="G72" i="11"/>
  <c r="G38" i="11"/>
  <c r="G62" i="11"/>
  <c r="G73" i="11"/>
  <c r="G40" i="11"/>
  <c r="G69" i="11"/>
  <c r="G71" i="11"/>
  <c r="G36" i="11"/>
  <c r="I71" i="11"/>
  <c r="I75" i="11"/>
  <c r="I73" i="11"/>
  <c r="I69" i="11"/>
  <c r="G87" i="11"/>
  <c r="I41" i="11"/>
  <c r="I90" i="11"/>
  <c r="I85" i="11"/>
  <c r="I37" i="11"/>
  <c r="I34" i="11"/>
  <c r="I38" i="11"/>
  <c r="I40" i="11"/>
  <c r="I39" i="11"/>
  <c r="I35" i="11"/>
  <c r="I36" i="11"/>
  <c r="I62" i="11"/>
  <c r="N62" i="12"/>
  <c r="L86" i="12"/>
  <c r="L88" i="12"/>
  <c r="I41" i="12"/>
  <c r="I39" i="12"/>
  <c r="I37" i="12"/>
  <c r="I90" i="12"/>
  <c r="I40" i="12"/>
  <c r="I85" i="12"/>
  <c r="I75" i="12"/>
  <c r="I35" i="12"/>
  <c r="I34" i="12"/>
  <c r="I38" i="12"/>
  <c r="I62" i="12"/>
  <c r="Q51" i="12"/>
  <c r="Q56" i="12" s="1"/>
  <c r="Q64" i="12" s="1"/>
  <c r="Q26" i="12"/>
  <c r="K87" i="12"/>
  <c r="F41" i="12"/>
  <c r="F35" i="12"/>
  <c r="F62" i="12"/>
  <c r="F39" i="12"/>
  <c r="F75" i="12"/>
  <c r="F38" i="12"/>
  <c r="F90" i="12"/>
  <c r="F85" i="12"/>
  <c r="F40" i="12"/>
  <c r="F34" i="12"/>
  <c r="F37" i="12"/>
  <c r="G86" i="12"/>
  <c r="F88" i="12"/>
  <c r="G87" i="12"/>
  <c r="K37" i="12"/>
  <c r="K35" i="12"/>
  <c r="K85" i="12"/>
  <c r="K41" i="12"/>
  <c r="AA70" i="12" s="1"/>
  <c r="K90" i="12"/>
  <c r="K62" i="12"/>
  <c r="K75" i="12"/>
  <c r="K40" i="12"/>
  <c r="K34" i="12"/>
  <c r="K39" i="12"/>
  <c r="K38" i="12"/>
  <c r="H75" i="12"/>
  <c r="H62" i="12"/>
  <c r="H90" i="12"/>
  <c r="H85" i="12"/>
  <c r="H34" i="12"/>
  <c r="H37" i="12"/>
  <c r="H41" i="12"/>
  <c r="H35" i="12"/>
  <c r="H39" i="12"/>
  <c r="H40" i="12"/>
  <c r="H38" i="12"/>
  <c r="I86" i="12"/>
  <c r="H88" i="12"/>
  <c r="J40" i="12"/>
  <c r="J35" i="12"/>
  <c r="J85" i="12"/>
  <c r="J38" i="12"/>
  <c r="J75" i="12"/>
  <c r="J90" i="12"/>
  <c r="J37" i="12"/>
  <c r="J39" i="12"/>
  <c r="J34" i="12"/>
  <c r="J41" i="12"/>
  <c r="J62" i="12"/>
  <c r="J86" i="12"/>
  <c r="J88" i="12"/>
  <c r="F87" i="12"/>
  <c r="G62" i="12"/>
  <c r="G35" i="12"/>
  <c r="G75" i="12"/>
  <c r="G34" i="12"/>
  <c r="G41" i="12"/>
  <c r="G37" i="12"/>
  <c r="G40" i="12"/>
  <c r="G39" i="12"/>
  <c r="G38" i="12"/>
  <c r="G90" i="12"/>
  <c r="G85" i="12"/>
  <c r="F86" i="12"/>
  <c r="K88" i="12"/>
  <c r="H87" i="12"/>
  <c r="H86" i="12"/>
  <c r="M39" i="12"/>
  <c r="M38" i="12"/>
  <c r="M88" i="12"/>
  <c r="M90" i="12"/>
  <c r="M35" i="12"/>
  <c r="M40" i="12"/>
  <c r="M75" i="12"/>
  <c r="M41" i="12"/>
  <c r="M37" i="12"/>
  <c r="M34" i="12"/>
  <c r="M85" i="12"/>
  <c r="M87" i="12"/>
  <c r="I87" i="12"/>
  <c r="I88" i="12"/>
  <c r="L37" i="12"/>
  <c r="L34" i="12"/>
  <c r="L75" i="12"/>
  <c r="L40" i="12"/>
  <c r="L90" i="12"/>
  <c r="L35" i="12"/>
  <c r="L41" i="12"/>
  <c r="L39" i="12"/>
  <c r="L38" i="12"/>
  <c r="L85" i="12"/>
  <c r="L62" i="12"/>
  <c r="M86" i="12"/>
  <c r="N88" i="12"/>
  <c r="N86" i="12"/>
  <c r="N87" i="12"/>
  <c r="N39" i="12"/>
  <c r="N37" i="12"/>
  <c r="N85" i="12"/>
  <c r="N41" i="12"/>
  <c r="N38" i="12"/>
  <c r="N34" i="12"/>
  <c r="N90" i="12"/>
  <c r="N35" i="12"/>
  <c r="N40" i="12"/>
  <c r="O27" i="12"/>
  <c r="E75" i="12"/>
  <c r="E41" i="12"/>
  <c r="E37" i="12"/>
  <c r="E34" i="12"/>
  <c r="E40" i="12"/>
  <c r="E35" i="12"/>
  <c r="E85" i="12"/>
  <c r="E39" i="12"/>
  <c r="E38" i="12"/>
  <c r="E90" i="12"/>
  <c r="E62" i="12"/>
  <c r="E86" i="12"/>
  <c r="E88" i="12"/>
  <c r="F87" i="6"/>
  <c r="G91" i="6"/>
  <c r="H89" i="6"/>
  <c r="J40" i="6"/>
  <c r="J38" i="6"/>
  <c r="J37" i="6"/>
  <c r="J35" i="6"/>
  <c r="J34" i="6"/>
  <c r="J41" i="6"/>
  <c r="J39" i="6"/>
  <c r="J62" i="6"/>
  <c r="I91" i="6"/>
  <c r="J89" i="6"/>
  <c r="H35" i="6"/>
  <c r="H34" i="6"/>
  <c r="H37" i="6"/>
  <c r="H41" i="6"/>
  <c r="H40" i="6"/>
  <c r="H39" i="6"/>
  <c r="H38" i="6"/>
  <c r="J86" i="6"/>
  <c r="H69" i="6"/>
  <c r="H85" i="6"/>
  <c r="H70" i="6"/>
  <c r="J72" i="6"/>
  <c r="J71" i="6"/>
  <c r="H86" i="6"/>
  <c r="H72" i="6"/>
  <c r="H73" i="6"/>
  <c r="H88" i="6"/>
  <c r="H90" i="6"/>
  <c r="J87" i="6"/>
  <c r="J75" i="6"/>
  <c r="J70" i="6"/>
  <c r="J74" i="6"/>
  <c r="J69" i="6"/>
  <c r="H71" i="6"/>
  <c r="H75" i="6"/>
  <c r="J90" i="6"/>
  <c r="J85" i="6"/>
  <c r="H74" i="6"/>
  <c r="H87" i="6"/>
  <c r="J88" i="6"/>
  <c r="J73" i="6"/>
  <c r="H62" i="6"/>
  <c r="E85" i="6"/>
  <c r="E41" i="6"/>
  <c r="E34" i="6"/>
  <c r="E35" i="6"/>
  <c r="E75" i="6"/>
  <c r="E39" i="6"/>
  <c r="E90" i="6"/>
  <c r="E37" i="6"/>
  <c r="E40" i="6"/>
  <c r="E38" i="6"/>
  <c r="E88" i="6"/>
  <c r="E86" i="6"/>
  <c r="E87" i="6"/>
  <c r="E62" i="6"/>
  <c r="F62" i="6"/>
  <c r="F75" i="6"/>
  <c r="F85" i="6"/>
  <c r="F90" i="6"/>
  <c r="F41" i="6"/>
  <c r="F40" i="6"/>
  <c r="F39" i="6"/>
  <c r="F38" i="6"/>
  <c r="F37" i="6"/>
  <c r="F35" i="6"/>
  <c r="F34" i="6"/>
  <c r="F88" i="6"/>
  <c r="Q130" i="12"/>
  <c r="C36" i="7"/>
  <c r="C36" i="8"/>
  <c r="C36" i="11"/>
  <c r="C36" i="12"/>
  <c r="J36" i="12" s="1"/>
  <c r="C36" i="13"/>
  <c r="C89" i="13" s="1"/>
  <c r="C36" i="15"/>
  <c r="C89" i="15" s="1"/>
  <c r="C36" i="16"/>
  <c r="C89" i="16" s="1"/>
  <c r="C36" i="17"/>
  <c r="C89" i="17" s="1"/>
  <c r="C36" i="6"/>
  <c r="D52" i="16"/>
  <c r="D52" i="17"/>
  <c r="D52" i="15"/>
  <c r="D52" i="6"/>
  <c r="C72" i="7"/>
  <c r="C74" i="7" s="1"/>
  <c r="E74" i="7" s="1"/>
  <c r="C72" i="8"/>
  <c r="C74" i="8" s="1"/>
  <c r="E74" i="8" s="1"/>
  <c r="C72" i="11"/>
  <c r="C72" i="12"/>
  <c r="C72" i="13"/>
  <c r="C74" i="13" s="1"/>
  <c r="C72" i="15"/>
  <c r="C74" i="15" s="1"/>
  <c r="C72" i="16"/>
  <c r="C74" i="16" s="1"/>
  <c r="C72" i="17"/>
  <c r="C74" i="17" s="1"/>
  <c r="C70" i="7"/>
  <c r="E70" i="7" s="1"/>
  <c r="C70" i="8"/>
  <c r="E70" i="8" s="1"/>
  <c r="C70" i="11"/>
  <c r="C69" i="7"/>
  <c r="C69" i="8"/>
  <c r="C69" i="11"/>
  <c r="C69" i="12"/>
  <c r="Y69" i="12" s="1"/>
  <c r="C69" i="13"/>
  <c r="C70" i="13" s="1"/>
  <c r="C69" i="15"/>
  <c r="C69" i="16"/>
  <c r="C69" i="17"/>
  <c r="C69" i="6"/>
  <c r="AB62" i="12" l="1"/>
  <c r="AB87" i="12"/>
  <c r="AB89" i="12"/>
  <c r="AB73" i="12"/>
  <c r="AB88" i="12"/>
  <c r="AB90" i="12"/>
  <c r="AB86" i="12"/>
  <c r="AB72" i="12"/>
  <c r="AB85" i="12"/>
  <c r="AB91" i="12" s="1"/>
  <c r="AB101" i="12" s="1"/>
  <c r="AB103" i="12" s="1"/>
  <c r="AB133" i="12" s="1"/>
  <c r="AB75" i="12"/>
  <c r="AB74" i="12"/>
  <c r="T42" i="12"/>
  <c r="T63" i="12" s="1"/>
  <c r="T65" i="12" s="1"/>
  <c r="T131" i="12" s="1"/>
  <c r="U34" i="12"/>
  <c r="V91" i="12"/>
  <c r="V101" i="12" s="1"/>
  <c r="V103" i="12" s="1"/>
  <c r="U91" i="12"/>
  <c r="U101" i="12" s="1"/>
  <c r="U103" i="12" s="1"/>
  <c r="T91" i="12"/>
  <c r="T101" i="12" s="1"/>
  <c r="T103" i="12" s="1"/>
  <c r="T133" i="12" s="1"/>
  <c r="N72" i="12"/>
  <c r="R72" i="12"/>
  <c r="AB69" i="12"/>
  <c r="R69" i="12"/>
  <c r="T69" i="12"/>
  <c r="U69" i="12"/>
  <c r="V69" i="12"/>
  <c r="W69" i="12"/>
  <c r="X69" i="12"/>
  <c r="R91" i="12"/>
  <c r="R101" i="12" s="1"/>
  <c r="R103" i="12" s="1"/>
  <c r="Q27" i="12"/>
  <c r="X91" i="12"/>
  <c r="X101" i="12" s="1"/>
  <c r="X103" i="12" s="1"/>
  <c r="Z62" i="12"/>
  <c r="Z69" i="12"/>
  <c r="Z87" i="12"/>
  <c r="Z85" i="12"/>
  <c r="Z41" i="12"/>
  <c r="Z86" i="12"/>
  <c r="Z40" i="12"/>
  <c r="Z89" i="12"/>
  <c r="Z36" i="12"/>
  <c r="Z39" i="12"/>
  <c r="Z74" i="12"/>
  <c r="Z72" i="12"/>
  <c r="Z75" i="12"/>
  <c r="Z73" i="12"/>
  <c r="Z38" i="12"/>
  <c r="Z37" i="12"/>
  <c r="Z35" i="12"/>
  <c r="Z90" i="12"/>
  <c r="Z88" i="12"/>
  <c r="E89" i="13"/>
  <c r="E91" i="13" s="1"/>
  <c r="E101" i="13" s="1"/>
  <c r="E103" i="13" s="1"/>
  <c r="E133" i="13" s="1"/>
  <c r="F89" i="13"/>
  <c r="F91" i="13" s="1"/>
  <c r="F101" i="13" s="1"/>
  <c r="F103" i="13" s="1"/>
  <c r="F133" i="13" s="1"/>
  <c r="G89" i="13"/>
  <c r="G91" i="13" s="1"/>
  <c r="G101" i="13" s="1"/>
  <c r="G103" i="13" s="1"/>
  <c r="G133" i="13" s="1"/>
  <c r="I89" i="13"/>
  <c r="I91" i="13" s="1"/>
  <c r="I101" i="13" s="1"/>
  <c r="I103" i="13" s="1"/>
  <c r="I133" i="13" s="1"/>
  <c r="H89" i="13"/>
  <c r="H91" i="13" s="1"/>
  <c r="H101" i="13" s="1"/>
  <c r="H103" i="13" s="1"/>
  <c r="H133" i="13" s="1"/>
  <c r="J89" i="13"/>
  <c r="J91" i="13" s="1"/>
  <c r="J101" i="13" s="1"/>
  <c r="J103" i="13" s="1"/>
  <c r="J133" i="13" s="1"/>
  <c r="K89" i="13"/>
  <c r="K91" i="13" s="1"/>
  <c r="K101" i="13" s="1"/>
  <c r="K103" i="13" s="1"/>
  <c r="K133" i="13" s="1"/>
  <c r="L89" i="13"/>
  <c r="L91" i="13" s="1"/>
  <c r="L101" i="13" s="1"/>
  <c r="L103" i="13" s="1"/>
  <c r="L133" i="13" s="1"/>
  <c r="M89" i="13"/>
  <c r="M91" i="13" s="1"/>
  <c r="M101" i="13" s="1"/>
  <c r="M103" i="13" s="1"/>
  <c r="M133" i="13" s="1"/>
  <c r="N89" i="13"/>
  <c r="N91" i="13" s="1"/>
  <c r="N101" i="13" s="1"/>
  <c r="N103" i="13" s="1"/>
  <c r="N133" i="13" s="1"/>
  <c r="O89" i="13"/>
  <c r="O91" i="13" s="1"/>
  <c r="O101" i="13" s="1"/>
  <c r="O103" i="13" s="1"/>
  <c r="O133" i="13" s="1"/>
  <c r="E74" i="13"/>
  <c r="F74" i="13"/>
  <c r="G74" i="13"/>
  <c r="H74" i="13"/>
  <c r="I74" i="13"/>
  <c r="J74" i="13"/>
  <c r="M74" i="13"/>
  <c r="K74" i="13"/>
  <c r="L74" i="13"/>
  <c r="N74" i="13"/>
  <c r="O74" i="13"/>
  <c r="Q74" i="13"/>
  <c r="R74" i="13"/>
  <c r="E70" i="13"/>
  <c r="F70" i="13"/>
  <c r="G70" i="13"/>
  <c r="I70" i="13"/>
  <c r="H70" i="13"/>
  <c r="J70" i="13"/>
  <c r="K70" i="13"/>
  <c r="L70" i="13"/>
  <c r="M70" i="13"/>
  <c r="N70" i="13"/>
  <c r="O70" i="13"/>
  <c r="R70" i="13"/>
  <c r="Q70" i="13"/>
  <c r="T70" i="13"/>
  <c r="V70" i="13"/>
  <c r="U70" i="13"/>
  <c r="W70" i="13"/>
  <c r="Z70" i="13"/>
  <c r="X70" i="13"/>
  <c r="Y70" i="13"/>
  <c r="F74" i="16"/>
  <c r="E74" i="16"/>
  <c r="F89" i="16"/>
  <c r="F91" i="16" s="1"/>
  <c r="F101" i="16" s="1"/>
  <c r="F103" i="16" s="1"/>
  <c r="F133" i="16" s="1"/>
  <c r="E89" i="16"/>
  <c r="E91" i="16" s="1"/>
  <c r="E101" i="16" s="1"/>
  <c r="E103" i="16" s="1"/>
  <c r="E133" i="16" s="1"/>
  <c r="E74" i="15"/>
  <c r="F74" i="15"/>
  <c r="E89" i="15"/>
  <c r="E91" i="15" s="1"/>
  <c r="E101" i="15" s="1"/>
  <c r="E103" i="15" s="1"/>
  <c r="E133" i="15" s="1"/>
  <c r="F89" i="15"/>
  <c r="F91" i="15" s="1"/>
  <c r="F101" i="15" s="1"/>
  <c r="F103" i="15" s="1"/>
  <c r="F133" i="15" s="1"/>
  <c r="F74" i="17"/>
  <c r="E74" i="17"/>
  <c r="F89" i="17"/>
  <c r="F91" i="17" s="1"/>
  <c r="F101" i="17" s="1"/>
  <c r="F103" i="17" s="1"/>
  <c r="F133" i="17" s="1"/>
  <c r="E89" i="17"/>
  <c r="E91" i="17" s="1"/>
  <c r="E101" i="17" s="1"/>
  <c r="E103" i="17" s="1"/>
  <c r="E133" i="17" s="1"/>
  <c r="C71" i="17"/>
  <c r="C70" i="17"/>
  <c r="C89" i="8"/>
  <c r="C71" i="8"/>
  <c r="E71" i="8" s="1"/>
  <c r="C71" i="7"/>
  <c r="E71" i="7" s="1"/>
  <c r="C89" i="7"/>
  <c r="E70" i="11"/>
  <c r="G76" i="11"/>
  <c r="G132" i="11" s="1"/>
  <c r="C89" i="11"/>
  <c r="G89" i="11" s="1"/>
  <c r="E36" i="11"/>
  <c r="I42" i="11"/>
  <c r="I63" i="11" s="1"/>
  <c r="I65" i="11" s="1"/>
  <c r="I131" i="11" s="1"/>
  <c r="E42" i="11"/>
  <c r="E63" i="11" s="1"/>
  <c r="E65" i="11" s="1"/>
  <c r="E131" i="11" s="1"/>
  <c r="C74" i="11"/>
  <c r="E72" i="11"/>
  <c r="C71" i="11"/>
  <c r="E69" i="11"/>
  <c r="I76" i="11"/>
  <c r="I132" i="11" s="1"/>
  <c r="G42" i="11"/>
  <c r="G63" i="11" s="1"/>
  <c r="G65" i="11" s="1"/>
  <c r="G131" i="11" s="1"/>
  <c r="J42" i="12"/>
  <c r="J63" i="12" s="1"/>
  <c r="J65" i="12" s="1"/>
  <c r="J131" i="12" s="1"/>
  <c r="J72" i="12"/>
  <c r="H72" i="12"/>
  <c r="I72" i="12"/>
  <c r="F72" i="12"/>
  <c r="G72" i="12"/>
  <c r="L72" i="12"/>
  <c r="K72" i="12"/>
  <c r="M72" i="12"/>
  <c r="H42" i="12"/>
  <c r="H63" i="12" s="1"/>
  <c r="H65" i="12" s="1"/>
  <c r="H131" i="12" s="1"/>
  <c r="J69" i="12"/>
  <c r="I69" i="12"/>
  <c r="F69" i="12"/>
  <c r="H69" i="12"/>
  <c r="G69" i="12"/>
  <c r="L69" i="12"/>
  <c r="K69" i="12"/>
  <c r="M69" i="12"/>
  <c r="N69" i="12"/>
  <c r="I36" i="12"/>
  <c r="I42" i="12" s="1"/>
  <c r="I63" i="12" s="1"/>
  <c r="I65" i="12" s="1"/>
  <c r="I131" i="12" s="1"/>
  <c r="H36" i="12"/>
  <c r="F36" i="12"/>
  <c r="F42" i="12" s="1"/>
  <c r="F63" i="12" s="1"/>
  <c r="F65" i="12" s="1"/>
  <c r="F131" i="12" s="1"/>
  <c r="G36" i="12"/>
  <c r="G42" i="12" s="1"/>
  <c r="G63" i="12" s="1"/>
  <c r="G65" i="12" s="1"/>
  <c r="G131" i="12" s="1"/>
  <c r="K36" i="12"/>
  <c r="K42" i="12" s="1"/>
  <c r="K63" i="12" s="1"/>
  <c r="K65" i="12" s="1"/>
  <c r="K131" i="12" s="1"/>
  <c r="L36" i="12"/>
  <c r="L42" i="12" s="1"/>
  <c r="L63" i="12" s="1"/>
  <c r="L65" i="12" s="1"/>
  <c r="L131" i="12" s="1"/>
  <c r="M36" i="12"/>
  <c r="M42" i="12" s="1"/>
  <c r="M63" i="12" s="1"/>
  <c r="M65" i="12" s="1"/>
  <c r="M131" i="12" s="1"/>
  <c r="N36" i="12"/>
  <c r="N42" i="12" s="1"/>
  <c r="N63" i="12" s="1"/>
  <c r="N65" i="12" s="1"/>
  <c r="N131" i="12" s="1"/>
  <c r="O86" i="12"/>
  <c r="O69" i="12"/>
  <c r="O85" i="12"/>
  <c r="O88" i="12"/>
  <c r="O90" i="12"/>
  <c r="O34" i="12"/>
  <c r="O39" i="12"/>
  <c r="O72" i="12"/>
  <c r="O38" i="12"/>
  <c r="O75" i="12"/>
  <c r="O87" i="12"/>
  <c r="O37" i="12"/>
  <c r="O40" i="12"/>
  <c r="O35" i="12"/>
  <c r="O41" i="12"/>
  <c r="O36" i="12"/>
  <c r="C74" i="12"/>
  <c r="E72" i="12"/>
  <c r="E69" i="12"/>
  <c r="C89" i="12"/>
  <c r="E36" i="12"/>
  <c r="E42" i="12" s="1"/>
  <c r="E63" i="12" s="1"/>
  <c r="E65" i="12" s="1"/>
  <c r="E131" i="12" s="1"/>
  <c r="C70" i="12"/>
  <c r="AB70" i="12" s="1"/>
  <c r="C71" i="16"/>
  <c r="C70" i="16"/>
  <c r="C71" i="15"/>
  <c r="C70" i="15"/>
  <c r="C89" i="6"/>
  <c r="H42" i="6"/>
  <c r="H63" i="6" s="1"/>
  <c r="H65" i="6" s="1"/>
  <c r="H131" i="6" s="1"/>
  <c r="H91" i="6"/>
  <c r="H101" i="6" s="1"/>
  <c r="H103" i="6" s="1"/>
  <c r="H133" i="6" s="1"/>
  <c r="H76" i="6"/>
  <c r="H132" i="6" s="1"/>
  <c r="J42" i="6"/>
  <c r="J63" i="6" s="1"/>
  <c r="J65" i="6" s="1"/>
  <c r="J131" i="6" s="1"/>
  <c r="C71" i="6"/>
  <c r="C70" i="6"/>
  <c r="J76" i="6"/>
  <c r="J132" i="6" s="1"/>
  <c r="J91" i="6"/>
  <c r="J101" i="6" s="1"/>
  <c r="J103" i="6" s="1"/>
  <c r="J133" i="6" s="1"/>
  <c r="F72" i="6"/>
  <c r="E72" i="6"/>
  <c r="F69" i="6"/>
  <c r="E69" i="6"/>
  <c r="E42" i="6"/>
  <c r="E63" i="6" s="1"/>
  <c r="E65" i="6" s="1"/>
  <c r="E131" i="6" s="1"/>
  <c r="F42" i="6"/>
  <c r="F63" i="6" s="1"/>
  <c r="F65" i="6" s="1"/>
  <c r="F131" i="6" s="1"/>
  <c r="C71" i="12"/>
  <c r="AB71" i="12" s="1"/>
  <c r="C71" i="13"/>
  <c r="R130" i="12"/>
  <c r="R64" i="12"/>
  <c r="O62" i="12"/>
  <c r="AB76" i="12" l="1"/>
  <c r="AB132" i="12" s="1"/>
  <c r="U42" i="12"/>
  <c r="V34" i="12"/>
  <c r="Z91" i="12"/>
  <c r="Z101" i="12" s="1"/>
  <c r="Z103" i="12" s="1"/>
  <c r="Z133" i="12" s="1"/>
  <c r="R74" i="12"/>
  <c r="Q74" i="12"/>
  <c r="U70" i="12"/>
  <c r="W70" i="12"/>
  <c r="R70" i="12"/>
  <c r="Y70" i="12"/>
  <c r="Y76" i="12" s="1"/>
  <c r="Y132" i="12" s="1"/>
  <c r="V70" i="12"/>
  <c r="V76" i="12" s="1"/>
  <c r="Q70" i="12"/>
  <c r="T70" i="12"/>
  <c r="T76" i="12" s="1"/>
  <c r="T132" i="12" s="1"/>
  <c r="T135" i="12" s="1"/>
  <c r="Z70" i="12"/>
  <c r="Z76" i="12" s="1"/>
  <c r="Z132" i="12" s="1"/>
  <c r="X70" i="12"/>
  <c r="X76" i="12" s="1"/>
  <c r="Q36" i="12"/>
  <c r="Q86" i="12"/>
  <c r="Q40" i="12"/>
  <c r="Q39" i="12"/>
  <c r="Q75" i="12"/>
  <c r="Q85" i="12"/>
  <c r="Q41" i="12"/>
  <c r="Q72" i="12"/>
  <c r="Q38" i="12"/>
  <c r="Q37" i="12"/>
  <c r="Q69" i="12"/>
  <c r="Q35" i="12"/>
  <c r="Q89" i="12"/>
  <c r="Q90" i="12"/>
  <c r="Q73" i="12"/>
  <c r="Q88" i="12"/>
  <c r="Q87" i="12"/>
  <c r="W71" i="12"/>
  <c r="R71" i="12"/>
  <c r="Y71" i="12"/>
  <c r="V71" i="12"/>
  <c r="Q71" i="12"/>
  <c r="X71" i="12"/>
  <c r="T71" i="12"/>
  <c r="Z71" i="12"/>
  <c r="U71" i="12"/>
  <c r="E71" i="13"/>
  <c r="F71" i="13"/>
  <c r="G71" i="13"/>
  <c r="H71" i="13"/>
  <c r="I71" i="13"/>
  <c r="J71" i="13"/>
  <c r="K71" i="13"/>
  <c r="M71" i="13"/>
  <c r="L71" i="13"/>
  <c r="N71" i="13"/>
  <c r="O71" i="13"/>
  <c r="R71" i="13"/>
  <c r="R76" i="13" s="1"/>
  <c r="R132" i="13" s="1"/>
  <c r="R135" i="13" s="1"/>
  <c r="Q71" i="13"/>
  <c r="T71" i="13"/>
  <c r="U71" i="13"/>
  <c r="U76" i="13" s="1"/>
  <c r="U132" i="13" s="1"/>
  <c r="U135" i="13" s="1"/>
  <c r="V71" i="13"/>
  <c r="V76" i="13" s="1"/>
  <c r="V132" i="13" s="1"/>
  <c r="V135" i="13" s="1"/>
  <c r="W71" i="13"/>
  <c r="W76" i="13" s="1"/>
  <c r="W132" i="13" s="1"/>
  <c r="W135" i="13" s="1"/>
  <c r="X71" i="13"/>
  <c r="X76" i="13" s="1"/>
  <c r="X132" i="13" s="1"/>
  <c r="X135" i="13" s="1"/>
  <c r="Z71" i="13"/>
  <c r="Z76" i="13" s="1"/>
  <c r="Z132" i="13" s="1"/>
  <c r="Z135" i="13" s="1"/>
  <c r="Y71" i="13"/>
  <c r="Y76" i="13" s="1"/>
  <c r="Y132" i="13" s="1"/>
  <c r="Y135" i="13" s="1"/>
  <c r="T76" i="13"/>
  <c r="T132" i="13" s="1"/>
  <c r="T135" i="13" s="1"/>
  <c r="Q76" i="13"/>
  <c r="Q132" i="13" s="1"/>
  <c r="Q135" i="13" s="1"/>
  <c r="F71" i="16"/>
  <c r="E71" i="16"/>
  <c r="F70" i="16"/>
  <c r="E70" i="16"/>
  <c r="E70" i="15"/>
  <c r="F70" i="15"/>
  <c r="E71" i="15"/>
  <c r="F71" i="15"/>
  <c r="F70" i="17"/>
  <c r="E70" i="17"/>
  <c r="F71" i="17"/>
  <c r="E71" i="17"/>
  <c r="E89" i="8"/>
  <c r="E91" i="8" s="1"/>
  <c r="E101" i="8" s="1"/>
  <c r="E103" i="8" s="1"/>
  <c r="E133" i="8" s="1"/>
  <c r="G91" i="8"/>
  <c r="G101" i="8" s="1"/>
  <c r="G103" i="8" s="1"/>
  <c r="G133" i="8" s="1"/>
  <c r="G135" i="8" s="1"/>
  <c r="I89" i="8"/>
  <c r="I91" i="8" s="1"/>
  <c r="I101" i="8" s="1"/>
  <c r="I103" i="8" s="1"/>
  <c r="I133" i="8" s="1"/>
  <c r="I135" i="8" s="1"/>
  <c r="I89" i="7"/>
  <c r="I91" i="7" s="1"/>
  <c r="I101" i="7" s="1"/>
  <c r="I103" i="7" s="1"/>
  <c r="I133" i="7" s="1"/>
  <c r="I135" i="7" s="1"/>
  <c r="G89" i="7"/>
  <c r="G91" i="7" s="1"/>
  <c r="G101" i="7" s="1"/>
  <c r="G103" i="7" s="1"/>
  <c r="G133" i="7" s="1"/>
  <c r="G135" i="7" s="1"/>
  <c r="E89" i="7"/>
  <c r="E91" i="7" s="1"/>
  <c r="E101" i="7" s="1"/>
  <c r="E103" i="7" s="1"/>
  <c r="E133" i="7" s="1"/>
  <c r="G91" i="11"/>
  <c r="I89" i="11"/>
  <c r="I91" i="11" s="1"/>
  <c r="E89" i="11"/>
  <c r="E91" i="11" s="1"/>
  <c r="E74" i="11"/>
  <c r="E71" i="11"/>
  <c r="O42" i="12"/>
  <c r="O63" i="12" s="1"/>
  <c r="O65" i="12" s="1"/>
  <c r="O131" i="12" s="1"/>
  <c r="J71" i="12"/>
  <c r="I71" i="12"/>
  <c r="H71" i="12"/>
  <c r="F71" i="12"/>
  <c r="N71" i="12"/>
  <c r="G71" i="12"/>
  <c r="O71" i="12"/>
  <c r="M71" i="12"/>
  <c r="L71" i="12"/>
  <c r="K71" i="12"/>
  <c r="N89" i="12"/>
  <c r="N91" i="12" s="1"/>
  <c r="M89" i="12"/>
  <c r="M91" i="12" s="1"/>
  <c r="L89" i="12"/>
  <c r="L91" i="12" s="1"/>
  <c r="I89" i="12"/>
  <c r="I91" i="12" s="1"/>
  <c r="H89" i="12"/>
  <c r="H91" i="12" s="1"/>
  <c r="G89" i="12"/>
  <c r="G91" i="12" s="1"/>
  <c r="F89" i="12"/>
  <c r="F91" i="12" s="1"/>
  <c r="O89" i="12"/>
  <c r="O91" i="12" s="1"/>
  <c r="K89" i="12"/>
  <c r="K91" i="12" s="1"/>
  <c r="J89" i="12"/>
  <c r="J91" i="12" s="1"/>
  <c r="N70" i="12"/>
  <c r="M70" i="12"/>
  <c r="L70" i="12"/>
  <c r="K70" i="12"/>
  <c r="J70" i="12"/>
  <c r="I70" i="12"/>
  <c r="H70" i="12"/>
  <c r="G70" i="12"/>
  <c r="F70" i="12"/>
  <c r="O70" i="12"/>
  <c r="L74" i="12"/>
  <c r="K74" i="12"/>
  <c r="J74" i="12"/>
  <c r="I74" i="12"/>
  <c r="H74" i="12"/>
  <c r="G74" i="12"/>
  <c r="F74" i="12"/>
  <c r="O74" i="12"/>
  <c r="N74" i="12"/>
  <c r="M74" i="12"/>
  <c r="E71" i="12"/>
  <c r="E89" i="12"/>
  <c r="E91" i="12" s="1"/>
  <c r="E101" i="12" s="1"/>
  <c r="E103" i="12" s="1"/>
  <c r="E133" i="12" s="1"/>
  <c r="E70" i="12"/>
  <c r="E74" i="12"/>
  <c r="J135" i="6"/>
  <c r="H135" i="6"/>
  <c r="F71" i="6"/>
  <c r="E71" i="6"/>
  <c r="E70" i="6"/>
  <c r="F70" i="6"/>
  <c r="F74" i="6"/>
  <c r="E74" i="6"/>
  <c r="E89" i="6"/>
  <c r="E91" i="6" s="1"/>
  <c r="E101" i="6" s="1"/>
  <c r="E103" i="6" s="1"/>
  <c r="E133" i="6" s="1"/>
  <c r="F89" i="6"/>
  <c r="F91" i="6" s="1"/>
  <c r="F101" i="6" s="1"/>
  <c r="F103" i="6" s="1"/>
  <c r="F133" i="6" s="1"/>
  <c r="U130" i="12"/>
  <c r="U64" i="12"/>
  <c r="Q62" i="12"/>
  <c r="Q34" i="12"/>
  <c r="R34" i="12" s="1"/>
  <c r="R42" i="12" s="1"/>
  <c r="W34" i="12" l="1"/>
  <c r="V42" i="12"/>
  <c r="T118" i="12"/>
  <c r="T117" i="12"/>
  <c r="W76" i="12"/>
  <c r="U76" i="12"/>
  <c r="U118" i="13"/>
  <c r="U119" i="13" s="1"/>
  <c r="U117" i="13"/>
  <c r="U123" i="13"/>
  <c r="V118" i="13"/>
  <c r="V117" i="13"/>
  <c r="V123" i="13"/>
  <c r="R118" i="13"/>
  <c r="R117" i="13"/>
  <c r="Y117" i="13"/>
  <c r="Y118" i="13"/>
  <c r="Y123" i="13" s="1"/>
  <c r="T117" i="13"/>
  <c r="T118" i="13"/>
  <c r="T119" i="13" s="1"/>
  <c r="T123" i="13"/>
  <c r="Q118" i="13"/>
  <c r="Q117" i="13"/>
  <c r="Q123" i="13"/>
  <c r="Z117" i="13"/>
  <c r="Z118" i="13"/>
  <c r="Z123" i="13"/>
  <c r="X117" i="13"/>
  <c r="X118" i="13"/>
  <c r="W117" i="13"/>
  <c r="W118" i="13"/>
  <c r="W123" i="13" s="1"/>
  <c r="I117" i="8"/>
  <c r="I118" i="8"/>
  <c r="I123" i="8" s="1"/>
  <c r="G117" i="8"/>
  <c r="G118" i="8"/>
  <c r="G123" i="8"/>
  <c r="G118" i="7"/>
  <c r="G117" i="7"/>
  <c r="G123" i="7"/>
  <c r="I118" i="7"/>
  <c r="I117" i="7"/>
  <c r="I101" i="11"/>
  <c r="I103" i="11" s="1"/>
  <c r="I133" i="11" s="1"/>
  <c r="I135" i="11" s="1"/>
  <c r="G101" i="11"/>
  <c r="G103" i="11" s="1"/>
  <c r="G133" i="11" s="1"/>
  <c r="G135" i="11" s="1"/>
  <c r="E101" i="11"/>
  <c r="E103" i="11" s="1"/>
  <c r="E133" i="11" s="1"/>
  <c r="L101" i="12"/>
  <c r="L103" i="12" s="1"/>
  <c r="L133" i="12" s="1"/>
  <c r="I101" i="12"/>
  <c r="I103" i="12" s="1"/>
  <c r="I133" i="12" s="1"/>
  <c r="N101" i="12"/>
  <c r="N103" i="12" s="1"/>
  <c r="N133" i="12" s="1"/>
  <c r="J101" i="12"/>
  <c r="J103" i="12" s="1"/>
  <c r="J133" i="12" s="1"/>
  <c r="H101" i="12"/>
  <c r="H103" i="12" s="1"/>
  <c r="H133" i="12" s="1"/>
  <c r="K101" i="12"/>
  <c r="K103" i="12" s="1"/>
  <c r="K133" i="12" s="1"/>
  <c r="O101" i="12"/>
  <c r="O103" i="12" s="1"/>
  <c r="O133" i="12" s="1"/>
  <c r="F101" i="12"/>
  <c r="F103" i="12" s="1"/>
  <c r="F133" i="12" s="1"/>
  <c r="M101" i="12"/>
  <c r="M103" i="12" s="1"/>
  <c r="M133" i="12" s="1"/>
  <c r="G101" i="12"/>
  <c r="G103" i="12" s="1"/>
  <c r="G133" i="12" s="1"/>
  <c r="H118" i="6"/>
  <c r="H117" i="6"/>
  <c r="R62" i="12"/>
  <c r="Q91" i="12"/>
  <c r="Q101" i="12" s="1"/>
  <c r="Q103" i="12" s="1"/>
  <c r="Q133" i="12" s="1"/>
  <c r="Q42" i="12"/>
  <c r="Q63" i="12" s="1"/>
  <c r="Q65" i="12" s="1"/>
  <c r="Q131" i="12" s="1"/>
  <c r="Q76" i="12"/>
  <c r="Q132" i="12" s="1"/>
  <c r="V130" i="12"/>
  <c r="V64" i="12"/>
  <c r="F17" i="2"/>
  <c r="C121" i="17"/>
  <c r="C120" i="17"/>
  <c r="C119" i="17" s="1"/>
  <c r="C124" i="17" s="1"/>
  <c r="D111" i="17"/>
  <c r="D134" i="17" s="1"/>
  <c r="C97" i="17"/>
  <c r="D102" i="17" s="1"/>
  <c r="C91" i="17"/>
  <c r="C42" i="17"/>
  <c r="C73" i="17" s="1"/>
  <c r="D13" i="17"/>
  <c r="D19" i="17" s="1"/>
  <c r="D51" i="17" s="1"/>
  <c r="D56" i="17" s="1"/>
  <c r="D64" i="17" s="1"/>
  <c r="C121" i="16"/>
  <c r="C120" i="16"/>
  <c r="C119" i="16" s="1"/>
  <c r="D111" i="16"/>
  <c r="D134" i="16" s="1"/>
  <c r="C97" i="16"/>
  <c r="D102" i="16" s="1"/>
  <c r="C91" i="16"/>
  <c r="C42" i="16"/>
  <c r="C73" i="16" s="1"/>
  <c r="D13" i="16"/>
  <c r="D19" i="16" s="1"/>
  <c r="D51" i="16" s="1"/>
  <c r="D56" i="16" s="1"/>
  <c r="D64" i="16" s="1"/>
  <c r="C121" i="15"/>
  <c r="C120" i="15"/>
  <c r="C119" i="15" s="1"/>
  <c r="D111" i="15"/>
  <c r="D134" i="15" s="1"/>
  <c r="C97" i="15"/>
  <c r="D102" i="15" s="1"/>
  <c r="C91" i="15"/>
  <c r="C42" i="15"/>
  <c r="C73" i="15" s="1"/>
  <c r="D13" i="15"/>
  <c r="D19" i="15" s="1"/>
  <c r="C121" i="13"/>
  <c r="C120" i="13"/>
  <c r="C119" i="13" s="1"/>
  <c r="C124" i="13" s="1"/>
  <c r="D111" i="13"/>
  <c r="D134" i="13" s="1"/>
  <c r="C97" i="13"/>
  <c r="D102" i="13" s="1"/>
  <c r="C91" i="13"/>
  <c r="C42" i="13"/>
  <c r="C73" i="13" s="1"/>
  <c r="D13" i="13"/>
  <c r="D19" i="13" s="1"/>
  <c r="D51" i="13" s="1"/>
  <c r="D56" i="13" s="1"/>
  <c r="D64" i="13" s="1"/>
  <c r="C121" i="12"/>
  <c r="C120" i="12"/>
  <c r="D111" i="12"/>
  <c r="D134" i="12" s="1"/>
  <c r="C97" i="12"/>
  <c r="D102" i="12" s="1"/>
  <c r="C91" i="12"/>
  <c r="C42" i="12"/>
  <c r="C73" i="12" s="1"/>
  <c r="D13" i="12"/>
  <c r="D19" i="12" s="1"/>
  <c r="C121" i="11"/>
  <c r="C120" i="11"/>
  <c r="D111" i="11"/>
  <c r="D134" i="11" s="1"/>
  <c r="C97" i="11"/>
  <c r="D102" i="11" s="1"/>
  <c r="C91" i="11"/>
  <c r="C42" i="11"/>
  <c r="C73" i="11" s="1"/>
  <c r="D13" i="11"/>
  <c r="D19" i="11" s="1"/>
  <c r="W42" i="12" l="1"/>
  <c r="X34" i="12"/>
  <c r="I123" i="7"/>
  <c r="T123" i="12"/>
  <c r="R119" i="13"/>
  <c r="Z119" i="13"/>
  <c r="Z124" i="13" s="1"/>
  <c r="Z136" i="13" s="1"/>
  <c r="Z137" i="13" s="1"/>
  <c r="R123" i="13"/>
  <c r="V119" i="13"/>
  <c r="T124" i="13"/>
  <c r="T136" i="13" s="1"/>
  <c r="T137" i="13" s="1"/>
  <c r="V124" i="13"/>
  <c r="V136" i="13" s="1"/>
  <c r="V137" i="13" s="1"/>
  <c r="Y119" i="13"/>
  <c r="Y124" i="13" s="1"/>
  <c r="Y136" i="13" s="1"/>
  <c r="Y137" i="13" s="1"/>
  <c r="W119" i="13"/>
  <c r="W124" i="13" s="1"/>
  <c r="W136" i="13" s="1"/>
  <c r="W137" i="13" s="1"/>
  <c r="U124" i="13"/>
  <c r="U136" i="13" s="1"/>
  <c r="U137" i="13" s="1"/>
  <c r="C76" i="13"/>
  <c r="E73" i="13"/>
  <c r="E76" i="13" s="1"/>
  <c r="E132" i="13" s="1"/>
  <c r="E135" i="13" s="1"/>
  <c r="F73" i="13"/>
  <c r="F76" i="13" s="1"/>
  <c r="F132" i="13" s="1"/>
  <c r="F135" i="13" s="1"/>
  <c r="G73" i="13"/>
  <c r="G76" i="13" s="1"/>
  <c r="G132" i="13" s="1"/>
  <c r="G135" i="13" s="1"/>
  <c r="H73" i="13"/>
  <c r="H76" i="13" s="1"/>
  <c r="H132" i="13" s="1"/>
  <c r="H135" i="13" s="1"/>
  <c r="I73" i="13"/>
  <c r="I76" i="13" s="1"/>
  <c r="I132" i="13" s="1"/>
  <c r="I135" i="13" s="1"/>
  <c r="J73" i="13"/>
  <c r="J76" i="13" s="1"/>
  <c r="J132" i="13" s="1"/>
  <c r="J135" i="13" s="1"/>
  <c r="K73" i="13"/>
  <c r="K76" i="13" s="1"/>
  <c r="K132" i="13" s="1"/>
  <c r="K135" i="13" s="1"/>
  <c r="M73" i="13"/>
  <c r="M76" i="13" s="1"/>
  <c r="M132" i="13" s="1"/>
  <c r="M135" i="13" s="1"/>
  <c r="L73" i="13"/>
  <c r="L76" i="13" s="1"/>
  <c r="L132" i="13" s="1"/>
  <c r="L135" i="13" s="1"/>
  <c r="N73" i="13"/>
  <c r="N76" i="13" s="1"/>
  <c r="N132" i="13" s="1"/>
  <c r="N135" i="13" s="1"/>
  <c r="O73" i="13"/>
  <c r="O76" i="13" s="1"/>
  <c r="O132" i="13" s="1"/>
  <c r="O135" i="13" s="1"/>
  <c r="Q119" i="13"/>
  <c r="Q124" i="13" s="1"/>
  <c r="Q136" i="13" s="1"/>
  <c r="Q137" i="13" s="1"/>
  <c r="X123" i="13"/>
  <c r="X119" i="13"/>
  <c r="C76" i="16"/>
  <c r="E73" i="16"/>
  <c r="E76" i="16" s="1"/>
  <c r="E132" i="16" s="1"/>
  <c r="E135" i="16" s="1"/>
  <c r="F73" i="16"/>
  <c r="F76" i="16" s="1"/>
  <c r="F132" i="16" s="1"/>
  <c r="F135" i="16" s="1"/>
  <c r="C76" i="15"/>
  <c r="E73" i="15"/>
  <c r="E76" i="15" s="1"/>
  <c r="E132" i="15" s="1"/>
  <c r="E135" i="15" s="1"/>
  <c r="F73" i="15"/>
  <c r="F76" i="15" s="1"/>
  <c r="F132" i="15" s="1"/>
  <c r="F135" i="15" s="1"/>
  <c r="C76" i="17"/>
  <c r="F73" i="17"/>
  <c r="F76" i="17" s="1"/>
  <c r="F132" i="17" s="1"/>
  <c r="F135" i="17" s="1"/>
  <c r="E73" i="17"/>
  <c r="E76" i="17" s="1"/>
  <c r="E132" i="17" s="1"/>
  <c r="E135" i="17" s="1"/>
  <c r="D130" i="17"/>
  <c r="G117" i="11"/>
  <c r="G118" i="11"/>
  <c r="C76" i="11"/>
  <c r="E73" i="11"/>
  <c r="E76" i="11" s="1"/>
  <c r="E132" i="11" s="1"/>
  <c r="E135" i="11" s="1"/>
  <c r="I117" i="11"/>
  <c r="I118" i="11"/>
  <c r="I123" i="11" s="1"/>
  <c r="D51" i="11"/>
  <c r="D56" i="11" s="1"/>
  <c r="D64" i="11" s="1"/>
  <c r="D26" i="11"/>
  <c r="D25" i="11"/>
  <c r="C119" i="11"/>
  <c r="I119" i="11" s="1"/>
  <c r="F73" i="12"/>
  <c r="F76" i="12" s="1"/>
  <c r="F132" i="12" s="1"/>
  <c r="F135" i="12" s="1"/>
  <c r="O73" i="12"/>
  <c r="O76" i="12" s="1"/>
  <c r="O132" i="12" s="1"/>
  <c r="O135" i="12" s="1"/>
  <c r="N73" i="12"/>
  <c r="N76" i="12" s="1"/>
  <c r="N132" i="12" s="1"/>
  <c r="N135" i="12" s="1"/>
  <c r="M73" i="12"/>
  <c r="M76" i="12" s="1"/>
  <c r="M132" i="12" s="1"/>
  <c r="M135" i="12" s="1"/>
  <c r="L73" i="12"/>
  <c r="L76" i="12" s="1"/>
  <c r="L132" i="12" s="1"/>
  <c r="L135" i="12" s="1"/>
  <c r="K73" i="12"/>
  <c r="K76" i="12" s="1"/>
  <c r="K132" i="12" s="1"/>
  <c r="K135" i="12" s="1"/>
  <c r="J73" i="12"/>
  <c r="J76" i="12" s="1"/>
  <c r="J132" i="12" s="1"/>
  <c r="J135" i="12" s="1"/>
  <c r="I73" i="12"/>
  <c r="I76" i="12" s="1"/>
  <c r="I132" i="12" s="1"/>
  <c r="I135" i="12" s="1"/>
  <c r="H73" i="12"/>
  <c r="H76" i="12" s="1"/>
  <c r="H132" i="12" s="1"/>
  <c r="H135" i="12" s="1"/>
  <c r="G73" i="12"/>
  <c r="G76" i="12" s="1"/>
  <c r="G132" i="12" s="1"/>
  <c r="G135" i="12" s="1"/>
  <c r="D51" i="12"/>
  <c r="D56" i="12" s="1"/>
  <c r="D64" i="12" s="1"/>
  <c r="D26" i="12"/>
  <c r="D25" i="12"/>
  <c r="C76" i="12"/>
  <c r="E73" i="12"/>
  <c r="E76" i="12" s="1"/>
  <c r="E132" i="12" s="1"/>
  <c r="E135" i="12" s="1"/>
  <c r="C119" i="12"/>
  <c r="H123" i="6"/>
  <c r="C124" i="16"/>
  <c r="C124" i="15"/>
  <c r="D130" i="15"/>
  <c r="D51" i="15"/>
  <c r="D56" i="15" s="1"/>
  <c r="D64" i="15" s="1"/>
  <c r="H119" i="6"/>
  <c r="J123" i="6"/>
  <c r="J124" i="6" s="1"/>
  <c r="J136" i="6" s="1"/>
  <c r="J137" i="6" s="1"/>
  <c r="R133" i="12"/>
  <c r="R76" i="12"/>
  <c r="R132" i="12" s="1"/>
  <c r="X130" i="12"/>
  <c r="X64" i="12"/>
  <c r="R63" i="12"/>
  <c r="R65" i="12" s="1"/>
  <c r="R131" i="12" s="1"/>
  <c r="W130" i="12"/>
  <c r="W64" i="12"/>
  <c r="U62" i="12"/>
  <c r="Q135" i="12"/>
  <c r="D130" i="16"/>
  <c r="D26" i="16"/>
  <c r="D25" i="16"/>
  <c r="D25" i="15"/>
  <c r="D25" i="17"/>
  <c r="D26" i="15"/>
  <c r="D26" i="17"/>
  <c r="D130" i="12"/>
  <c r="D130" i="11"/>
  <c r="D26" i="13"/>
  <c r="D25" i="13"/>
  <c r="D130" i="13"/>
  <c r="E15" i="10"/>
  <c r="E14" i="10"/>
  <c r="E16" i="10" s="1"/>
  <c r="E13" i="10"/>
  <c r="E17" i="10" s="1"/>
  <c r="E12" i="10"/>
  <c r="E8" i="10"/>
  <c r="E7" i="10"/>
  <c r="E6" i="10"/>
  <c r="E5" i="10"/>
  <c r="E10" i="10" s="1"/>
  <c r="E4" i="10"/>
  <c r="Y34" i="12" l="1"/>
  <c r="AA89" i="12"/>
  <c r="AA91" i="12" s="1"/>
  <c r="X42" i="12"/>
  <c r="AA73" i="12" s="1"/>
  <c r="AA76" i="12" s="1"/>
  <c r="C27" i="18"/>
  <c r="E27" i="18" s="1"/>
  <c r="G27" i="18" s="1"/>
  <c r="E40" i="18"/>
  <c r="G40" i="18" s="1"/>
  <c r="Q22" i="2"/>
  <c r="Z8" i="2" s="1"/>
  <c r="T119" i="12"/>
  <c r="T124" i="12" s="1"/>
  <c r="T136" i="12" s="1"/>
  <c r="T137" i="12" s="1"/>
  <c r="AU39" i="2" s="1"/>
  <c r="U15" i="2" s="1"/>
  <c r="Q118" i="12"/>
  <c r="Q117" i="12"/>
  <c r="Q119" i="12"/>
  <c r="F118" i="13"/>
  <c r="F117" i="13"/>
  <c r="F119" i="13"/>
  <c r="E118" i="13"/>
  <c r="E117" i="13"/>
  <c r="E119" i="13"/>
  <c r="N118" i="13"/>
  <c r="N117" i="13"/>
  <c r="N123" i="13"/>
  <c r="L118" i="13"/>
  <c r="L117" i="13"/>
  <c r="L119" i="13"/>
  <c r="X124" i="13"/>
  <c r="X136" i="13" s="1"/>
  <c r="X137" i="13" s="1"/>
  <c r="M117" i="13"/>
  <c r="M118" i="13"/>
  <c r="M123" i="13" s="1"/>
  <c r="K118" i="13"/>
  <c r="K117" i="13"/>
  <c r="K123" i="13"/>
  <c r="J117" i="13"/>
  <c r="J118" i="13"/>
  <c r="J123" i="13" s="1"/>
  <c r="J119" i="13"/>
  <c r="J124" i="13" s="1"/>
  <c r="J136" i="13" s="1"/>
  <c r="J137" i="13" s="1"/>
  <c r="I117" i="13"/>
  <c r="I118" i="13"/>
  <c r="I123" i="13" s="1"/>
  <c r="I119" i="13"/>
  <c r="I124" i="13" s="1"/>
  <c r="I136" i="13" s="1"/>
  <c r="I137" i="13" s="1"/>
  <c r="R124" i="13"/>
  <c r="R136" i="13" s="1"/>
  <c r="R137" i="13" s="1"/>
  <c r="G117" i="13"/>
  <c r="G118" i="13"/>
  <c r="G123" i="13" s="1"/>
  <c r="G119" i="13"/>
  <c r="G124" i="13" s="1"/>
  <c r="G136" i="13" s="1"/>
  <c r="G137" i="13" s="1"/>
  <c r="O117" i="13"/>
  <c r="O123" i="13" s="1"/>
  <c r="O118" i="13"/>
  <c r="H117" i="13"/>
  <c r="H118" i="13"/>
  <c r="H123" i="13" s="1"/>
  <c r="H119" i="13"/>
  <c r="H124" i="13" s="1"/>
  <c r="H136" i="13" s="1"/>
  <c r="H137" i="13" s="1"/>
  <c r="F118" i="16"/>
  <c r="F117" i="16"/>
  <c r="F123" i="16" s="1"/>
  <c r="E118" i="16"/>
  <c r="E117" i="16"/>
  <c r="E123" i="16"/>
  <c r="F118" i="15"/>
  <c r="F117" i="15"/>
  <c r="E117" i="15"/>
  <c r="E118" i="15"/>
  <c r="E119" i="15" s="1"/>
  <c r="H124" i="6"/>
  <c r="H136" i="6" s="1"/>
  <c r="H137" i="6" s="1"/>
  <c r="E118" i="17"/>
  <c r="E117" i="17"/>
  <c r="E119" i="17"/>
  <c r="F118" i="17"/>
  <c r="F117" i="17"/>
  <c r="F123" i="17" s="1"/>
  <c r="G123" i="11"/>
  <c r="I124" i="11"/>
  <c r="I136" i="11" s="1"/>
  <c r="I137" i="11" s="1"/>
  <c r="G119" i="11"/>
  <c r="G124" i="11" s="1"/>
  <c r="G136" i="11" s="1"/>
  <c r="G137" i="11" s="1"/>
  <c r="E118" i="11"/>
  <c r="E117" i="11"/>
  <c r="E119" i="11" s="1"/>
  <c r="C124" i="11"/>
  <c r="D27" i="13"/>
  <c r="D86" i="13" s="1"/>
  <c r="H118" i="12"/>
  <c r="H117" i="12"/>
  <c r="H123" i="12" s="1"/>
  <c r="I118" i="12"/>
  <c r="I117" i="12"/>
  <c r="K118" i="12"/>
  <c r="K117" i="12"/>
  <c r="L118" i="12"/>
  <c r="L117" i="12"/>
  <c r="L119" i="12" s="1"/>
  <c r="J117" i="12"/>
  <c r="J118" i="12"/>
  <c r="M118" i="12"/>
  <c r="M117" i="12"/>
  <c r="M123" i="12"/>
  <c r="N118" i="12"/>
  <c r="N117" i="12"/>
  <c r="O118" i="12"/>
  <c r="O123" i="12" s="1"/>
  <c r="O117" i="12"/>
  <c r="G118" i="12"/>
  <c r="G117" i="12"/>
  <c r="F118" i="12"/>
  <c r="F117" i="12"/>
  <c r="F119" i="12" s="1"/>
  <c r="C124" i="12"/>
  <c r="E118" i="12"/>
  <c r="E117" i="12"/>
  <c r="P22" i="2"/>
  <c r="P26" i="2" s="1"/>
  <c r="S8" i="2"/>
  <c r="U132" i="12"/>
  <c r="U63" i="12"/>
  <c r="U65" i="12" s="1"/>
  <c r="U131" i="12" s="1"/>
  <c r="V62" i="12"/>
  <c r="U133" i="12"/>
  <c r="R135" i="12"/>
  <c r="D40" i="13"/>
  <c r="D36" i="13"/>
  <c r="D74" i="13"/>
  <c r="D71" i="13"/>
  <c r="D87" i="13"/>
  <c r="D34" i="13"/>
  <c r="D27" i="16"/>
  <c r="D86" i="16" s="1"/>
  <c r="D27" i="15"/>
  <c r="D86" i="15" s="1"/>
  <c r="D27" i="17"/>
  <c r="D86" i="17" s="1"/>
  <c r="D27" i="11"/>
  <c r="D37" i="13"/>
  <c r="D27" i="12"/>
  <c r="E9" i="10"/>
  <c r="H119" i="12" l="1"/>
  <c r="H124" i="12" s="1"/>
  <c r="I119" i="12"/>
  <c r="Z34" i="12"/>
  <c r="Y42" i="12"/>
  <c r="Y63" i="12" s="1"/>
  <c r="Y65" i="12" s="1"/>
  <c r="Y131" i="12" s="1"/>
  <c r="Y135" i="12" s="1"/>
  <c r="W8" i="2"/>
  <c r="X8" i="2"/>
  <c r="S22" i="2"/>
  <c r="S26" i="2" s="1"/>
  <c r="V8" i="2"/>
  <c r="Y8" i="2"/>
  <c r="U8" i="2"/>
  <c r="AA8" i="2"/>
  <c r="H40" i="18"/>
  <c r="H27" i="18"/>
  <c r="R118" i="12"/>
  <c r="R117" i="12"/>
  <c r="R119" i="12"/>
  <c r="Q123" i="12"/>
  <c r="Q124" i="12" s="1"/>
  <c r="AW39" i="2"/>
  <c r="AW41" i="2" s="1"/>
  <c r="L123" i="13"/>
  <c r="L124" i="13" s="1"/>
  <c r="L136" i="13" s="1"/>
  <c r="L137" i="13" s="1"/>
  <c r="M119" i="13"/>
  <c r="M124" i="13" s="1"/>
  <c r="M136" i="13" s="1"/>
  <c r="M137" i="13" s="1"/>
  <c r="N119" i="13"/>
  <c r="N124" i="13" s="1"/>
  <c r="N136" i="13" s="1"/>
  <c r="N137" i="13" s="1"/>
  <c r="D85" i="13"/>
  <c r="D69" i="13"/>
  <c r="D62" i="13"/>
  <c r="D39" i="13"/>
  <c r="K124" i="13"/>
  <c r="K136" i="13" s="1"/>
  <c r="K137" i="13" s="1"/>
  <c r="E123" i="13"/>
  <c r="E124" i="13" s="1"/>
  <c r="E136" i="13" s="1"/>
  <c r="E137" i="13" s="1"/>
  <c r="O124" i="13"/>
  <c r="O136" i="13" s="1"/>
  <c r="O137" i="13" s="1"/>
  <c r="D35" i="13"/>
  <c r="D42" i="13" s="1"/>
  <c r="D63" i="13" s="1"/>
  <c r="D65" i="13" s="1"/>
  <c r="D131" i="13" s="1"/>
  <c r="D88" i="13"/>
  <c r="D91" i="13" s="1"/>
  <c r="D101" i="13" s="1"/>
  <c r="D103" i="13" s="1"/>
  <c r="D133" i="13" s="1"/>
  <c r="D38" i="13"/>
  <c r="D90" i="13"/>
  <c r="D72" i="13"/>
  <c r="D75" i="13"/>
  <c r="D41" i="13"/>
  <c r="K119" i="13"/>
  <c r="D89" i="13"/>
  <c r="D70" i="13"/>
  <c r="D73" i="13"/>
  <c r="O119" i="13"/>
  <c r="F123" i="13"/>
  <c r="F124" i="13" s="1"/>
  <c r="F136" i="13" s="1"/>
  <c r="F137" i="13" s="1"/>
  <c r="E119" i="16"/>
  <c r="E124" i="16" s="1"/>
  <c r="E136" i="16" s="1"/>
  <c r="E137" i="16" s="1"/>
  <c r="F119" i="16"/>
  <c r="F124" i="16" s="1"/>
  <c r="F136" i="16" s="1"/>
  <c r="F137" i="16" s="1"/>
  <c r="E123" i="15"/>
  <c r="E124" i="15" s="1"/>
  <c r="E136" i="15" s="1"/>
  <c r="E137" i="15" s="1"/>
  <c r="F119" i="15"/>
  <c r="F123" i="15"/>
  <c r="F119" i="17"/>
  <c r="F124" i="17" s="1"/>
  <c r="F136" i="17" s="1"/>
  <c r="F137" i="17" s="1"/>
  <c r="E123" i="17"/>
  <c r="E124" i="17" s="1"/>
  <c r="E136" i="17" s="1"/>
  <c r="E137" i="17" s="1"/>
  <c r="M33" i="2"/>
  <c r="M34" i="2" s="1"/>
  <c r="S14" i="2"/>
  <c r="E123" i="11"/>
  <c r="E124" i="11" s="1"/>
  <c r="E136" i="11" s="1"/>
  <c r="E137" i="11" s="1"/>
  <c r="D73" i="11"/>
  <c r="D90" i="11"/>
  <c r="D72" i="11"/>
  <c r="D85" i="11"/>
  <c r="D89" i="11"/>
  <c r="D75" i="11"/>
  <c r="D87" i="11"/>
  <c r="D88" i="11"/>
  <c r="D69" i="11"/>
  <c r="D86" i="11"/>
  <c r="D74" i="11"/>
  <c r="D70" i="11"/>
  <c r="D71" i="11"/>
  <c r="P33" i="2"/>
  <c r="Y14" i="2"/>
  <c r="X14" i="2"/>
  <c r="W14" i="2"/>
  <c r="V14" i="2"/>
  <c r="Z14" i="2"/>
  <c r="D38" i="11"/>
  <c r="D34" i="11"/>
  <c r="D36" i="11"/>
  <c r="D37" i="11"/>
  <c r="D41" i="11"/>
  <c r="D40" i="11"/>
  <c r="D39" i="11"/>
  <c r="D35" i="11"/>
  <c r="J119" i="12"/>
  <c r="K123" i="12"/>
  <c r="M119" i="12"/>
  <c r="M124" i="12" s="1"/>
  <c r="M136" i="12" s="1"/>
  <c r="M137" i="12" s="1"/>
  <c r="AF39" i="2" s="1"/>
  <c r="O119" i="12"/>
  <c r="O124" i="12" s="1"/>
  <c r="O136" i="12" s="1"/>
  <c r="O137" i="12" s="1"/>
  <c r="L123" i="12"/>
  <c r="L124" i="12" s="1"/>
  <c r="L136" i="12" s="1"/>
  <c r="L137" i="12" s="1"/>
  <c r="AC39" i="2" s="1"/>
  <c r="F123" i="12"/>
  <c r="K119" i="12"/>
  <c r="K124" i="12" s="1"/>
  <c r="K136" i="12" s="1"/>
  <c r="K137" i="12" s="1"/>
  <c r="Z39" i="2" s="1"/>
  <c r="N123" i="12"/>
  <c r="F124" i="12"/>
  <c r="F136" i="12" s="1"/>
  <c r="F137" i="12" s="1"/>
  <c r="K39" i="2" s="1"/>
  <c r="J123" i="12"/>
  <c r="G123" i="12"/>
  <c r="I123" i="12"/>
  <c r="N119" i="12"/>
  <c r="I124" i="12"/>
  <c r="I136" i="12" s="1"/>
  <c r="I137" i="12" s="1"/>
  <c r="T39" i="2" s="1"/>
  <c r="G119" i="12"/>
  <c r="G124" i="12" s="1"/>
  <c r="G136" i="12" s="1"/>
  <c r="G137" i="12" s="1"/>
  <c r="H136" i="12"/>
  <c r="H137" i="12" s="1"/>
  <c r="Q39" i="2" s="1"/>
  <c r="E123" i="12"/>
  <c r="E119" i="12"/>
  <c r="D88" i="12"/>
  <c r="D35" i="12"/>
  <c r="D72" i="12"/>
  <c r="D37" i="12"/>
  <c r="D36" i="12"/>
  <c r="D85" i="12"/>
  <c r="D69" i="12"/>
  <c r="D90" i="12"/>
  <c r="D70" i="12"/>
  <c r="D89" i="12"/>
  <c r="D86" i="12"/>
  <c r="D34" i="12"/>
  <c r="D71" i="12"/>
  <c r="D73" i="12"/>
  <c r="D38" i="12"/>
  <c r="D74" i="12"/>
  <c r="D39" i="12"/>
  <c r="D75" i="12"/>
  <c r="D41" i="12"/>
  <c r="D87" i="12"/>
  <c r="D40" i="12"/>
  <c r="V132" i="12"/>
  <c r="X62" i="12"/>
  <c r="U135" i="12"/>
  <c r="V133" i="12"/>
  <c r="V63" i="12"/>
  <c r="V65" i="12" s="1"/>
  <c r="V131" i="12" s="1"/>
  <c r="W62" i="12"/>
  <c r="D90" i="16"/>
  <c r="D40" i="16"/>
  <c r="D36" i="16"/>
  <c r="D74" i="16"/>
  <c r="D71" i="16"/>
  <c r="D87" i="16"/>
  <c r="D41" i="16"/>
  <c r="D34" i="16"/>
  <c r="D75" i="16"/>
  <c r="D38" i="16"/>
  <c r="D73" i="16"/>
  <c r="D39" i="16"/>
  <c r="D35" i="16"/>
  <c r="D72" i="16"/>
  <c r="D70" i="16"/>
  <c r="D69" i="16"/>
  <c r="D88" i="16"/>
  <c r="D85" i="16"/>
  <c r="D89" i="16"/>
  <c r="D90" i="17"/>
  <c r="D40" i="17"/>
  <c r="D36" i="17"/>
  <c r="D74" i="17"/>
  <c r="D41" i="17"/>
  <c r="D38" i="17"/>
  <c r="D34" i="17"/>
  <c r="D75" i="17"/>
  <c r="D73" i="17"/>
  <c r="D69" i="17"/>
  <c r="D88" i="17"/>
  <c r="D70" i="17"/>
  <c r="D85" i="17"/>
  <c r="D39" i="17"/>
  <c r="D35" i="17"/>
  <c r="D72" i="17"/>
  <c r="D89" i="17"/>
  <c r="D71" i="17"/>
  <c r="D87" i="17"/>
  <c r="D38" i="15"/>
  <c r="D73" i="15"/>
  <c r="D69" i="15"/>
  <c r="D41" i="15"/>
  <c r="D34" i="15"/>
  <c r="D75" i="15"/>
  <c r="D39" i="15"/>
  <c r="D35" i="15"/>
  <c r="D72" i="15"/>
  <c r="D70" i="15"/>
  <c r="D90" i="15"/>
  <c r="D71" i="15"/>
  <c r="D40" i="15"/>
  <c r="D36" i="15"/>
  <c r="D74" i="15"/>
  <c r="D87" i="15"/>
  <c r="D88" i="15"/>
  <c r="D85" i="15"/>
  <c r="D89" i="15"/>
  <c r="D76" i="13"/>
  <c r="D132" i="13" s="1"/>
  <c r="D62" i="16"/>
  <c r="D37" i="16"/>
  <c r="D62" i="15"/>
  <c r="D37" i="15"/>
  <c r="D62" i="17"/>
  <c r="D37" i="17"/>
  <c r="D62" i="12"/>
  <c r="D62" i="11"/>
  <c r="N39" i="2" l="1"/>
  <c r="J15" i="2" s="1"/>
  <c r="AL39" i="2"/>
  <c r="AN39" i="2" s="1"/>
  <c r="AN41" i="2" s="1"/>
  <c r="Y117" i="12"/>
  <c r="Y118" i="12"/>
  <c r="Y123" i="12"/>
  <c r="Y119" i="12"/>
  <c r="Y124" i="12" s="1"/>
  <c r="Y136" i="12" s="1"/>
  <c r="Y137" i="12" s="1"/>
  <c r="BJ39" i="2" s="1"/>
  <c r="AB42" i="12"/>
  <c r="AB63" i="12" s="1"/>
  <c r="AB65" i="12" s="1"/>
  <c r="AB131" i="12" s="1"/>
  <c r="AB135" i="12" s="1"/>
  <c r="Z42" i="12"/>
  <c r="Z63" i="12" s="1"/>
  <c r="Z65" i="12" s="1"/>
  <c r="Z131" i="12" s="1"/>
  <c r="Z135" i="12" s="1"/>
  <c r="E124" i="12"/>
  <c r="E136" i="12" s="1"/>
  <c r="E137" i="12" s="1"/>
  <c r="H39" i="2" s="1"/>
  <c r="H15" i="2" s="1"/>
  <c r="N124" i="12"/>
  <c r="N136" i="12" s="1"/>
  <c r="N137" i="12" s="1"/>
  <c r="AI39" i="2" s="1"/>
  <c r="AK39" i="2" s="1"/>
  <c r="AK41" i="2" s="1"/>
  <c r="U118" i="12"/>
  <c r="U117" i="12"/>
  <c r="U119" i="12"/>
  <c r="R15" i="2"/>
  <c r="J124" i="12"/>
  <c r="J136" i="12" s="1"/>
  <c r="J137" i="12" s="1"/>
  <c r="R123" i="12"/>
  <c r="R124" i="12" s="1"/>
  <c r="R136" i="12" s="1"/>
  <c r="R137" i="12" s="1"/>
  <c r="AR39" i="2" s="1"/>
  <c r="T15" i="2" s="1"/>
  <c r="F124" i="15"/>
  <c r="F136" i="15" s="1"/>
  <c r="F137" i="15" s="1"/>
  <c r="Q14" i="2"/>
  <c r="J33" i="2"/>
  <c r="J34" i="2" s="1"/>
  <c r="I14" i="2"/>
  <c r="N14" i="2"/>
  <c r="J14" i="2"/>
  <c r="O14" i="2"/>
  <c r="R14" i="2"/>
  <c r="K14" i="2"/>
  <c r="L14" i="2"/>
  <c r="P14" i="2"/>
  <c r="M14" i="2"/>
  <c r="P39" i="2"/>
  <c r="P41" i="2" s="1"/>
  <c r="Q136" i="12"/>
  <c r="Q137" i="12" s="1"/>
  <c r="AB39" i="2"/>
  <c r="AB41" i="2" s="1"/>
  <c r="N15" i="2"/>
  <c r="AE39" i="2"/>
  <c r="AE41" i="2" s="1"/>
  <c r="O15" i="2"/>
  <c r="S39" i="2"/>
  <c r="S41" i="2" s="1"/>
  <c r="K15" i="2"/>
  <c r="AH39" i="2"/>
  <c r="AH41" i="2" s="1"/>
  <c r="P15" i="2"/>
  <c r="L15" i="2"/>
  <c r="V39" i="2"/>
  <c r="V41" i="2" s="1"/>
  <c r="M39" i="2"/>
  <c r="M41" i="2" s="1"/>
  <c r="I15" i="2"/>
  <c r="J39" i="2"/>
  <c r="J41" i="2" s="1"/>
  <c r="V135" i="12"/>
  <c r="D91" i="16"/>
  <c r="D101" i="16" s="1"/>
  <c r="D103" i="16" s="1"/>
  <c r="D133" i="16" s="1"/>
  <c r="X63" i="12"/>
  <c r="X65" i="12" s="1"/>
  <c r="X131" i="12" s="1"/>
  <c r="W132" i="12"/>
  <c r="W63" i="12"/>
  <c r="W65" i="12" s="1"/>
  <c r="W131" i="12" s="1"/>
  <c r="X133" i="12"/>
  <c r="W133" i="12"/>
  <c r="X132" i="12"/>
  <c r="D76" i="16"/>
  <c r="D132" i="16" s="1"/>
  <c r="D76" i="15"/>
  <c r="D132" i="15" s="1"/>
  <c r="D42" i="12"/>
  <c r="D63" i="12" s="1"/>
  <c r="D65" i="12" s="1"/>
  <c r="D131" i="12" s="1"/>
  <c r="D76" i="17"/>
  <c r="D132" i="17" s="1"/>
  <c r="D76" i="11"/>
  <c r="D132" i="11" s="1"/>
  <c r="D76" i="12"/>
  <c r="D132" i="12" s="1"/>
  <c r="D42" i="16"/>
  <c r="D63" i="16" s="1"/>
  <c r="D65" i="16" s="1"/>
  <c r="D131" i="16" s="1"/>
  <c r="D42" i="15"/>
  <c r="D42" i="17"/>
  <c r="D63" i="17" s="1"/>
  <c r="D65" i="17" s="1"/>
  <c r="D131" i="17" s="1"/>
  <c r="D42" i="11"/>
  <c r="D63" i="11" s="1"/>
  <c r="D65" i="11" s="1"/>
  <c r="D131" i="11" s="1"/>
  <c r="D63" i="15"/>
  <c r="D65" i="15" s="1"/>
  <c r="D131" i="15" s="1"/>
  <c r="D135" i="13"/>
  <c r="D117" i="13" s="1"/>
  <c r="D91" i="15"/>
  <c r="D101" i="15" s="1"/>
  <c r="D103" i="15" s="1"/>
  <c r="D133" i="15" s="1"/>
  <c r="D91" i="11"/>
  <c r="D101" i="11" s="1"/>
  <c r="D103" i="11" s="1"/>
  <c r="D133" i="11" s="1"/>
  <c r="D91" i="17"/>
  <c r="D101" i="17" s="1"/>
  <c r="D103" i="17" s="1"/>
  <c r="D133" i="17" s="1"/>
  <c r="D91" i="12"/>
  <c r="D101" i="12" s="1"/>
  <c r="D103" i="12" s="1"/>
  <c r="D133" i="12" s="1"/>
  <c r="AO39" i="2" l="1"/>
  <c r="AQ39" i="2" s="1"/>
  <c r="AQ41" i="2" s="1"/>
  <c r="BL39" i="2"/>
  <c r="BL41" i="2" s="1"/>
  <c r="Z15" i="2"/>
  <c r="Z118" i="12"/>
  <c r="Z117" i="12"/>
  <c r="Z119" i="12"/>
  <c r="Q15" i="2"/>
  <c r="AB117" i="12"/>
  <c r="W39" i="2"/>
  <c r="M15" i="2" s="1"/>
  <c r="V118" i="12"/>
  <c r="V117" i="12"/>
  <c r="V123" i="12"/>
  <c r="U123" i="12"/>
  <c r="U124" i="12" s="1"/>
  <c r="U136" i="12" s="1"/>
  <c r="U137" i="12" s="1"/>
  <c r="AX39" i="2" s="1"/>
  <c r="S15" i="2"/>
  <c r="S17" i="2" s="1"/>
  <c r="AT39" i="2"/>
  <c r="AT41" i="2" s="1"/>
  <c r="T17" i="2"/>
  <c r="X135" i="12"/>
  <c r="W135" i="12"/>
  <c r="D135" i="16"/>
  <c r="D118" i="16" s="1"/>
  <c r="D135" i="15"/>
  <c r="D117" i="15" s="1"/>
  <c r="D118" i="13"/>
  <c r="D123" i="13" s="1"/>
  <c r="D135" i="11"/>
  <c r="D135" i="12"/>
  <c r="D135" i="17"/>
  <c r="D117" i="17" s="1"/>
  <c r="D117" i="16"/>
  <c r="C121" i="8"/>
  <c r="C120" i="8"/>
  <c r="C119" i="8" s="1"/>
  <c r="D111" i="8"/>
  <c r="D134" i="8" s="1"/>
  <c r="C97" i="8"/>
  <c r="D102" i="8" s="1"/>
  <c r="C91" i="8"/>
  <c r="C42" i="8"/>
  <c r="C73" i="8" s="1"/>
  <c r="D13" i="8"/>
  <c r="D19" i="8" s="1"/>
  <c r="C121" i="7"/>
  <c r="C120" i="7"/>
  <c r="C119" i="7" s="1"/>
  <c r="D111" i="7"/>
  <c r="D134" i="7" s="1"/>
  <c r="C97" i="7"/>
  <c r="D102" i="7" s="1"/>
  <c r="C91" i="7"/>
  <c r="C42" i="7"/>
  <c r="C73" i="7" s="1"/>
  <c r="D13" i="7"/>
  <c r="D19" i="7" s="1"/>
  <c r="AB136" i="12" l="1"/>
  <c r="AB137" i="12" s="1"/>
  <c r="Z123" i="12"/>
  <c r="Z124" i="12" s="1"/>
  <c r="Z136" i="12" s="1"/>
  <c r="Z137" i="12" s="1"/>
  <c r="Y39" i="2"/>
  <c r="Y41" i="2" s="1"/>
  <c r="W118" i="12"/>
  <c r="W117" i="12"/>
  <c r="W119" i="12"/>
  <c r="X118" i="12"/>
  <c r="X117" i="12"/>
  <c r="X119" i="12"/>
  <c r="V119" i="12"/>
  <c r="V124" i="12" s="1"/>
  <c r="V136" i="12" s="1"/>
  <c r="V137" i="12" s="1"/>
  <c r="BA39" i="2" s="1"/>
  <c r="C124" i="8"/>
  <c r="G119" i="8"/>
  <c r="G124" i="8" s="1"/>
  <c r="G136" i="8" s="1"/>
  <c r="G137" i="8" s="1"/>
  <c r="I119" i="8"/>
  <c r="I124" i="8" s="1"/>
  <c r="I136" i="8" s="1"/>
  <c r="I137" i="8" s="1"/>
  <c r="C76" i="8"/>
  <c r="E73" i="8"/>
  <c r="E76" i="8" s="1"/>
  <c r="E132" i="8" s="1"/>
  <c r="E135" i="8" s="1"/>
  <c r="D51" i="8"/>
  <c r="D56" i="8" s="1"/>
  <c r="D64" i="8" s="1"/>
  <c r="C76" i="7"/>
  <c r="E73" i="7"/>
  <c r="E76" i="7" s="1"/>
  <c r="E132" i="7" s="1"/>
  <c r="E135" i="7" s="1"/>
  <c r="C124" i="7"/>
  <c r="I119" i="7"/>
  <c r="I124" i="7" s="1"/>
  <c r="I136" i="7" s="1"/>
  <c r="I137" i="7" s="1"/>
  <c r="G119" i="7"/>
  <c r="G124" i="7" s="1"/>
  <c r="G136" i="7" s="1"/>
  <c r="G137" i="7" s="1"/>
  <c r="D51" i="7"/>
  <c r="D56" i="7" s="1"/>
  <c r="D64" i="7" s="1"/>
  <c r="D118" i="11"/>
  <c r="D117" i="11"/>
  <c r="D119" i="11"/>
  <c r="D118" i="12"/>
  <c r="D117" i="12"/>
  <c r="V15" i="2"/>
  <c r="AZ39" i="2"/>
  <c r="AZ41" i="2" s="1"/>
  <c r="D118" i="15"/>
  <c r="D119" i="15" s="1"/>
  <c r="D119" i="16"/>
  <c r="D119" i="13"/>
  <c r="D124" i="13" s="1"/>
  <c r="D136" i="13" s="1"/>
  <c r="D137" i="13" s="1"/>
  <c r="D118" i="17"/>
  <c r="D119" i="17" s="1"/>
  <c r="D123" i="16"/>
  <c r="D26" i="8"/>
  <c r="D25" i="8"/>
  <c r="D130" i="8"/>
  <c r="D25" i="7"/>
  <c r="D130" i="7"/>
  <c r="D26" i="7"/>
  <c r="C121" i="6"/>
  <c r="C120" i="6"/>
  <c r="C34" i="18" l="1"/>
  <c r="E34" i="18" s="1"/>
  <c r="G34" i="18" s="1"/>
  <c r="H34" i="18" s="1"/>
  <c r="E47" i="18"/>
  <c r="G47" i="18" s="1"/>
  <c r="H47" i="18" s="1"/>
  <c r="BM39" i="2"/>
  <c r="C31" i="18"/>
  <c r="E31" i="18" s="1"/>
  <c r="G31" i="18" s="1"/>
  <c r="E44" i="18"/>
  <c r="G44" i="18" s="1"/>
  <c r="N31" i="2"/>
  <c r="X123" i="12"/>
  <c r="X124" i="12" s="1"/>
  <c r="W123" i="12"/>
  <c r="W124" i="12" s="1"/>
  <c r="W136" i="12" s="1"/>
  <c r="W137" i="12" s="1"/>
  <c r="BD39" i="2" s="1"/>
  <c r="E117" i="8"/>
  <c r="E118" i="8"/>
  <c r="E119" i="8" s="1"/>
  <c r="E118" i="7"/>
  <c r="E117" i="7"/>
  <c r="E119" i="7"/>
  <c r="D123" i="11"/>
  <c r="D123" i="12"/>
  <c r="D119" i="12"/>
  <c r="W15" i="2"/>
  <c r="BC39" i="2"/>
  <c r="BC41" i="2" s="1"/>
  <c r="E32" i="2"/>
  <c r="G32" i="2" s="1"/>
  <c r="C16" i="2"/>
  <c r="D123" i="15"/>
  <c r="D124" i="15" s="1"/>
  <c r="D136" i="15" s="1"/>
  <c r="D137" i="15" s="1"/>
  <c r="D123" i="17"/>
  <c r="D124" i="17" s="1"/>
  <c r="D136" i="17" s="1"/>
  <c r="D137" i="17" s="1"/>
  <c r="C11" i="2" s="1"/>
  <c r="D124" i="16"/>
  <c r="D136" i="16" s="1"/>
  <c r="D137" i="16" s="1"/>
  <c r="C10" i="2" s="1"/>
  <c r="D27" i="8"/>
  <c r="D27" i="7"/>
  <c r="C119" i="6"/>
  <c r="D111" i="6"/>
  <c r="D134" i="6" s="1"/>
  <c r="C97" i="6"/>
  <c r="D102" i="6" s="1"/>
  <c r="C91" i="6"/>
  <c r="C42" i="6"/>
  <c r="C73" i="6" s="1"/>
  <c r="D13" i="6"/>
  <c r="D19" i="6" s="1"/>
  <c r="BO39" i="2" l="1"/>
  <c r="BO41" i="2" s="1"/>
  <c r="AD17" i="2"/>
  <c r="D6" i="19" s="1"/>
  <c r="E6" i="19" s="1"/>
  <c r="AC17" i="2"/>
  <c r="D7" i="18" s="1"/>
  <c r="AB15" i="2"/>
  <c r="AB17" i="2" s="1"/>
  <c r="AA15" i="2"/>
  <c r="H44" i="18"/>
  <c r="H49" i="18" s="1"/>
  <c r="G49" i="18"/>
  <c r="H31" i="18"/>
  <c r="H36" i="18" s="1"/>
  <c r="G36" i="18"/>
  <c r="D6" i="18" s="1"/>
  <c r="U12" i="2"/>
  <c r="U17" i="2" s="1"/>
  <c r="AA12" i="2"/>
  <c r="AA17" i="2" s="1"/>
  <c r="D4" i="19" s="1"/>
  <c r="E4" i="19" s="1"/>
  <c r="X12" i="2"/>
  <c r="V12" i="2"/>
  <c r="V17" i="2" s="1"/>
  <c r="Y12" i="2"/>
  <c r="W12" i="2"/>
  <c r="W17" i="2" s="1"/>
  <c r="P31" i="2"/>
  <c r="P34" i="2" s="1"/>
  <c r="Z12" i="2"/>
  <c r="Z17" i="2" s="1"/>
  <c r="E123" i="8"/>
  <c r="E124" i="8"/>
  <c r="E136" i="8" s="1"/>
  <c r="E137" i="8" s="1"/>
  <c r="D86" i="8"/>
  <c r="D37" i="8"/>
  <c r="D36" i="8"/>
  <c r="D35" i="8"/>
  <c r="E123" i="7"/>
  <c r="E124" i="7" s="1"/>
  <c r="E136" i="7" s="1"/>
  <c r="E137" i="7" s="1"/>
  <c r="D86" i="7"/>
  <c r="D35" i="7"/>
  <c r="D36" i="7"/>
  <c r="D37" i="7"/>
  <c r="E16" i="2"/>
  <c r="G16" i="2" s="1"/>
  <c r="D124" i="12"/>
  <c r="D136" i="12" s="1"/>
  <c r="D137" i="12" s="1"/>
  <c r="BF39" i="2"/>
  <c r="BF41" i="2" s="1"/>
  <c r="X15" i="2"/>
  <c r="X17" i="2" s="1"/>
  <c r="C9" i="2"/>
  <c r="F73" i="6"/>
  <c r="F76" i="6" s="1"/>
  <c r="F132" i="6" s="1"/>
  <c r="F135" i="6" s="1"/>
  <c r="E73" i="6"/>
  <c r="E76" i="6" s="1"/>
  <c r="E132" i="6" s="1"/>
  <c r="E135" i="6" s="1"/>
  <c r="C76" i="6"/>
  <c r="E31" i="2"/>
  <c r="G31" i="2" s="1"/>
  <c r="G34" i="2" s="1"/>
  <c r="X136" i="12"/>
  <c r="X137" i="12" s="1"/>
  <c r="BG39" i="2" s="1"/>
  <c r="D130" i="6"/>
  <c r="D51" i="6"/>
  <c r="D56" i="6" s="1"/>
  <c r="D64" i="6" s="1"/>
  <c r="D124" i="11"/>
  <c r="D136" i="11" s="1"/>
  <c r="D34" i="7"/>
  <c r="D75" i="7"/>
  <c r="D41" i="7"/>
  <c r="D38" i="7"/>
  <c r="D73" i="7"/>
  <c r="D69" i="7"/>
  <c r="D39" i="7"/>
  <c r="D72" i="7"/>
  <c r="D70" i="7"/>
  <c r="D90" i="7"/>
  <c r="D40" i="7"/>
  <c r="D74" i="7"/>
  <c r="D71" i="7"/>
  <c r="D85" i="7"/>
  <c r="D87" i="7"/>
  <c r="D88" i="7"/>
  <c r="D89" i="7"/>
  <c r="D90" i="8"/>
  <c r="D40" i="8"/>
  <c r="D74" i="8"/>
  <c r="D71" i="8"/>
  <c r="D38" i="8"/>
  <c r="D34" i="8"/>
  <c r="D75" i="8"/>
  <c r="D87" i="8"/>
  <c r="D73" i="8"/>
  <c r="D69" i="8"/>
  <c r="D39" i="8"/>
  <c r="D72" i="8"/>
  <c r="D70" i="8"/>
  <c r="D41" i="8"/>
  <c r="D88" i="8"/>
  <c r="D85" i="8"/>
  <c r="D89" i="8"/>
  <c r="D62" i="8"/>
  <c r="D62" i="7"/>
  <c r="C124" i="6"/>
  <c r="D26" i="6"/>
  <c r="D25" i="6"/>
  <c r="F6" i="19" l="1"/>
  <c r="C15" i="2"/>
  <c r="E15" i="2" s="1"/>
  <c r="G15" i="2" s="1"/>
  <c r="C21" i="18"/>
  <c r="E21" i="18" s="1"/>
  <c r="G21" i="18" s="1"/>
  <c r="C39" i="2"/>
  <c r="E39" i="2" s="1"/>
  <c r="G39" i="2" s="1"/>
  <c r="G41" i="2" s="1"/>
  <c r="E8" i="18"/>
  <c r="F8" i="18"/>
  <c r="D76" i="7"/>
  <c r="BI39" i="2"/>
  <c r="BI41" i="2" s="1"/>
  <c r="Y15" i="2"/>
  <c r="Y17" i="2" s="1"/>
  <c r="F117" i="6"/>
  <c r="F118" i="6"/>
  <c r="F123" i="6" s="1"/>
  <c r="E118" i="6"/>
  <c r="E117" i="6"/>
  <c r="D137" i="11"/>
  <c r="D42" i="8"/>
  <c r="D63" i="8" s="1"/>
  <c r="D65" i="8" s="1"/>
  <c r="D131" i="8" s="1"/>
  <c r="D76" i="8"/>
  <c r="D132" i="8" s="1"/>
  <c r="D42" i="7"/>
  <c r="D63" i="7" s="1"/>
  <c r="D65" i="7" s="1"/>
  <c r="D131" i="7" s="1"/>
  <c r="D91" i="8"/>
  <c r="D101" i="8" s="1"/>
  <c r="D103" i="8" s="1"/>
  <c r="D133" i="8" s="1"/>
  <c r="D132" i="7"/>
  <c r="D91" i="7"/>
  <c r="D101" i="7" s="1"/>
  <c r="D103" i="7" s="1"/>
  <c r="D133" i="7" s="1"/>
  <c r="D27" i="6"/>
  <c r="D86" i="6" s="1"/>
  <c r="H21" i="18" l="1"/>
  <c r="H23" i="18" s="1"/>
  <c r="G23" i="18"/>
  <c r="D3" i="18" s="1"/>
  <c r="G11" i="2"/>
  <c r="C14" i="2"/>
  <c r="E14" i="2" s="1"/>
  <c r="G14" i="2" s="1"/>
  <c r="F119" i="6"/>
  <c r="F124" i="6" s="1"/>
  <c r="F136" i="6" s="1"/>
  <c r="F137" i="6" s="1"/>
  <c r="E119" i="6"/>
  <c r="E123" i="6"/>
  <c r="E124" i="6" s="1"/>
  <c r="D39" i="6"/>
  <c r="D35" i="6"/>
  <c r="D72" i="6"/>
  <c r="D70" i="6"/>
  <c r="D90" i="6"/>
  <c r="D40" i="6"/>
  <c r="D71" i="6"/>
  <c r="D41" i="6"/>
  <c r="D38" i="6"/>
  <c r="D34" i="6"/>
  <c r="D75" i="6"/>
  <c r="D73" i="6"/>
  <c r="D69" i="6"/>
  <c r="D74" i="6"/>
  <c r="D85" i="6"/>
  <c r="D89" i="6"/>
  <c r="D88" i="6"/>
  <c r="D87" i="6"/>
  <c r="D135" i="8"/>
  <c r="D117" i="8" s="1"/>
  <c r="D135" i="7"/>
  <c r="D117" i="7" s="1"/>
  <c r="D62" i="6"/>
  <c r="D37" i="6"/>
  <c r="R8" i="2" l="1"/>
  <c r="R17" i="2" s="1"/>
  <c r="P8" i="2"/>
  <c r="P17" i="2" s="1"/>
  <c r="Q8" i="2"/>
  <c r="Q17" i="2" s="1"/>
  <c r="M22" i="2"/>
  <c r="M26" i="2" s="1"/>
  <c r="E136" i="6"/>
  <c r="E137" i="6" s="1"/>
  <c r="J22" i="2" s="1"/>
  <c r="J26" i="2" s="1"/>
  <c r="D42" i="6"/>
  <c r="D63" i="6" s="1"/>
  <c r="D65" i="6" s="1"/>
  <c r="D131" i="6" s="1"/>
  <c r="D76" i="6"/>
  <c r="D132" i="6" s="1"/>
  <c r="D118" i="8"/>
  <c r="D119" i="8" s="1"/>
  <c r="D118" i="7"/>
  <c r="D119" i="7" s="1"/>
  <c r="D91" i="6"/>
  <c r="D101" i="6" s="1"/>
  <c r="D103" i="6" s="1"/>
  <c r="D133" i="6" s="1"/>
  <c r="O8" i="2" l="1"/>
  <c r="O17" i="2" s="1"/>
  <c r="D135" i="6"/>
  <c r="D123" i="8"/>
  <c r="D124" i="8" s="1"/>
  <c r="D136" i="8" s="1"/>
  <c r="D137" i="8" s="1"/>
  <c r="D123" i="7"/>
  <c r="D124" i="7" s="1"/>
  <c r="D136" i="7" s="1"/>
  <c r="D137" i="7" s="1"/>
  <c r="C12" i="2" s="1"/>
  <c r="E12" i="2" s="1"/>
  <c r="G12" i="2" s="1"/>
  <c r="E10" i="2" l="1"/>
  <c r="G10" i="2" s="1"/>
  <c r="C13" i="2"/>
  <c r="E13" i="2" s="1"/>
  <c r="G13" i="2" s="1"/>
  <c r="D118" i="6"/>
  <c r="E9" i="2"/>
  <c r="G9" i="2" s="1"/>
  <c r="D117" i="6"/>
  <c r="D119" i="6" l="1"/>
  <c r="D123" i="6"/>
  <c r="D124" i="6" l="1"/>
  <c r="D136" i="6" l="1"/>
  <c r="D137" i="6" s="1"/>
  <c r="E22" i="2" l="1"/>
  <c r="C8" i="2"/>
  <c r="E8" i="2" s="1"/>
  <c r="G8" i="2" s="1"/>
  <c r="G17" i="2" s="1"/>
  <c r="C3" i="19" s="1"/>
  <c r="D3" i="19" s="1"/>
  <c r="E3" i="19" s="1"/>
  <c r="G22" i="2" l="1"/>
  <c r="G26" i="2" s="1"/>
  <c r="J8" i="2"/>
  <c r="J17" i="2" s="1"/>
  <c r="K8" i="2"/>
  <c r="K17" i="2" s="1"/>
  <c r="M8" i="2"/>
  <c r="M17" i="2" s="1"/>
  <c r="L8" i="2"/>
  <c r="L17" i="2" s="1"/>
  <c r="N8" i="2"/>
  <c r="N17" i="2" s="1"/>
  <c r="H17" i="2"/>
  <c r="I8" i="2"/>
  <c r="I17" i="2" s="1"/>
</calcChain>
</file>

<file path=xl/sharedStrings.xml><?xml version="1.0" encoding="utf-8"?>
<sst xmlns="http://schemas.openxmlformats.org/spreadsheetml/2006/main" count="3932" uniqueCount="291">
  <si>
    <t>Dados para composição dos custos referentes a mão de obra</t>
  </si>
  <si>
    <t>Tipo de Serviço (mesmo serviço com características distintas)</t>
  </si>
  <si>
    <t>Classificação Brasileira de Ocupações (CBO)</t>
  </si>
  <si>
    <t>Data-Base da Categoria (dia/mês/ano)</t>
  </si>
  <si>
    <t>Composição da Remuneração</t>
  </si>
  <si>
    <t>Valor (R$)</t>
  </si>
  <si>
    <t>A</t>
  </si>
  <si>
    <t>Salário-Base</t>
  </si>
  <si>
    <t>B</t>
  </si>
  <si>
    <t>Adicional de Periculosidade</t>
  </si>
  <si>
    <t>C</t>
  </si>
  <si>
    <t>Adicional de Insalubridade</t>
  </si>
  <si>
    <t>D</t>
  </si>
  <si>
    <t>Adicional Noturno</t>
  </si>
  <si>
    <t>E</t>
  </si>
  <si>
    <t>Adicional de Hora Noturna Reduzida</t>
  </si>
  <si>
    <t>F</t>
  </si>
  <si>
    <t>Outros (especificar)</t>
  </si>
  <si>
    <t>Total</t>
  </si>
  <si>
    <t>Nota 1: O Módulo 1 refere-se ao valor mensal devido ao empregado pela prestação do serviço no período de 12 meses.</t>
  </si>
  <si>
    <t>Módulo 2 - Encargos e Benefícios Anuais, Mensais e Diários</t>
  </si>
  <si>
    <t>2.1</t>
  </si>
  <si>
    <t>13º (décimo terceiro) Salário</t>
  </si>
  <si>
    <t>Submódulo 2.2 - Encargos Previdenciários (GPS), Fundo de Garantia por Tempo de Serviço (FGTS) e outras contribuições.</t>
  </si>
  <si>
    <t>2.2</t>
  </si>
  <si>
    <t>GPS, FGTS e outras contribuições</t>
  </si>
  <si>
    <t>Percentual (%)</t>
  </si>
  <si>
    <t>INSS</t>
  </si>
  <si>
    <t>Salário Educação</t>
  </si>
  <si>
    <t>SESC ou SESI</t>
  </si>
  <si>
    <t>SENAI - SENAC</t>
  </si>
  <si>
    <t>SEBRAE</t>
  </si>
  <si>
    <t>G</t>
  </si>
  <si>
    <t>INCRA</t>
  </si>
  <si>
    <t>H</t>
  </si>
  <si>
    <t>FGTS</t>
  </si>
  <si>
    <t>Submódulo 2.3 - Benefícios Mensais e Diários.</t>
  </si>
  <si>
    <t>2.3</t>
  </si>
  <si>
    <t>Benefícios Mensais e Diários</t>
  </si>
  <si>
    <t>Transporte</t>
  </si>
  <si>
    <t>Auxílio-Refeição/Alimentação</t>
  </si>
  <si>
    <t>Assistência Médica e Familiar</t>
  </si>
  <si>
    <t>Quadro-Resumo do Módulo 2 - Encargos e Benefícios anuais, mensais e diários</t>
  </si>
  <si>
    <t>Encargos e Benefícios Anuais, Mensais e Diários</t>
  </si>
  <si>
    <t>Nota 1: O valor informado deverá ser o custo real do benefício (descontado o valor eventualmente pago pelo empregado).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</si>
  <si>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</si>
  <si>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</si>
  <si>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</si>
  <si>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</si>
  <si>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</si>
  <si>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</si>
  <si>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</si>
  <si>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Módulo 4 - Custo de Reposição do Profissional Ausente</t>
  </si>
  <si>
    <t>4.1</t>
  </si>
  <si>
    <t>Substituto nas Ausências Legais</t>
  </si>
  <si>
    <t>Substituto na cobertura de Férias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</si>
  <si>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</si>
  <si>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</si>
  <si>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</si>
  <si>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</si>
  <si>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</si>
  <si>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4.2</t>
  </si>
  <si>
    <t>Substituto na Intrajornada </t>
  </si>
  <si>
    <t>Substituto na cobertura de Intervalo para repouso ou alimentação</t>
  </si>
  <si>
    <t>Custo de Reposição do Profissional Ausente</t>
  </si>
  <si>
    <t>Substituto na Intrajornada</t>
  </si>
  <si>
    <t>Módulo 5 - Insumos Diversos</t>
  </si>
  <si>
    <t>Insumos Diversos</t>
  </si>
  <si>
    <t>Uniformes</t>
  </si>
  <si>
    <t>Materiais</t>
  </si>
  <si>
    <t>Equipamentos</t>
  </si>
  <si>
    <t>Módulo 6 - Custos Indiretos, Tributos e Lucro</t>
  </si>
  <si>
    <t>Custos Indiretos, Tributos e Lucro</t>
  </si>
  <si>
    <t>Custos Indiretos</t>
  </si>
  <si>
    <t>Lucro</t>
  </si>
  <si>
    <t>Valor(R$)</t>
  </si>
  <si>
    <t>Módulo 1 - Composição da Remuneração</t>
  </si>
  <si>
    <t>Módulo 3 - Provisão para Rescisão</t>
  </si>
  <si>
    <t>Subtotal (A + B +C+ D+E)</t>
  </si>
  <si>
    <t>Valor Total por Empregado</t>
  </si>
  <si>
    <t>Nota: Valores mensais por empregado.</t>
  </si>
  <si>
    <t>Nota 1: Custos Indiretos, Tributos e Lucro por empregado.</t>
  </si>
  <si>
    <t>Mão de obra vinculada à execução contratual (valor por empregado)</t>
  </si>
  <si>
    <t>Tipo de Serviço</t>
  </si>
  <si>
    <t>(A)</t>
  </si>
  <si>
    <t>Valor Proposto por Empregado </t>
  </si>
  <si>
    <t>(B)</t>
  </si>
  <si>
    <t>Qtde. de Empregados por Posto</t>
  </si>
  <si>
    <t>(C)</t>
  </si>
  <si>
    <t>Valor Proposto por Posto </t>
  </si>
  <si>
    <t>(D) = (B x C)</t>
  </si>
  <si>
    <t>(E)</t>
  </si>
  <si>
    <t>Valor Total do Serviço</t>
  </si>
  <si>
    <t>(F) = (D x E)</t>
  </si>
  <si>
    <t>Qtde. de Postos </t>
  </si>
  <si>
    <t>QUADRO-RESUMO DO VALOR MENSAL DOS SERVIÇOS</t>
  </si>
  <si>
    <t>Dias úteis</t>
  </si>
  <si>
    <t>Assistência Odontológica</t>
  </si>
  <si>
    <t>PLANILHA DE CUSTOS E FORMAÇÃO DE PREÇOS</t>
  </si>
  <si>
    <t>Nº do Contrato:</t>
  </si>
  <si>
    <t>Salário da Categoria Profissional</t>
  </si>
  <si>
    <t>Sindicato da Categoria Profissional (vinculada à execução contratual)</t>
  </si>
  <si>
    <t>Nº da Convenção Coletiva de trabalho (CCT)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</si>
  <si>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</si>
  <si>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</si>
  <si>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Nota 3: Levando em consideração a vigência contratual prevista no art. 57 da Lei nº 8.666, de 23 de junho de 1993, a rubrica férias tem como objetivo principal suprir a necessidade do pagamento das férias remuneradas ao final do contrato de 12 meses.</t>
  </si>
  <si>
    <t>RATAjustado (RAT x FAP)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</si>
  <si>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</si>
  <si>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</si>
  <si>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1: O percentual do INSS poderá sofrer alteração de acordo com a "Desoneração da Folha de Pagamento" (Lei 12.546/2011).</t>
  </si>
  <si>
    <t>Nota 2: Observar a previsão dos benefícios contidos em Acordos, Convenções e Dissídios Coletivos de Trabalho..</t>
  </si>
  <si>
    <t>Nota 1: O percentual de 1,94% indicado no Aviso Prévio Trabalhado torna-se custo não renovável decorridos 12 meses.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</si>
  <si>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</si>
  <si>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Nota 4: Esses percentuais incidem sobre o Módulo 1, o Submódulo 2.1.</t>
  </si>
  <si>
    <t>Submódulo 4.1 - Substituto nas Ausências Legais</t>
  </si>
  <si>
    <t>Submódulo 4.2 - Substituto na Intrajornada</t>
  </si>
  <si>
    <t>Quadro-Resumo do Módulo 4 - Custo de Reposição do Profissional Ausente</t>
  </si>
  <si>
    <t>QUADRO-RESUMO DO CUSTO POR EMPREGADO</t>
  </si>
  <si>
    <t>Nota 5: Os percentuais do Submódulo 2.2 já incidem sobre remuneração, 13º salário, férias e adicional de férias.</t>
  </si>
  <si>
    <t>Nota 2: Os percentuais do Módulo 3 já incidem sobre remuneração, 13º salário, férias e adicional de férias.</t>
  </si>
  <si>
    <t>Nota 1: Os percentuais do Submódulo 4.1 já incidem sobre remuneração, 13º salário, férias e adicional de férias.</t>
  </si>
  <si>
    <t>Regime de tributação:</t>
  </si>
  <si>
    <t>Lucro presumido</t>
  </si>
  <si>
    <t>-</t>
  </si>
  <si>
    <t>Tributos Federais (PIS)</t>
  </si>
  <si>
    <t xml:space="preserve">C.1. </t>
  </si>
  <si>
    <t>Tributos Federais (COFINS)</t>
  </si>
  <si>
    <t>C.2.</t>
  </si>
  <si>
    <t>Tributos Estaduais/Municipais (ISS)</t>
  </si>
  <si>
    <t>C.3.</t>
  </si>
  <si>
    <t>Tributos (C.1 + C.2 + C.3)</t>
  </si>
  <si>
    <t>Nota 2: A empresa que indicar "desoneração" do Submódulo 2.2 deverá incluir uma rubrica para tributação da Contribuição Previdenciária sobre a Receita Bruta - CPRB.</t>
  </si>
  <si>
    <t>Contribuição Previdenciária sobre a Receita Bruta - CPRB</t>
  </si>
  <si>
    <t>Multa do FGTS</t>
  </si>
  <si>
    <t>Categoria Profissional</t>
  </si>
  <si>
    <t>Quantidade</t>
  </si>
  <si>
    <r>
      <t>Tipo</t>
    </r>
    <r>
      <rPr>
        <b/>
        <sz val="11"/>
        <color indexed="8"/>
        <rFont val="Times New Roman"/>
        <family val="1"/>
      </rPr>
      <t xml:space="preserve"> de Uniforme</t>
    </r>
  </si>
  <si>
    <t>Valor Unitário</t>
  </si>
  <si>
    <t>Valor Total</t>
  </si>
  <si>
    <t>Total Mensal</t>
  </si>
  <si>
    <t>Qtd</t>
  </si>
  <si>
    <t>Obs.: Qtd = Números de peças fornecidas anualmente</t>
  </si>
  <si>
    <t>DEMONSTRATIVO CUSTO DOS UNIFORMES</t>
  </si>
  <si>
    <t>Valor para 20 meses</t>
  </si>
  <si>
    <t>Coordenador de Jornalismo</t>
  </si>
  <si>
    <t>Editor de Pós-Produção</t>
  </si>
  <si>
    <t>Operador de Câmera UPE</t>
  </si>
  <si>
    <t>Auxiliar de Operador de Câmera UPE</t>
  </si>
  <si>
    <t>Webdesigner</t>
  </si>
  <si>
    <t>Designer Gráfico</t>
  </si>
  <si>
    <t>Mídias Sociais</t>
  </si>
  <si>
    <t>Jornalista Produtor</t>
  </si>
  <si>
    <t>Repórter Fotográfico</t>
  </si>
  <si>
    <t>SINTERJ-DF</t>
  </si>
  <si>
    <t>DF000367/2020</t>
  </si>
  <si>
    <t>SINAPRO-DF</t>
  </si>
  <si>
    <t>DF000022/2020</t>
  </si>
  <si>
    <t>SINRAD-DF</t>
  </si>
  <si>
    <t>Seguro de vida / auxílio funeral</t>
  </si>
  <si>
    <t>Nº do Processo: 0003572-30.2020.4.90.8000</t>
  </si>
  <si>
    <t>Pregão Nº: 01/2021</t>
  </si>
  <si>
    <t>Gde</t>
  </si>
  <si>
    <t>Adicional de Férias</t>
  </si>
  <si>
    <t>13º (décimo terceiro) Salário e Adicional de Férias</t>
  </si>
  <si>
    <t> Submódulo 2.1 - 13º (décimo terceiro) Salário e Adicional de Férias</t>
  </si>
  <si>
    <t xml:space="preserve">Valor Global dos Serviços </t>
  </si>
  <si>
    <t>DF000618/2021</t>
  </si>
  <si>
    <t>Valor (R$) - 1/9/2021 a 30/9/2021</t>
  </si>
  <si>
    <t>Valor (R$) - 1/10/2021 a 31/12/2021</t>
  </si>
  <si>
    <t xml:space="preserve"> DF000198/2021</t>
  </si>
  <si>
    <t>DF000077/2022</t>
  </si>
  <si>
    <t>Valor (R$) - 4/2/2021 a 31/12/2021</t>
  </si>
  <si>
    <t>Valor (R$) - 4/2/2021 a 28/2/2021</t>
  </si>
  <si>
    <t>Valor (R$) - 1/3/2021 a 31/3/2021</t>
  </si>
  <si>
    <t>Valor (R$) - 1/4/2021 a 30/4/2021</t>
  </si>
  <si>
    <t>Valor (R$) - 1/5/2021 a 31/5/2021</t>
  </si>
  <si>
    <t>Valor (R$) - 1/6/2021 a 30/6/2021</t>
  </si>
  <si>
    <t>Valor (R$) - 1/7/2021 a 31/7/2021</t>
  </si>
  <si>
    <t>Valor (R$) - 1/8/2021 a 31/8/2021</t>
  </si>
  <si>
    <t>Valor (R$) - 1/10/2021 a 31/10/2021</t>
  </si>
  <si>
    <t>Valor (R$) - 1/11/2021 a 30/11/2021</t>
  </si>
  <si>
    <t>Valor (R$) - 1/12/2021 a 31/12/2021</t>
  </si>
  <si>
    <t>Valor (R$) - 1/1/2022 a 31/1/2022</t>
  </si>
  <si>
    <t>Valor (R$) - 1/3/2022 a 31/3/2022</t>
  </si>
  <si>
    <t>Valor (R$) - 1/4/2022 a 30/4/2022</t>
  </si>
  <si>
    <t>Valor (R$) - 1/5/2022 a 31/5/2022</t>
  </si>
  <si>
    <t>Valor (R$) - 1/6/2022 a 30/6/2022</t>
  </si>
  <si>
    <t>Reporter Fotográfico</t>
  </si>
  <si>
    <t>Auxiliar de Operador de Câmera</t>
  </si>
  <si>
    <t>SINTERJ - 1/9/2021 a 30/9/2021</t>
  </si>
  <si>
    <t>SINTERJ - 1/10/2021 a 31/12/2021</t>
  </si>
  <si>
    <t>SINRAD - 4/2/2021 a 31/12/2021</t>
  </si>
  <si>
    <t>SINAPRO - 4/2/2021 a 28/2/2021</t>
  </si>
  <si>
    <t>SINAPRO - março de 2021</t>
  </si>
  <si>
    <t>SINAPRO - abril de 2021</t>
  </si>
  <si>
    <t>SINAPRO - maio de 2021</t>
  </si>
  <si>
    <t>SINAPRO - junho de 2021</t>
  </si>
  <si>
    <t>SINAPRO - julho de 2021</t>
  </si>
  <si>
    <t>SINAPRO - agosto de 2021</t>
  </si>
  <si>
    <t>SINAPRO - setembro de 2021</t>
  </si>
  <si>
    <t>SINAPRO - outubro de 2021</t>
  </si>
  <si>
    <t>SINAPRO - novembro de 2021</t>
  </si>
  <si>
    <t>SINAPRO - dezembro de 2021</t>
  </si>
  <si>
    <t>SINAPRO - janeiro de 2022</t>
  </si>
  <si>
    <t>SINAPRO - março de 2022</t>
  </si>
  <si>
    <t>SINAPRO - abril de 2022</t>
  </si>
  <si>
    <t>SINAPRO - maio de 2022</t>
  </si>
  <si>
    <t>SINAPRO - junho de 2022</t>
  </si>
  <si>
    <t>SINAPRO - julho de 2022</t>
  </si>
  <si>
    <t>Valor (R$) - a partir de  4/2/2022</t>
  </si>
  <si>
    <t>Valor (R$) - 1/1/2022 a 3/2/2022</t>
  </si>
  <si>
    <t>SINTERJ - 1/1/2022 a 3/2/2022</t>
  </si>
  <si>
    <t>SINTERJ - a partir de 4/2/2022</t>
  </si>
  <si>
    <t>01/02/2022 a 03/02/2022</t>
  </si>
  <si>
    <t>a partir de 04/02/2022</t>
  </si>
  <si>
    <t>Valor (R$) - a partir de 4/2/2022</t>
  </si>
  <si>
    <t>SINRAD - 1/1/2022 a 3/2/2022</t>
  </si>
  <si>
    <t>SINRAD - a partir de 4/2/2022</t>
  </si>
  <si>
    <t>SINAPRO - 1/2/2022 a 3/2/2022</t>
  </si>
  <si>
    <t>SINAPRO - a partide 4/2/2022</t>
  </si>
  <si>
    <t>Valor (R$) - 1/2/2022 a 3/2/2022</t>
  </si>
  <si>
    <t>Valor (R$) - 4/2/2022 a 28/2/2022</t>
  </si>
  <si>
    <t>DF000421/2021</t>
  </si>
  <si>
    <t>Valor (R$) - 1/7/2022 a 31/7/2022</t>
  </si>
  <si>
    <t>I T.A ao CTR 09/2021</t>
  </si>
  <si>
    <t>I T.A. ao CTR 09/2021</t>
  </si>
  <si>
    <t>Reajuste de 3,45% no salário</t>
  </si>
  <si>
    <t>Alteração do valor do auxílio-alimentação</t>
  </si>
  <si>
    <t>Alteração do FAP e auxílio-alimentação</t>
  </si>
  <si>
    <t>Alteração nos Encargos Sociais e Trabalhistas</t>
  </si>
  <si>
    <t>Alteração do salário e do auxílio-alimentação</t>
  </si>
  <si>
    <t>Valor (R$) - 1/8/2022 a 31/8/2022</t>
  </si>
  <si>
    <t>Web Designer</t>
  </si>
  <si>
    <t>SINAPRO - agosto de 2022</t>
  </si>
  <si>
    <t>Valor Total por Posto do Serviço</t>
  </si>
  <si>
    <t>Valores propostos no CTR 09/2021</t>
  </si>
  <si>
    <t>Reajuste de 10% no salário, alteração do auxílio-alimentação, transporte e alteração do FAP</t>
  </si>
  <si>
    <t>Reajuste de 10% no salário, alteração do auxílio-alimentação e alteração do FAP</t>
  </si>
  <si>
    <t>Reajuste de 4,10% no salário, alteração do auxílio-alimentação</t>
  </si>
  <si>
    <t>Reajuste de 4,10% no salário, alteração do auxílio-alimentação e transporte</t>
  </si>
  <si>
    <t>Ajuste de 2,5% do salário e do auxílio-alimentação</t>
  </si>
  <si>
    <t>a partir de 04/02/2021</t>
  </si>
  <si>
    <t>Instrumento</t>
  </si>
  <si>
    <t>II TA</t>
  </si>
  <si>
    <t>Objeto</t>
  </si>
  <si>
    <t>retificação do I TA</t>
  </si>
  <si>
    <t>reequilíbrio econômico-financeiro; repactuação; alteração FAP; alteração aviso prévio trabalhado; e prorrogação</t>
  </si>
  <si>
    <t>prestação de serviços continuados de jornalismo, com a produção de conteúdo jornalístico para televisão, rádio, internet, intranet e redes sociais, por postos de trabalho.</t>
  </si>
  <si>
    <t>III TA</t>
  </si>
  <si>
    <t>acréscimo</t>
  </si>
  <si>
    <t>Contrato 009-2021</t>
  </si>
  <si>
    <t>CTR 009-2021</t>
  </si>
  <si>
    <t>Tipo de Serviço</t>
  </si>
  <si>
    <t>Valor por Empregado</t>
  </si>
  <si>
    <t>Quantidade de Postos</t>
  </si>
  <si>
    <t>Valor por Posto</t>
  </si>
  <si>
    <t>Valor Mensal do Serviço</t>
  </si>
  <si>
    <t>I TA*</t>
  </si>
  <si>
    <t>Quantidade de Empregados por Posto</t>
  </si>
  <si>
    <t>Valor Mensal</t>
  </si>
  <si>
    <t>* O primeiro termo aditivo reequilibrou o contrato e prorrogou a sua vigência por mais 20 meses.
Houve erro na elaboração da planilha e foi necessário retificar o I TA, o que gerou o valor total constante do II TA.
Por isso, não aparecem os valores do I TA nesta demonstração de cálculo.</t>
  </si>
  <si>
    <t>DF000553/2022</t>
  </si>
  <si>
    <t>Valor (R$) - a partir de  1/9/2022</t>
  </si>
  <si>
    <t>Reajuste de 6% sobre o salário em 31/3/2022
Alteração do valor do auxílio-alimentação</t>
  </si>
  <si>
    <t>Valor (R$) - a partir de  1/1/2023</t>
  </si>
  <si>
    <t>DF000111/2023</t>
  </si>
  <si>
    <t>Valor (R$) - a partir de 1/1/2023</t>
  </si>
  <si>
    <t>III T.A. ao CTR 09/2021</t>
  </si>
  <si>
    <t>SINTERJ - a partir de 1/9/2022</t>
  </si>
  <si>
    <t>SINTERJ - a partir de 1/1/2023</t>
  </si>
  <si>
    <t>repactuação</t>
  </si>
  <si>
    <t>Reajuste de 8% sobre o salário em 31/3/2022
Alteração do valor do auxílio-alimentação
Alteração do RATajustado</t>
  </si>
  <si>
    <t>Reajuste salarial de 5,79%, reajuste no vale-alimentação e assistência médica e familiar
Aleração do RATajustado</t>
  </si>
  <si>
    <t>Termo</t>
  </si>
  <si>
    <t>Contrato</t>
  </si>
  <si>
    <t>Valor mensal</t>
  </si>
  <si>
    <t>Valor da Garantia</t>
  </si>
  <si>
    <t>Valor total</t>
  </si>
  <si>
    <t>I TA (prorrogação e repactuação)</t>
  </si>
  <si>
    <t>II TA (retificação)</t>
  </si>
  <si>
    <t>III TA (repactuação e acréscimo)</t>
  </si>
  <si>
    <t>Complemento</t>
  </si>
  <si>
    <t>GARANTIA CONTRATUAL</t>
  </si>
  <si>
    <t>SINRAD - a partir de 1/1/2023</t>
  </si>
  <si>
    <t>Alteração do FAP</t>
  </si>
  <si>
    <t xml:space="preserve">Valor (R$) - a partir de 1/1/2023 </t>
  </si>
  <si>
    <t>SINAPRO - janeiro de 2023</t>
  </si>
  <si>
    <t xml:space="preserve">Considerando os já decorridos 7 meses de vigência desde a última prorrogação (out/2022 a mai/2023) utilizou-se a razão 13/20 para identificar o quanto ainda restava de garantia até o final da vigência da avença.
A fórmula utilizada foi:
</t>
  </si>
  <si>
    <t>a partir da assinatura do III TA</t>
  </si>
  <si>
    <t>IV TA (prorrogação)</t>
  </si>
  <si>
    <t>a partir de 04/06/2024 (IV TA - prorrogação)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</si>
</sst>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-[$R$-416]* #,##0.00_-;\-[$R$-416]* #,##0.00_-;_-[$R$-416]* &quot;-&quot;??_-;_-@_-"/>
    <numFmt numFmtId="166" formatCode="&quot;R$&quot;\ 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i/>
      <sz val="11"/>
      <color theme="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10.5"/>
      <name val="Arial"/>
      <family val="2"/>
    </font>
    <font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64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43" fontId="0" fillId="2" borderId="1" xfId="1" applyFont="1" applyFill="1" applyBorder="1" applyAlignment="1">
      <alignment vertical="center"/>
    </xf>
    <xf numFmtId="10" fontId="0" fillId="0" borderId="1" xfId="0" applyNumberFormat="1" applyBorder="1" applyAlignment="1">
      <alignment vertical="center"/>
    </xf>
    <xf numFmtId="10" fontId="0" fillId="2" borderId="1" xfId="0" applyNumberFormat="1" applyFill="1" applyBorder="1" applyAlignment="1">
      <alignment vertical="center"/>
    </xf>
    <xf numFmtId="10" fontId="0" fillId="2" borderId="1" xfId="3" applyNumberFormat="1" applyFont="1" applyFill="1" applyBorder="1" applyAlignment="1">
      <alignment vertical="center"/>
    </xf>
    <xf numFmtId="10" fontId="0" fillId="0" borderId="1" xfId="3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0" fillId="0" borderId="4" xfId="0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164" fontId="7" fillId="0" borderId="0" xfId="4" applyFont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44" fontId="5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44" fontId="7" fillId="0" borderId="1" xfId="4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justify" vertical="center" wrapText="1"/>
    </xf>
    <xf numFmtId="44" fontId="7" fillId="0" borderId="6" xfId="4" applyNumberFormat="1" applyFont="1" applyFill="1" applyBorder="1" applyAlignment="1">
      <alignment horizontal="center" vertical="center" wrapText="1"/>
    </xf>
    <xf numFmtId="44" fontId="5" fillId="4" borderId="1" xfId="4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 vertical="center" wrapText="1"/>
    </xf>
    <xf numFmtId="44" fontId="5" fillId="0" borderId="0" xfId="0" applyNumberFormat="1" applyFont="1" applyFill="1" applyBorder="1" applyAlignment="1">
      <alignment horizontal="center" vertical="center" wrapText="1"/>
    </xf>
    <xf numFmtId="164" fontId="7" fillId="0" borderId="0" xfId="4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44" fontId="7" fillId="0" borderId="0" xfId="4" applyNumberFormat="1" applyFont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10" xfId="0" applyBorder="1"/>
    <xf numFmtId="0" fontId="0" fillId="0" borderId="0" xfId="0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43" fontId="0" fillId="2" borderId="13" xfId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43" fontId="0" fillId="2" borderId="13" xfId="1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43" fontId="0" fillId="2" borderId="13" xfId="1" applyFont="1" applyFill="1" applyBorder="1"/>
    <xf numFmtId="0" fontId="2" fillId="0" borderId="16" xfId="0" applyFont="1" applyBorder="1" applyAlignment="1">
      <alignment horizontal="center" vertical="center"/>
    </xf>
    <xf numFmtId="0" fontId="0" fillId="2" borderId="13" xfId="0" applyFill="1" applyBorder="1"/>
    <xf numFmtId="43" fontId="0" fillId="0" borderId="13" xfId="1" applyFont="1" applyBorder="1" applyAlignment="1">
      <alignment vertical="center"/>
    </xf>
    <xf numFmtId="43" fontId="0" fillId="2" borderId="19" xfId="1" applyFont="1" applyFill="1" applyBorder="1" applyAlignment="1">
      <alignment vertical="center"/>
    </xf>
    <xf numFmtId="0" fontId="0" fillId="0" borderId="20" xfId="0" applyBorder="1"/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4" fontId="0" fillId="5" borderId="13" xfId="2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44" fontId="11" fillId="0" borderId="0" xfId="2" applyFont="1" applyFill="1" applyBorder="1" applyAlignment="1">
      <alignment vertical="center" wrapText="1"/>
    </xf>
    <xf numFmtId="0" fontId="0" fillId="0" borderId="0" xfId="0" applyFill="1"/>
    <xf numFmtId="0" fontId="2" fillId="5" borderId="18" xfId="0" applyFont="1" applyFill="1" applyBorder="1" applyAlignment="1">
      <alignment horizontal="center" vertical="center" wrapText="1"/>
    </xf>
    <xf numFmtId="44" fontId="2" fillId="5" borderId="19" xfId="2" applyFont="1" applyFill="1" applyBorder="1" applyAlignment="1">
      <alignment vertical="center" wrapText="1"/>
    </xf>
    <xf numFmtId="0" fontId="0" fillId="0" borderId="20" xfId="0" applyFill="1" applyBorder="1"/>
    <xf numFmtId="0" fontId="0" fillId="8" borderId="1" xfId="0" applyFill="1" applyBorder="1" applyAlignment="1">
      <alignment horizontal="center" vertical="center" wrapText="1"/>
    </xf>
    <xf numFmtId="44" fontId="0" fillId="8" borderId="13" xfId="2" applyFont="1" applyFill="1" applyBorder="1" applyAlignment="1">
      <alignment vertical="center" wrapText="1"/>
    </xf>
    <xf numFmtId="0" fontId="2" fillId="8" borderId="18" xfId="0" applyFont="1" applyFill="1" applyBorder="1" applyAlignment="1">
      <alignment horizontal="center" vertical="center" wrapText="1"/>
    </xf>
    <xf numFmtId="44" fontId="2" fillId="8" borderId="19" xfId="2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164" fontId="0" fillId="5" borderId="12" xfId="2" applyNumberFormat="1" applyFont="1" applyFill="1" applyBorder="1" applyAlignment="1">
      <alignment vertical="center" wrapText="1"/>
    </xf>
    <xf numFmtId="164" fontId="0" fillId="8" borderId="12" xfId="2" applyNumberFormat="1" applyFont="1" applyFill="1" applyBorder="1" applyAlignment="1">
      <alignment vertical="center" wrapText="1"/>
    </xf>
    <xf numFmtId="17" fontId="11" fillId="0" borderId="0" xfId="0" applyNumberFormat="1" applyFont="1" applyFill="1" applyBorder="1" applyAlignment="1">
      <alignment horizontal="center" vertical="center" wrapText="1"/>
    </xf>
    <xf numFmtId="44" fontId="0" fillId="5" borderId="36" xfId="2" applyFont="1" applyFill="1" applyBorder="1" applyAlignment="1">
      <alignment vertical="center" wrapText="1"/>
    </xf>
    <xf numFmtId="44" fontId="2" fillId="2" borderId="37" xfId="2" applyFont="1" applyFill="1" applyBorder="1" applyAlignment="1">
      <alignment vertical="center" wrapText="1"/>
    </xf>
    <xf numFmtId="44" fontId="12" fillId="6" borderId="36" xfId="2" applyFont="1" applyFill="1" applyBorder="1" applyAlignment="1">
      <alignment vertical="center" wrapText="1"/>
    </xf>
    <xf numFmtId="44" fontId="12" fillId="8" borderId="36" xfId="2" applyFont="1" applyFill="1" applyBorder="1" applyAlignment="1">
      <alignment vertical="center" wrapText="1"/>
    </xf>
    <xf numFmtId="0" fontId="11" fillId="0" borderId="3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43" fontId="12" fillId="2" borderId="36" xfId="1" applyFont="1" applyFill="1" applyBorder="1" applyAlignment="1">
      <alignment horizontal="center" vertical="center"/>
    </xf>
    <xf numFmtId="0" fontId="0" fillId="0" borderId="0" xfId="0" applyBorder="1"/>
    <xf numFmtId="166" fontId="12" fillId="0" borderId="36" xfId="2" applyNumberFormat="1" applyFont="1" applyBorder="1" applyAlignment="1">
      <alignment horizontal="center" vertical="center"/>
    </xf>
    <xf numFmtId="14" fontId="12" fillId="0" borderId="36" xfId="0" applyNumberFormat="1" applyFont="1" applyBorder="1" applyAlignment="1">
      <alignment horizontal="center" vertical="center"/>
    </xf>
    <xf numFmtId="43" fontId="12" fillId="2" borderId="36" xfId="1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0" fillId="2" borderId="3" xfId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3" fontId="12" fillId="2" borderId="5" xfId="1" applyFont="1" applyFill="1" applyBorder="1" applyAlignment="1">
      <alignment horizontal="center" vertical="center"/>
    </xf>
    <xf numFmtId="43" fontId="12" fillId="2" borderId="13" xfId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10" fontId="12" fillId="2" borderId="12" xfId="3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right" vertical="center"/>
    </xf>
    <xf numFmtId="10" fontId="0" fillId="2" borderId="1" xfId="3" applyNumberFormat="1" applyFont="1" applyFill="1" applyBorder="1" applyAlignment="1">
      <alignment horizontal="right" vertical="center"/>
    </xf>
    <xf numFmtId="43" fontId="12" fillId="0" borderId="13" xfId="1" applyFont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43" fontId="0" fillId="0" borderId="3" xfId="1" applyFont="1" applyBorder="1" applyAlignment="1">
      <alignment horizontal="center" vertical="center"/>
    </xf>
    <xf numFmtId="43" fontId="12" fillId="2" borderId="13" xfId="1" applyNumberFormat="1" applyFont="1" applyFill="1" applyBorder="1" applyAlignment="1">
      <alignment horizontal="center" vertical="center"/>
    </xf>
    <xf numFmtId="10" fontId="12" fillId="0" borderId="12" xfId="0" applyNumberFormat="1" applyFont="1" applyBorder="1" applyAlignment="1">
      <alignment horizontal="center" vertical="center"/>
    </xf>
    <xf numFmtId="0" fontId="0" fillId="2" borderId="3" xfId="0" applyFill="1" applyBorder="1"/>
    <xf numFmtId="0" fontId="12" fillId="0" borderId="36" xfId="0" applyFont="1" applyBorder="1" applyAlignment="1">
      <alignment horizontal="center" vertical="center" wrapText="1"/>
    </xf>
    <xf numFmtId="166" fontId="12" fillId="2" borderId="36" xfId="1" applyNumberFormat="1" applyFont="1" applyFill="1" applyBorder="1" applyAlignment="1">
      <alignment horizontal="center" vertical="center"/>
    </xf>
    <xf numFmtId="10" fontId="12" fillId="0" borderId="12" xfId="0" applyNumberFormat="1" applyFont="1" applyFill="1" applyBorder="1" applyAlignment="1">
      <alignment horizontal="right" vertical="center"/>
    </xf>
    <xf numFmtId="10" fontId="12" fillId="0" borderId="12" xfId="0" applyNumberFormat="1" applyFont="1" applyBorder="1" applyAlignment="1">
      <alignment horizontal="right" vertical="center"/>
    </xf>
    <xf numFmtId="10" fontId="12" fillId="2" borderId="12" xfId="3" applyNumberFormat="1" applyFont="1" applyFill="1" applyBorder="1" applyAlignment="1">
      <alignment horizontal="right" vertical="center"/>
    </xf>
    <xf numFmtId="43" fontId="0" fillId="2" borderId="48" xfId="1" applyFont="1" applyFill="1" applyBorder="1" applyAlignment="1">
      <alignment horizontal="center" vertical="center"/>
    </xf>
    <xf numFmtId="10" fontId="0" fillId="3" borderId="1" xfId="0" applyNumberFormat="1" applyFill="1" applyBorder="1" applyAlignment="1">
      <alignment horizontal="right" vertical="center"/>
    </xf>
    <xf numFmtId="10" fontId="0" fillId="2" borderId="1" xfId="0" applyNumberFormat="1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0" fontId="0" fillId="0" borderId="1" xfId="3" applyNumberFormat="1" applyFont="1" applyBorder="1" applyAlignment="1">
      <alignment horizontal="right" vertical="center"/>
    </xf>
    <xf numFmtId="0" fontId="11" fillId="0" borderId="42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10" fontId="12" fillId="0" borderId="12" xfId="3" applyNumberFormat="1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166" fontId="12" fillId="0" borderId="5" xfId="2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14" fontId="12" fillId="0" borderId="5" xfId="0" applyNumberFormat="1" applyFont="1" applyBorder="1" applyAlignment="1">
      <alignment horizontal="center" vertical="center"/>
    </xf>
    <xf numFmtId="166" fontId="12" fillId="2" borderId="5" xfId="1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Fill="1"/>
    <xf numFmtId="44" fontId="0" fillId="0" borderId="0" xfId="0" applyNumberFormat="1" applyFill="1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 wrapText="1"/>
    </xf>
    <xf numFmtId="44" fontId="0" fillId="0" borderId="1" xfId="2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vertical="center" wrapText="1"/>
    </xf>
    <xf numFmtId="164" fontId="0" fillId="0" borderId="1" xfId="2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164" fontId="2" fillId="10" borderId="1" xfId="2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44" fontId="0" fillId="0" borderId="3" xfId="2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53" xfId="0" applyFill="1" applyBorder="1" applyAlignment="1">
      <alignment horizontal="center" vertical="center"/>
    </xf>
    <xf numFmtId="44" fontId="0" fillId="0" borderId="53" xfId="2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4" fontId="12" fillId="0" borderId="13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6" fontId="12" fillId="0" borderId="12" xfId="2" applyNumberFormat="1" applyFont="1" applyBorder="1" applyAlignment="1">
      <alignment horizontal="center" vertical="center"/>
    </xf>
    <xf numFmtId="166" fontId="12" fillId="0" borderId="13" xfId="2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50" xfId="0" applyFont="1" applyBorder="1" applyAlignment="1">
      <alignment horizontal="center" vertical="center"/>
    </xf>
    <xf numFmtId="0" fontId="12" fillId="0" borderId="6" xfId="0" applyFont="1" applyBorder="1" applyAlignment="1">
      <alignment vertical="center" wrapText="1"/>
    </xf>
    <xf numFmtId="14" fontId="12" fillId="0" borderId="52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/>
    </xf>
    <xf numFmtId="0" fontId="11" fillId="2" borderId="13" xfId="0" applyFont="1" applyFill="1" applyBorder="1" applyAlignment="1">
      <alignment horizontal="center" vertical="center" wrapText="1"/>
    </xf>
    <xf numFmtId="43" fontId="12" fillId="2" borderId="3" xfId="1" applyFont="1" applyFill="1" applyBorder="1" applyAlignment="1">
      <alignment horizontal="center" vertical="center"/>
    </xf>
    <xf numFmtId="0" fontId="12" fillId="0" borderId="10" xfId="0" applyFont="1" applyBorder="1"/>
    <xf numFmtId="0" fontId="12" fillId="0" borderId="0" xfId="0" applyFont="1" applyBorder="1" applyAlignment="1">
      <alignment vertical="center"/>
    </xf>
    <xf numFmtId="0" fontId="12" fillId="0" borderId="0" xfId="0" applyFont="1" applyBorder="1"/>
    <xf numFmtId="0" fontId="11" fillId="2" borderId="1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right" vertical="center"/>
    </xf>
    <xf numFmtId="0" fontId="11" fillId="0" borderId="12" xfId="0" applyFont="1" applyBorder="1" applyAlignment="1">
      <alignment horizontal="center"/>
    </xf>
    <xf numFmtId="0" fontId="12" fillId="0" borderId="1" xfId="0" applyFont="1" applyBorder="1" applyAlignment="1">
      <alignment vertical="center"/>
    </xf>
    <xf numFmtId="10" fontId="12" fillId="0" borderId="1" xfId="3" applyNumberFormat="1" applyFont="1" applyBorder="1" applyAlignment="1">
      <alignment vertical="center"/>
    </xf>
    <xf numFmtId="43" fontId="12" fillId="2" borderId="3" xfId="1" applyFont="1" applyFill="1" applyBorder="1" applyAlignment="1">
      <alignment vertical="center"/>
    </xf>
    <xf numFmtId="10" fontId="12" fillId="0" borderId="12" xfId="3" applyNumberFormat="1" applyFont="1" applyFill="1" applyBorder="1" applyAlignment="1">
      <alignment horizontal="right" vertical="center"/>
    </xf>
    <xf numFmtId="10" fontId="12" fillId="2" borderId="1" xfId="3" applyNumberFormat="1" applyFont="1" applyFill="1" applyBorder="1" applyAlignment="1">
      <alignment vertical="center"/>
    </xf>
    <xf numFmtId="0" fontId="11" fillId="2" borderId="12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36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right" vertical="center"/>
    </xf>
    <xf numFmtId="10" fontId="12" fillId="0" borderId="1" xfId="0" applyNumberFormat="1" applyFont="1" applyBorder="1" applyAlignment="1">
      <alignment vertical="center"/>
    </xf>
    <xf numFmtId="43" fontId="12" fillId="2" borderId="3" xfId="1" applyNumberFormat="1" applyFont="1" applyFill="1" applyBorder="1"/>
    <xf numFmtId="10" fontId="12" fillId="2" borderId="1" xfId="0" applyNumberFormat="1" applyFont="1" applyFill="1" applyBorder="1" applyAlignment="1">
      <alignment vertical="center"/>
    </xf>
    <xf numFmtId="10" fontId="12" fillId="2" borderId="12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/>
    </xf>
    <xf numFmtId="0" fontId="12" fillId="0" borderId="12" xfId="0" applyFont="1" applyFill="1" applyBorder="1" applyAlignment="1">
      <alignment horizontal="right" vertical="center"/>
    </xf>
    <xf numFmtId="0" fontId="11" fillId="2" borderId="12" xfId="0" applyFont="1" applyFill="1" applyBorder="1" applyAlignment="1">
      <alignment horizontal="center" vertical="center"/>
    </xf>
    <xf numFmtId="10" fontId="12" fillId="0" borderId="1" xfId="0" applyNumberFormat="1" applyFont="1" applyBorder="1" applyAlignment="1">
      <alignment horizontal="right" vertical="center"/>
    </xf>
    <xf numFmtId="0" fontId="11" fillId="0" borderId="16" xfId="0" applyFont="1" applyBorder="1" applyAlignment="1">
      <alignment horizontal="center" vertical="center"/>
    </xf>
    <xf numFmtId="0" fontId="12" fillId="0" borderId="4" xfId="0" applyFont="1" applyBorder="1" applyAlignment="1">
      <alignment vertical="center" wrapText="1"/>
    </xf>
    <xf numFmtId="10" fontId="12" fillId="2" borderId="1" xfId="3" applyNumberFormat="1" applyFont="1" applyFill="1" applyBorder="1" applyAlignment="1">
      <alignment horizontal="right" vertical="center"/>
    </xf>
    <xf numFmtId="43" fontId="12" fillId="2" borderId="3" xfId="1" applyFont="1" applyFill="1" applyBorder="1"/>
    <xf numFmtId="43" fontId="12" fillId="0" borderId="1" xfId="1" applyFont="1" applyBorder="1" applyAlignment="1">
      <alignment vertical="center"/>
    </xf>
    <xf numFmtId="0" fontId="12" fillId="2" borderId="3" xfId="0" applyFont="1" applyFill="1" applyBorder="1"/>
    <xf numFmtId="43" fontId="12" fillId="2" borderId="1" xfId="1" applyFont="1" applyFill="1" applyBorder="1" applyAlignment="1">
      <alignment vertical="center"/>
    </xf>
    <xf numFmtId="43" fontId="12" fillId="0" borderId="3" xfId="1" applyFont="1" applyBorder="1" applyAlignment="1">
      <alignment vertical="center"/>
    </xf>
    <xf numFmtId="43" fontId="12" fillId="0" borderId="36" xfId="1" applyFont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right" vertical="center" wrapText="1"/>
    </xf>
    <xf numFmtId="0" fontId="11" fillId="3" borderId="13" xfId="0" applyFont="1" applyFill="1" applyBorder="1" applyAlignment="1">
      <alignment horizontal="center" vertical="center" wrapText="1"/>
    </xf>
    <xf numFmtId="43" fontId="12" fillId="2" borderId="3" xfId="1" applyFont="1" applyFill="1" applyBorder="1" applyAlignment="1">
      <alignment horizontal="center"/>
    </xf>
    <xf numFmtId="43" fontId="12" fillId="2" borderId="48" xfId="1" applyFont="1" applyFill="1" applyBorder="1" applyAlignment="1">
      <alignment vertical="center"/>
    </xf>
    <xf numFmtId="43" fontId="12" fillId="2" borderId="37" xfId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right" vertical="center"/>
    </xf>
    <xf numFmtId="43" fontId="12" fillId="2" borderId="19" xfId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vertical="center"/>
    </xf>
    <xf numFmtId="43" fontId="12" fillId="2" borderId="13" xfId="1" applyFont="1" applyFill="1" applyBorder="1" applyAlignment="1">
      <alignment vertical="center"/>
    </xf>
    <xf numFmtId="43" fontId="12" fillId="2" borderId="13" xfId="1" applyFont="1" applyFill="1" applyBorder="1" applyAlignment="1">
      <alignment horizontal="center"/>
    </xf>
    <xf numFmtId="43" fontId="12" fillId="0" borderId="3" xfId="1" applyFont="1" applyBorder="1" applyAlignment="1">
      <alignment horizontal="center" vertical="center"/>
    </xf>
    <xf numFmtId="10" fontId="12" fillId="3" borderId="1" xfId="0" applyNumberFormat="1" applyFont="1" applyFill="1" applyBorder="1" applyAlignment="1">
      <alignment horizontal="right" vertical="center"/>
    </xf>
    <xf numFmtId="10" fontId="12" fillId="2" borderId="1" xfId="0" applyNumberFormat="1" applyFont="1" applyFill="1" applyBorder="1" applyAlignment="1">
      <alignment horizontal="right" vertical="center"/>
    </xf>
    <xf numFmtId="43" fontId="12" fillId="2" borderId="48" xfId="1" applyFont="1" applyFill="1" applyBorder="1" applyAlignment="1">
      <alignment horizontal="center"/>
    </xf>
    <xf numFmtId="0" fontId="12" fillId="9" borderId="13" xfId="0" applyFont="1" applyFill="1" applyBorder="1" applyAlignment="1">
      <alignment horizontal="center" vertical="center" wrapText="1"/>
    </xf>
    <xf numFmtId="0" fontId="12" fillId="0" borderId="54" xfId="0" applyFont="1" applyBorder="1" applyAlignment="1"/>
    <xf numFmtId="0" fontId="0" fillId="0" borderId="12" xfId="0" applyBorder="1"/>
    <xf numFmtId="0" fontId="0" fillId="0" borderId="13" xfId="0" applyBorder="1"/>
    <xf numFmtId="0" fontId="12" fillId="0" borderId="1" xfId="0" applyFont="1" applyBorder="1" applyAlignment="1">
      <alignment horizontal="center" vertical="center" wrapText="1"/>
    </xf>
    <xf numFmtId="0" fontId="12" fillId="0" borderId="12" xfId="0" applyFont="1" applyBorder="1"/>
    <xf numFmtId="0" fontId="12" fillId="0" borderId="13" xfId="0" applyFont="1" applyBorder="1"/>
    <xf numFmtId="0" fontId="11" fillId="2" borderId="13" xfId="0" applyFont="1" applyFill="1" applyBorder="1" applyAlignment="1">
      <alignment horizontal="center"/>
    </xf>
    <xf numFmtId="43" fontId="12" fillId="2" borderId="13" xfId="1" applyNumberFormat="1" applyFont="1" applyFill="1" applyBorder="1"/>
    <xf numFmtId="43" fontId="12" fillId="2" borderId="13" xfId="1" applyFont="1" applyFill="1" applyBorder="1"/>
    <xf numFmtId="0" fontId="12" fillId="2" borderId="13" xfId="0" applyFont="1" applyFill="1" applyBorder="1"/>
    <xf numFmtId="43" fontId="12" fillId="0" borderId="13" xfId="1" applyFont="1" applyBorder="1" applyAlignment="1">
      <alignment vertical="center"/>
    </xf>
    <xf numFmtId="43" fontId="12" fillId="2" borderId="19" xfId="1" applyFont="1" applyFill="1" applyBorder="1" applyAlignment="1">
      <alignment vertical="center"/>
    </xf>
    <xf numFmtId="0" fontId="11" fillId="0" borderId="12" xfId="0" applyFont="1" applyBorder="1" applyAlignment="1">
      <alignment horizontal="center" vertical="center" wrapText="1"/>
    </xf>
    <xf numFmtId="43" fontId="12" fillId="2" borderId="12" xfId="1" applyFont="1" applyFill="1" applyBorder="1" applyAlignment="1">
      <alignment horizontal="center" vertical="center"/>
    </xf>
    <xf numFmtId="43" fontId="12" fillId="0" borderId="12" xfId="1" applyFont="1" applyBorder="1" applyAlignment="1">
      <alignment horizontal="center" vertical="center"/>
    </xf>
    <xf numFmtId="0" fontId="12" fillId="9" borderId="36" xfId="0" applyFont="1" applyFill="1" applyBorder="1" applyAlignment="1">
      <alignment horizontal="center" vertical="center" wrapText="1"/>
    </xf>
    <xf numFmtId="10" fontId="12" fillId="0" borderId="12" xfId="0" applyNumberFormat="1" applyFont="1" applyFill="1" applyBorder="1" applyAlignment="1">
      <alignment horizontal="center" vertical="center"/>
    </xf>
    <xf numFmtId="165" fontId="12" fillId="2" borderId="13" xfId="1" applyNumberFormat="1" applyFont="1" applyFill="1" applyBorder="1" applyAlignment="1">
      <alignment horizontal="center" vertical="center"/>
    </xf>
    <xf numFmtId="10" fontId="12" fillId="3" borderId="1" xfId="0" applyNumberFormat="1" applyFont="1" applyFill="1" applyBorder="1" applyAlignment="1">
      <alignment vertical="center"/>
    </xf>
    <xf numFmtId="43" fontId="12" fillId="3" borderId="13" xfId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10" fontId="12" fillId="2" borderId="12" xfId="0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2" fillId="0" borderId="11" xfId="0" applyFont="1" applyBorder="1"/>
    <xf numFmtId="0" fontId="12" fillId="0" borderId="5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0" fontId="12" fillId="9" borderId="36" xfId="0" applyFont="1" applyFill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/>
    </xf>
    <xf numFmtId="0" fontId="12" fillId="9" borderId="13" xfId="0" applyFont="1" applyFill="1" applyBorder="1" applyAlignment="1">
      <alignment horizontal="left" vertical="center" wrapText="1"/>
    </xf>
    <xf numFmtId="0" fontId="12" fillId="9" borderId="43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2" fillId="9" borderId="26" xfId="0" applyFont="1" applyFill="1" applyBorder="1" applyAlignment="1">
      <alignment horizontal="left" vertical="center" wrapText="1"/>
    </xf>
    <xf numFmtId="4" fontId="12" fillId="0" borderId="0" xfId="0" applyNumberFormat="1" applyFont="1"/>
    <xf numFmtId="44" fontId="12" fillId="0" borderId="1" xfId="2" applyFont="1" applyBorder="1" applyAlignment="1">
      <alignment vertical="center" wrapText="1"/>
    </xf>
    <xf numFmtId="44" fontId="12" fillId="6" borderId="1" xfId="2" applyFont="1" applyFill="1" applyBorder="1" applyAlignment="1">
      <alignment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vertical="center" wrapText="1"/>
    </xf>
    <xf numFmtId="44" fontId="12" fillId="5" borderId="1" xfId="2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center" vertical="center" wrapText="1"/>
    </xf>
    <xf numFmtId="44" fontId="12" fillId="5" borderId="13" xfId="2" applyFont="1" applyFill="1" applyBorder="1" applyAlignment="1">
      <alignment vertical="center" wrapText="1"/>
    </xf>
    <xf numFmtId="44" fontId="12" fillId="5" borderId="36" xfId="2" applyFont="1" applyFill="1" applyBorder="1" applyAlignment="1">
      <alignment vertical="center" wrapText="1"/>
    </xf>
    <xf numFmtId="0" fontId="12" fillId="6" borderId="1" xfId="0" applyNumberFormat="1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center" vertical="center" wrapText="1"/>
    </xf>
    <xf numFmtId="44" fontId="12" fillId="6" borderId="13" xfId="2" applyFont="1" applyFill="1" applyBorder="1" applyAlignment="1">
      <alignment vertical="center" wrapText="1"/>
    </xf>
    <xf numFmtId="0" fontId="12" fillId="8" borderId="1" xfId="0" applyNumberFormat="1" applyFont="1" applyFill="1" applyBorder="1" applyAlignment="1">
      <alignment vertical="center" wrapText="1"/>
    </xf>
    <xf numFmtId="44" fontId="12" fillId="8" borderId="1" xfId="2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44" fontId="12" fillId="8" borderId="13" xfId="2" applyFont="1" applyFill="1" applyBorder="1" applyAlignment="1">
      <alignment vertical="center" wrapText="1"/>
    </xf>
    <xf numFmtId="0" fontId="11" fillId="2" borderId="18" xfId="0" applyFont="1" applyFill="1" applyBorder="1" applyAlignment="1">
      <alignment horizontal="center" vertical="center" wrapText="1"/>
    </xf>
    <xf numFmtId="44" fontId="11" fillId="2" borderId="19" xfId="2" applyFont="1" applyFill="1" applyBorder="1" applyAlignment="1">
      <alignment vertical="center" wrapText="1"/>
    </xf>
    <xf numFmtId="44" fontId="11" fillId="2" borderId="37" xfId="2" applyFont="1" applyFill="1" applyBorder="1" applyAlignment="1">
      <alignment vertical="center" wrapText="1"/>
    </xf>
    <xf numFmtId="9" fontId="12" fillId="0" borderId="0" xfId="0" applyNumberFormat="1" applyFont="1"/>
    <xf numFmtId="0" fontId="11" fillId="2" borderId="25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vertical="center" wrapText="1"/>
    </xf>
    <xf numFmtId="44" fontId="12" fillId="0" borderId="13" xfId="2" applyFont="1" applyBorder="1" applyAlignment="1">
      <alignment vertical="center" wrapText="1"/>
    </xf>
    <xf numFmtId="164" fontId="12" fillId="5" borderId="12" xfId="2" applyNumberFormat="1" applyFont="1" applyFill="1" applyBorder="1" applyAlignment="1">
      <alignment vertical="center" wrapText="1"/>
    </xf>
    <xf numFmtId="164" fontId="12" fillId="5" borderId="13" xfId="2" applyNumberFormat="1" applyFont="1" applyFill="1" applyBorder="1" applyAlignment="1">
      <alignment vertical="center" wrapText="1"/>
    </xf>
    <xf numFmtId="0" fontId="12" fillId="0" borderId="20" xfId="0" applyFont="1" applyBorder="1"/>
    <xf numFmtId="0" fontId="11" fillId="5" borderId="18" xfId="0" applyFont="1" applyFill="1" applyBorder="1" applyAlignment="1">
      <alignment horizontal="center" vertical="center" wrapText="1"/>
    </xf>
    <xf numFmtId="164" fontId="11" fillId="5" borderId="19" xfId="2" applyNumberFormat="1" applyFont="1" applyFill="1" applyBorder="1" applyAlignment="1">
      <alignment vertical="center" wrapText="1"/>
    </xf>
    <xf numFmtId="0" fontId="12" fillId="0" borderId="20" xfId="0" applyFont="1" applyFill="1" applyBorder="1"/>
    <xf numFmtId="44" fontId="11" fillId="5" borderId="19" xfId="2" applyFont="1" applyFill="1" applyBorder="1" applyAlignment="1">
      <alignment vertical="center" wrapText="1"/>
    </xf>
    <xf numFmtId="164" fontId="12" fillId="6" borderId="12" xfId="0" applyNumberFormat="1" applyFont="1" applyFill="1" applyBorder="1"/>
    <xf numFmtId="164" fontId="12" fillId="6" borderId="13" xfId="2" applyNumberFormat="1" applyFont="1" applyFill="1" applyBorder="1" applyAlignment="1">
      <alignment vertical="center" wrapText="1"/>
    </xf>
    <xf numFmtId="0" fontId="12" fillId="0" borderId="17" xfId="0" applyFont="1" applyBorder="1"/>
    <xf numFmtId="0" fontId="11" fillId="6" borderId="18" xfId="0" applyFont="1" applyFill="1" applyBorder="1" applyAlignment="1">
      <alignment horizontal="center" vertical="center" wrapText="1"/>
    </xf>
    <xf numFmtId="164" fontId="11" fillId="6" borderId="19" xfId="2" applyNumberFormat="1" applyFont="1" applyFill="1" applyBorder="1" applyAlignment="1">
      <alignment vertical="center" wrapText="1"/>
    </xf>
    <xf numFmtId="44" fontId="11" fillId="6" borderId="19" xfId="2" applyFont="1" applyFill="1" applyBorder="1" applyAlignment="1">
      <alignment vertical="center" wrapText="1"/>
    </xf>
    <xf numFmtId="164" fontId="12" fillId="8" borderId="12" xfId="2" applyNumberFormat="1" applyFont="1" applyFill="1" applyBorder="1" applyAlignment="1">
      <alignment vertical="center" wrapText="1"/>
    </xf>
    <xf numFmtId="164" fontId="12" fillId="8" borderId="13" xfId="2" applyNumberFormat="1" applyFont="1" applyFill="1" applyBorder="1" applyAlignment="1">
      <alignment vertical="center" wrapText="1"/>
    </xf>
    <xf numFmtId="0" fontId="11" fillId="8" borderId="18" xfId="0" applyFont="1" applyFill="1" applyBorder="1" applyAlignment="1">
      <alignment horizontal="center" vertical="center" wrapText="1"/>
    </xf>
    <xf numFmtId="164" fontId="11" fillId="8" borderId="19" xfId="2" applyNumberFormat="1" applyFont="1" applyFill="1" applyBorder="1" applyAlignment="1">
      <alignment vertical="center" wrapText="1"/>
    </xf>
    <xf numFmtId="44" fontId="11" fillId="8" borderId="19" xfId="2" applyFont="1" applyFill="1" applyBorder="1" applyAlignment="1">
      <alignment vertical="center" wrapText="1"/>
    </xf>
    <xf numFmtId="17" fontId="12" fillId="0" borderId="0" xfId="0" applyNumberFormat="1" applyFont="1"/>
    <xf numFmtId="43" fontId="12" fillId="0" borderId="0" xfId="0" applyNumberFormat="1" applyFont="1"/>
    <xf numFmtId="44" fontId="12" fillId="0" borderId="0" xfId="0" applyNumberFormat="1" applyFont="1"/>
    <xf numFmtId="164" fontId="12" fillId="0" borderId="0" xfId="0" applyNumberFormat="1" applyFont="1"/>
    <xf numFmtId="164" fontId="12" fillId="0" borderId="1" xfId="2" applyNumberFormat="1" applyFont="1" applyBorder="1" applyAlignment="1">
      <alignment horizontal="center" vertical="center"/>
    </xf>
    <xf numFmtId="10" fontId="0" fillId="0" borderId="53" xfId="3" applyNumberFormat="1" applyFont="1" applyFill="1" applyBorder="1" applyAlignment="1">
      <alignment horizontal="center" vertical="center"/>
    </xf>
    <xf numFmtId="10" fontId="0" fillId="0" borderId="0" xfId="3" applyNumberFormat="1" applyFont="1" applyFill="1" applyBorder="1" applyAlignment="1">
      <alignment vertical="center"/>
    </xf>
    <xf numFmtId="44" fontId="0" fillId="0" borderId="0" xfId="2" applyFont="1"/>
    <xf numFmtId="44" fontId="0" fillId="0" borderId="0" xfId="2" applyFont="1" applyAlignment="1">
      <alignment horizontal="left" vertical="center"/>
    </xf>
    <xf numFmtId="0" fontId="0" fillId="0" borderId="1" xfId="0" applyFont="1" applyBorder="1"/>
    <xf numFmtId="44" fontId="0" fillId="0" borderId="1" xfId="2" applyFont="1" applyBorder="1" applyAlignment="1">
      <alignment horizontal="left" vertical="center"/>
    </xf>
    <xf numFmtId="44" fontId="0" fillId="0" borderId="1" xfId="2" applyFont="1" applyBorder="1"/>
    <xf numFmtId="0" fontId="0" fillId="3" borderId="10" xfId="0" applyFill="1" applyBorder="1"/>
    <xf numFmtId="44" fontId="0" fillId="3" borderId="0" xfId="2" applyFont="1" applyFill="1" applyBorder="1" applyAlignment="1">
      <alignment horizontal="left" vertical="center"/>
    </xf>
    <xf numFmtId="44" fontId="0" fillId="3" borderId="11" xfId="2" applyFont="1" applyFill="1" applyBorder="1"/>
    <xf numFmtId="0" fontId="0" fillId="3" borderId="20" xfId="0" applyFill="1" applyBorder="1"/>
    <xf numFmtId="44" fontId="0" fillId="3" borderId="31" xfId="2" applyFont="1" applyFill="1" applyBorder="1" applyAlignment="1">
      <alignment horizontal="left" vertical="center"/>
    </xf>
    <xf numFmtId="44" fontId="0" fillId="3" borderId="44" xfId="2" applyFont="1" applyFill="1" applyBorder="1"/>
    <xf numFmtId="0" fontId="11" fillId="2" borderId="16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43" fontId="12" fillId="0" borderId="5" xfId="1" applyFont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43" fontId="12" fillId="3" borderId="36" xfId="1" applyFont="1" applyFill="1" applyBorder="1" applyAlignment="1">
      <alignment horizontal="center" vertical="center"/>
    </xf>
    <xf numFmtId="43" fontId="12" fillId="3" borderId="5" xfId="1" applyFont="1" applyFill="1" applyBorder="1" applyAlignment="1">
      <alignment horizontal="center" vertical="center"/>
    </xf>
    <xf numFmtId="43" fontId="12" fillId="2" borderId="34" xfId="1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43" fontId="12" fillId="2" borderId="1" xfId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43" fontId="12" fillId="2" borderId="1" xfId="1" applyFont="1" applyFill="1" applyBorder="1"/>
    <xf numFmtId="0" fontId="12" fillId="2" borderId="1" xfId="0" applyFont="1" applyFill="1" applyBorder="1"/>
    <xf numFmtId="43" fontId="12" fillId="2" borderId="1" xfId="1" applyFont="1" applyFill="1" applyBorder="1" applyAlignment="1">
      <alignment horizontal="center"/>
    </xf>
    <xf numFmtId="43" fontId="12" fillId="3" borderId="1" xfId="1" applyFont="1" applyFill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166" fontId="12" fillId="0" borderId="16" xfId="2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wrapText="1"/>
    </xf>
    <xf numFmtId="14" fontId="12" fillId="0" borderId="16" xfId="0" applyNumberFormat="1" applyFont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 wrapText="1"/>
    </xf>
    <xf numFmtId="166" fontId="12" fillId="2" borderId="16" xfId="1" applyNumberFormat="1" applyFont="1" applyFill="1" applyBorder="1" applyAlignment="1">
      <alignment horizontal="center" vertical="center"/>
    </xf>
    <xf numFmtId="43" fontId="12" fillId="2" borderId="16" xfId="1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43" fontId="12" fillId="0" borderId="16" xfId="1" applyFont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 wrapText="1"/>
    </xf>
    <xf numFmtId="43" fontId="12" fillId="3" borderId="16" xfId="1" applyFont="1" applyFill="1" applyBorder="1" applyAlignment="1">
      <alignment horizontal="center" vertical="center"/>
    </xf>
    <xf numFmtId="43" fontId="12" fillId="2" borderId="33" xfId="1" applyFont="1" applyFill="1" applyBorder="1" applyAlignment="1">
      <alignment horizontal="center" vertical="center"/>
    </xf>
    <xf numFmtId="166" fontId="12" fillId="2" borderId="13" xfId="1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12" fillId="0" borderId="12" xfId="2" applyNumberFormat="1" applyFont="1" applyBorder="1" applyAlignment="1">
      <alignment horizontal="center" vertical="center"/>
    </xf>
    <xf numFmtId="166" fontId="12" fillId="0" borderId="13" xfId="2" applyNumberFormat="1" applyFont="1" applyBorder="1" applyAlignment="1">
      <alignment horizontal="center" vertical="center"/>
    </xf>
    <xf numFmtId="14" fontId="12" fillId="0" borderId="13" xfId="0" applyNumberFormat="1" applyFont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/>
    </xf>
    <xf numFmtId="164" fontId="11" fillId="10" borderId="1" xfId="2" applyNumberFormat="1" applyFont="1" applyFill="1" applyBorder="1" applyAlignment="1">
      <alignment horizontal="center" vertical="center"/>
    </xf>
    <xf numFmtId="0" fontId="12" fillId="0" borderId="36" xfId="0" applyFont="1" applyBorder="1" applyAlignment="1"/>
    <xf numFmtId="0" fontId="0" fillId="0" borderId="1" xfId="0" applyFont="1" applyFill="1" applyBorder="1"/>
    <xf numFmtId="17" fontId="11" fillId="2" borderId="38" xfId="0" applyNumberFormat="1" applyFont="1" applyFill="1" applyBorder="1" applyAlignment="1">
      <alignment horizontal="center" vertical="center" wrapText="1"/>
    </xf>
    <xf numFmtId="17" fontId="11" fillId="2" borderId="39" xfId="0" applyNumberFormat="1" applyFont="1" applyFill="1" applyBorder="1" applyAlignment="1">
      <alignment horizontal="center" vertical="center" wrapText="1"/>
    </xf>
    <xf numFmtId="0" fontId="11" fillId="7" borderId="32" xfId="0" applyFont="1" applyFill="1" applyBorder="1" applyAlignment="1">
      <alignment horizontal="center"/>
    </xf>
    <xf numFmtId="0" fontId="11" fillId="7" borderId="40" xfId="0" applyFont="1" applyFill="1" applyBorder="1" applyAlignment="1">
      <alignment horizontal="center"/>
    </xf>
    <xf numFmtId="0" fontId="11" fillId="7" borderId="41" xfId="0" applyFont="1" applyFill="1" applyBorder="1" applyAlignment="1">
      <alignment horizontal="center"/>
    </xf>
    <xf numFmtId="0" fontId="2" fillId="7" borderId="32" xfId="0" applyFont="1" applyFill="1" applyBorder="1" applyAlignment="1">
      <alignment horizontal="center"/>
    </xf>
    <xf numFmtId="0" fontId="2" fillId="7" borderId="40" xfId="0" applyFont="1" applyFill="1" applyBorder="1" applyAlignment="1">
      <alignment horizontal="center"/>
    </xf>
    <xf numFmtId="0" fontId="2" fillId="7" borderId="41" xfId="0" applyFont="1" applyFill="1" applyBorder="1" applyAlignment="1">
      <alignment horizontal="center"/>
    </xf>
    <xf numFmtId="0" fontId="11" fillId="0" borderId="31" xfId="0" applyFont="1" applyBorder="1" applyAlignment="1">
      <alignment horizontal="center" vertical="center"/>
    </xf>
    <xf numFmtId="0" fontId="2" fillId="7" borderId="27" xfId="0" applyFont="1" applyFill="1" applyBorder="1" applyAlignment="1">
      <alignment horizontal="center"/>
    </xf>
    <xf numFmtId="0" fontId="2" fillId="7" borderId="28" xfId="0" applyFont="1" applyFill="1" applyBorder="1" applyAlignment="1">
      <alignment horizontal="center"/>
    </xf>
    <xf numFmtId="0" fontId="2" fillId="7" borderId="29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0" fontId="11" fillId="7" borderId="28" xfId="0" applyFont="1" applyFill="1" applyBorder="1" applyAlignment="1">
      <alignment horizontal="center"/>
    </xf>
    <xf numFmtId="0" fontId="11" fillId="7" borderId="29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11" fillId="7" borderId="23" xfId="0" applyFont="1" applyFill="1" applyBorder="1" applyAlignment="1">
      <alignment horizontal="center"/>
    </xf>
    <xf numFmtId="0" fontId="11" fillId="7" borderId="24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2" fillId="7" borderId="22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3" borderId="1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0" fillId="3" borderId="11" xfId="0" applyFont="1" applyFill="1" applyBorder="1" applyAlignment="1">
      <alignment horizontal="left" wrapText="1"/>
    </xf>
    <xf numFmtId="44" fontId="0" fillId="0" borderId="1" xfId="2" applyFont="1" applyBorder="1" applyAlignment="1">
      <alignment horizontal="left" vertical="center"/>
    </xf>
    <xf numFmtId="44" fontId="0" fillId="0" borderId="1" xfId="2" applyFont="1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14" fontId="12" fillId="0" borderId="12" xfId="0" applyNumberFormat="1" applyFont="1" applyBorder="1" applyAlignment="1">
      <alignment horizontal="center" vertical="center"/>
    </xf>
    <xf numFmtId="14" fontId="12" fillId="0" borderId="13" xfId="0" applyNumberFormat="1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166" fontId="12" fillId="0" borderId="12" xfId="2" applyNumberFormat="1" applyFont="1" applyBorder="1" applyAlignment="1">
      <alignment horizontal="center" vertical="center"/>
    </xf>
    <xf numFmtId="166" fontId="12" fillId="0" borderId="13" xfId="2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4" fillId="0" borderId="12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left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center" wrapText="1"/>
    </xf>
    <xf numFmtId="0" fontId="11" fillId="3" borderId="13" xfId="0" applyFont="1" applyFill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6" fontId="12" fillId="0" borderId="1" xfId="2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4" fillId="0" borderId="1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11" fillId="2" borderId="3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 wrapText="1"/>
    </xf>
    <xf numFmtId="0" fontId="14" fillId="0" borderId="3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66" fontId="12" fillId="0" borderId="3" xfId="2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55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4" fontId="12" fillId="0" borderId="50" xfId="0" applyNumberFormat="1" applyFont="1" applyBorder="1" applyAlignment="1">
      <alignment horizontal="center" vertical="center"/>
    </xf>
    <xf numFmtId="14" fontId="12" fillId="0" borderId="51" xfId="0" applyNumberFormat="1" applyFont="1" applyBorder="1" applyAlignment="1">
      <alignment horizontal="center" vertic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166" fontId="0" fillId="0" borderId="1" xfId="2" applyNumberFormat="1" applyFont="1" applyBorder="1" applyAlignment="1">
      <alignment horizontal="center" vertical="center"/>
    </xf>
    <xf numFmtId="166" fontId="0" fillId="0" borderId="13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1" fillId="0" borderId="13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top" wrapText="1"/>
    </xf>
    <xf numFmtId="0" fontId="14" fillId="0" borderId="15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14" fontId="12" fillId="0" borderId="16" xfId="0" applyNumberFormat="1" applyFont="1" applyBorder="1" applyAlignment="1">
      <alignment horizontal="center" vertical="center"/>
    </xf>
    <xf numFmtId="14" fontId="12" fillId="0" borderId="5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56" xfId="0" applyFont="1" applyBorder="1" applyAlignment="1">
      <alignment horizontal="center" vertical="center"/>
    </xf>
    <xf numFmtId="166" fontId="12" fillId="0" borderId="16" xfId="2" applyNumberFormat="1" applyFont="1" applyBorder="1" applyAlignment="1">
      <alignment horizontal="center" vertical="center"/>
    </xf>
    <xf numFmtId="166" fontId="12" fillId="0" borderId="56" xfId="2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6" fontId="0" fillId="0" borderId="3" xfId="2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5">
    <cellStyle name="Moeda" xfId="2" builtinId="4"/>
    <cellStyle name="Moeda 4" xfId="4" xr:uid="{00000000-0005-0000-0000-000001000000}"/>
    <cellStyle name="Normal" xfId="0" builtinId="0"/>
    <cellStyle name="Porcentagem" xfId="3" builtinId="5"/>
    <cellStyle name="Vírgula" xfId="1" builtinId="3"/>
  </cellStyles>
  <dxfs count="2">
    <dxf>
      <fill>
        <patternFill>
          <bgColor theme="9" tint="0.79998168889431442"/>
        </patternFill>
      </fill>
    </dxf>
    <dxf>
      <fill>
        <patternFill>
          <bgColor rgb="FFFF8379"/>
        </patternFill>
      </fill>
    </dxf>
  </dxfs>
  <tableStyles count="0" defaultTableStyle="TableStyleMedium2" defaultPivotStyle="PivotStyleLight16"/>
  <colors>
    <mruColors>
      <color rgb="FFFF8379"/>
      <color rgb="FFFF505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47625</xdr:colOff>
      <xdr:row>17</xdr:row>
      <xdr:rowOff>128587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9E8B6AA-BAE4-B497-8E7B-32A187B69F67}"/>
            </a:ext>
          </a:extLst>
        </xdr:cNvPr>
        <xdr:cNvSpPr txBox="1"/>
      </xdr:nvSpPr>
      <xdr:spPr>
        <a:xfrm>
          <a:off x="8458200" y="38909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581025</xdr:colOff>
      <xdr:row>8</xdr:row>
      <xdr:rowOff>90487</xdr:rowOff>
    </xdr:from>
    <xdr:ext cx="4991238" cy="3499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BF7F9CF-30A8-659D-05F8-0CB981D84373}"/>
                </a:ext>
              </a:extLst>
            </xdr:cNvPr>
            <xdr:cNvSpPr txBox="1"/>
          </xdr:nvSpPr>
          <xdr:spPr>
            <a:xfrm>
              <a:off x="1190625" y="2138362"/>
              <a:ext cx="4991238" cy="3499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𝑇𝑒𝑚𝑝𝑜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𝑟𝑒𝑠𝑡𝑎𝑛𝑡𝑒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𝑐𝑜𝑛𝑡𝑟𝑎𝑡𝑜</m:t>
                        </m:r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𝑇𝑒𝑚𝑝𝑜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𝑡𝑜𝑡𝑎𝑙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𝑑𝑜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𝑐𝑜𝑛𝑡𝑟𝑎𝑡𝑜</m:t>
                        </m:r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ctrlP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𝐺𝑎𝑟𝑎𝑛𝑡𝑖𝑎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𝑎𝑡𝑢𝑎𝑙𝑖𝑧𝑎𝑑𝑎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𝐺𝑎𝑟𝑎𝑛𝑡𝑖𝑎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𝑒𝑚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𝑒𝑥𝑒𝑐𝑢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çã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e>
                    </m: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BF7F9CF-30A8-659D-05F8-0CB981D84373}"/>
                </a:ext>
              </a:extLst>
            </xdr:cNvPr>
            <xdr:cNvSpPr txBox="1"/>
          </xdr:nvSpPr>
          <xdr:spPr>
            <a:xfrm>
              <a:off x="1190625" y="2138362"/>
              <a:ext cx="4991238" cy="3499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="0" i="0">
                  <a:latin typeface="Cambria Math" panose="02040503050406030204" pitchFamily="18" charset="0"/>
                </a:rPr>
                <a:t>(𝑇𝑒𝑚𝑝𝑜 𝑟𝑒𝑠𝑡𝑎𝑛𝑡𝑒 𝑑𝑒 𝑐𝑜𝑛𝑡𝑟𝑎𝑡𝑜)/(𝑇𝑒𝑚𝑝𝑜 𝑡𝑜𝑡𝑎𝑙 𝑑𝑜 𝑐𝑜𝑛𝑡𝑟𝑎𝑡𝑜)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𝐺𝑎𝑟𝑎𝑛𝑡𝑖𝑎 𝑎𝑡𝑢𝑎𝑙𝑖𝑧𝑎𝑑𝑎 −𝐺𝑎𝑟𝑎𝑛𝑡𝑖𝑎 𝑒𝑚 𝑒𝑥𝑒𝑐𝑢çã𝑜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R46"/>
  <sheetViews>
    <sheetView tabSelected="1" zoomScale="85" zoomScaleNormal="85" workbookViewId="0">
      <selection activeCell="AE8" sqref="AE8"/>
    </sheetView>
  </sheetViews>
  <sheetFormatPr defaultColWidth="48.85546875" defaultRowHeight="15" x14ac:dyDescent="0.25"/>
  <cols>
    <col min="1" max="1" width="3.140625" style="216" bestFit="1" customWidth="1"/>
    <col min="2" max="2" width="31.28515625" style="216" bestFit="1" customWidth="1"/>
    <col min="3" max="3" width="29" style="216" customWidth="1"/>
    <col min="4" max="4" width="29.42578125" style="216" bestFit="1" customWidth="1"/>
    <col min="5" max="5" width="23.85546875" style="216" bestFit="1" customWidth="1"/>
    <col min="6" max="6" width="15.5703125" style="216" bestFit="1" customWidth="1"/>
    <col min="7" max="7" width="20.42578125" style="216" customWidth="1"/>
    <col min="8" max="16" width="29.7109375" style="216" bestFit="1" customWidth="1"/>
    <col min="17" max="30" width="29.7109375" bestFit="1" customWidth="1"/>
    <col min="31" max="31" width="28.28515625" customWidth="1"/>
    <col min="32" max="32" width="23.85546875" bestFit="1" customWidth="1"/>
    <col min="33" max="33" width="15.5703125" bestFit="1" customWidth="1"/>
    <col min="34" max="34" width="20.42578125" bestFit="1" customWidth="1"/>
    <col min="35" max="35" width="23.85546875" bestFit="1" customWidth="1"/>
    <col min="36" max="36" width="15.5703125" bestFit="1" customWidth="1"/>
    <col min="37" max="37" width="20.42578125" bestFit="1" customWidth="1"/>
    <col min="38" max="38" width="23.85546875" bestFit="1" customWidth="1"/>
    <col min="39" max="39" width="15.5703125" bestFit="1" customWidth="1"/>
    <col min="40" max="40" width="20.42578125" bestFit="1" customWidth="1"/>
    <col min="41" max="41" width="23.85546875" bestFit="1" customWidth="1"/>
    <col min="42" max="42" width="15.5703125" bestFit="1" customWidth="1"/>
    <col min="43" max="43" width="20.42578125" bestFit="1" customWidth="1"/>
    <col min="44" max="44" width="23.85546875" bestFit="1" customWidth="1"/>
    <col min="45" max="45" width="15.5703125" bestFit="1" customWidth="1"/>
    <col min="46" max="46" width="20.42578125" bestFit="1" customWidth="1"/>
    <col min="47" max="47" width="23.85546875" bestFit="1" customWidth="1"/>
    <col min="48" max="48" width="15.5703125" bestFit="1" customWidth="1"/>
    <col min="49" max="49" width="20.42578125" bestFit="1" customWidth="1"/>
    <col min="50" max="50" width="23.85546875" bestFit="1" customWidth="1"/>
    <col min="51" max="51" width="15.5703125" bestFit="1" customWidth="1"/>
    <col min="52" max="52" width="20.42578125" bestFit="1" customWidth="1"/>
    <col min="53" max="53" width="23.85546875" bestFit="1" customWidth="1"/>
    <col min="54" max="54" width="15.5703125" bestFit="1" customWidth="1"/>
    <col min="55" max="55" width="20.42578125" bestFit="1" customWidth="1"/>
    <col min="56" max="56" width="23.85546875" bestFit="1" customWidth="1"/>
    <col min="57" max="57" width="15.5703125" bestFit="1" customWidth="1"/>
    <col min="58" max="58" width="20.42578125" bestFit="1" customWidth="1"/>
    <col min="59" max="59" width="23.85546875" bestFit="1" customWidth="1"/>
    <col min="60" max="60" width="15.5703125" bestFit="1" customWidth="1"/>
    <col min="61" max="61" width="20.42578125" bestFit="1" customWidth="1"/>
    <col min="62" max="62" width="23.85546875" bestFit="1" customWidth="1"/>
    <col min="63" max="63" width="15.5703125" bestFit="1" customWidth="1"/>
    <col min="64" max="64" width="20.42578125" customWidth="1"/>
    <col min="65" max="65" width="23.85546875" bestFit="1" customWidth="1"/>
    <col min="66" max="66" width="15.5703125" bestFit="1" customWidth="1"/>
    <col min="67" max="67" width="20.42578125" bestFit="1" customWidth="1"/>
    <col min="68" max="68" width="23.85546875" bestFit="1" customWidth="1"/>
    <col min="69" max="69" width="15.5703125" bestFit="1" customWidth="1"/>
    <col min="70" max="70" width="20.42578125" bestFit="1" customWidth="1"/>
  </cols>
  <sheetData>
    <row r="1" spans="1:58" x14ac:dyDescent="0.25">
      <c r="A1" s="414" t="s">
        <v>95</v>
      </c>
      <c r="B1" s="414"/>
      <c r="C1" s="414"/>
      <c r="D1" s="414"/>
      <c r="E1" s="414"/>
      <c r="F1" s="414"/>
      <c r="G1" s="414"/>
    </row>
    <row r="2" spans="1:58" x14ac:dyDescent="0.25">
      <c r="A2" s="414" t="s">
        <v>99</v>
      </c>
      <c r="B2" s="414"/>
      <c r="C2" s="414"/>
      <c r="D2" s="414"/>
      <c r="E2" s="414"/>
      <c r="F2" s="414"/>
      <c r="G2" s="414"/>
    </row>
    <row r="3" spans="1:58" x14ac:dyDescent="0.25">
      <c r="A3" s="419" t="s">
        <v>159</v>
      </c>
      <c r="B3" s="419"/>
      <c r="C3" s="419"/>
      <c r="D3" s="419"/>
      <c r="E3" s="419"/>
      <c r="F3" s="419"/>
      <c r="G3" s="419"/>
    </row>
    <row r="4" spans="1:58" x14ac:dyDescent="0.25">
      <c r="A4" s="419" t="s">
        <v>160</v>
      </c>
      <c r="B4" s="419"/>
      <c r="C4" s="419"/>
      <c r="D4" s="419"/>
      <c r="E4" s="419"/>
      <c r="F4" s="419"/>
      <c r="G4" s="419"/>
    </row>
    <row r="5" spans="1:58" s="70" customFormat="1" ht="15.75" thickBot="1" x14ac:dyDescent="0.3">
      <c r="A5" s="395" t="s">
        <v>235</v>
      </c>
      <c r="B5" s="395"/>
      <c r="C5" s="395"/>
      <c r="D5" s="395"/>
      <c r="E5" s="395"/>
      <c r="F5" s="395"/>
      <c r="G5" s="395"/>
      <c r="H5" s="78" t="s">
        <v>234</v>
      </c>
      <c r="I5" s="78" t="s">
        <v>234</v>
      </c>
      <c r="J5" s="78" t="s">
        <v>234</v>
      </c>
      <c r="K5" s="78" t="s">
        <v>234</v>
      </c>
      <c r="L5" s="78" t="s">
        <v>234</v>
      </c>
      <c r="M5" s="78" t="s">
        <v>234</v>
      </c>
      <c r="N5" s="78" t="s">
        <v>234</v>
      </c>
      <c r="O5" s="78" t="s">
        <v>234</v>
      </c>
      <c r="P5" s="78" t="s">
        <v>234</v>
      </c>
      <c r="Q5" s="78" t="s">
        <v>234</v>
      </c>
      <c r="R5" s="78" t="s">
        <v>234</v>
      </c>
      <c r="S5" s="78" t="s">
        <v>234</v>
      </c>
      <c r="T5" s="78" t="s">
        <v>234</v>
      </c>
      <c r="U5" s="78" t="s">
        <v>234</v>
      </c>
      <c r="V5" s="78" t="s">
        <v>234</v>
      </c>
      <c r="W5" s="78" t="s">
        <v>234</v>
      </c>
      <c r="X5" s="78" t="s">
        <v>234</v>
      </c>
      <c r="Y5" s="78" t="s">
        <v>234</v>
      </c>
      <c r="Z5" s="78" t="s">
        <v>234</v>
      </c>
      <c r="AA5" s="78" t="s">
        <v>234</v>
      </c>
      <c r="AB5" s="78" t="s">
        <v>234</v>
      </c>
      <c r="AC5" s="78" t="s">
        <v>234</v>
      </c>
      <c r="AD5" s="78" t="s">
        <v>234</v>
      </c>
      <c r="AE5" s="78" t="s">
        <v>234</v>
      </c>
    </row>
    <row r="6" spans="1:58" ht="15" customHeight="1" x14ac:dyDescent="0.25">
      <c r="A6" s="417" t="s">
        <v>83</v>
      </c>
      <c r="B6" s="418"/>
      <c r="C6" s="267" t="s">
        <v>85</v>
      </c>
      <c r="D6" s="267" t="s">
        <v>87</v>
      </c>
      <c r="E6" s="267" t="s">
        <v>89</v>
      </c>
      <c r="F6" s="267" t="s">
        <v>94</v>
      </c>
      <c r="G6" s="268" t="s">
        <v>92</v>
      </c>
      <c r="H6" s="387" t="s">
        <v>241</v>
      </c>
      <c r="I6" s="387">
        <v>44256</v>
      </c>
      <c r="J6" s="387">
        <v>44287</v>
      </c>
      <c r="K6" s="387">
        <v>44317</v>
      </c>
      <c r="L6" s="387">
        <v>44348</v>
      </c>
      <c r="M6" s="387">
        <v>44378</v>
      </c>
      <c r="N6" s="387">
        <v>44409</v>
      </c>
      <c r="O6" s="387">
        <v>44440</v>
      </c>
      <c r="P6" s="387">
        <v>44470</v>
      </c>
      <c r="Q6" s="387">
        <v>44501</v>
      </c>
      <c r="R6" s="387">
        <v>44531</v>
      </c>
      <c r="S6" s="387">
        <v>44562</v>
      </c>
      <c r="T6" s="387" t="s">
        <v>213</v>
      </c>
      <c r="U6" s="387" t="s">
        <v>214</v>
      </c>
      <c r="V6" s="387">
        <v>44621</v>
      </c>
      <c r="W6" s="387">
        <v>44652</v>
      </c>
      <c r="X6" s="387">
        <v>44682</v>
      </c>
      <c r="Y6" s="387">
        <v>44713</v>
      </c>
      <c r="Z6" s="387">
        <v>44743</v>
      </c>
      <c r="AA6" s="387">
        <v>44774</v>
      </c>
      <c r="AB6" s="387">
        <v>44805</v>
      </c>
      <c r="AC6" s="387">
        <v>44927</v>
      </c>
      <c r="AD6" s="387" t="s">
        <v>288</v>
      </c>
      <c r="AE6" s="387" t="s">
        <v>290</v>
      </c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</row>
    <row r="7" spans="1:58" x14ac:dyDescent="0.25">
      <c r="A7" s="415" t="s">
        <v>84</v>
      </c>
      <c r="B7" s="416"/>
      <c r="C7" s="177" t="s">
        <v>86</v>
      </c>
      <c r="D7" s="177" t="s">
        <v>88</v>
      </c>
      <c r="E7" s="177" t="s">
        <v>90</v>
      </c>
      <c r="F7" s="177" t="s">
        <v>91</v>
      </c>
      <c r="G7" s="171" t="s">
        <v>93</v>
      </c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</row>
    <row r="8" spans="1:58" x14ac:dyDescent="0.25">
      <c r="A8" s="237">
        <v>1</v>
      </c>
      <c r="B8" s="269" t="s">
        <v>144</v>
      </c>
      <c r="C8" s="270">
        <f>'Coordenador de Jornalismo'!D137</f>
        <v>16639.644999999997</v>
      </c>
      <c r="D8" s="271">
        <v>1</v>
      </c>
      <c r="E8" s="270">
        <f>C8*D8</f>
        <v>16639.644999999997</v>
      </c>
      <c r="F8" s="271">
        <v>1</v>
      </c>
      <c r="G8" s="272">
        <f>E8*F8*20</f>
        <v>332792.89999999991</v>
      </c>
      <c r="H8" s="273">
        <f>$E$22*0.9</f>
        <v>14975.680499999997</v>
      </c>
      <c r="I8" s="273">
        <f t="shared" ref="I8:N8" si="0">$E$22</f>
        <v>16639.644999999997</v>
      </c>
      <c r="J8" s="273">
        <f t="shared" si="0"/>
        <v>16639.644999999997</v>
      </c>
      <c r="K8" s="273">
        <f t="shared" si="0"/>
        <v>16639.644999999997</v>
      </c>
      <c r="L8" s="273">
        <f t="shared" si="0"/>
        <v>16639.644999999997</v>
      </c>
      <c r="M8" s="273">
        <f t="shared" si="0"/>
        <v>16639.644999999997</v>
      </c>
      <c r="N8" s="273">
        <f t="shared" si="0"/>
        <v>16639.644999999997</v>
      </c>
      <c r="O8" s="273">
        <f>$H$22</f>
        <v>17202.240429768455</v>
      </c>
      <c r="P8" s="273">
        <f>$K$22</f>
        <v>17212.263596752906</v>
      </c>
      <c r="Q8" s="74">
        <f t="shared" ref="Q8:R8" si="1">$K$22</f>
        <v>17212.263596752906</v>
      </c>
      <c r="R8" s="74">
        <f t="shared" si="1"/>
        <v>17212.263596752906</v>
      </c>
      <c r="S8" s="74">
        <f t="shared" ref="S8" si="2">$N$22</f>
        <v>17149.833879416638</v>
      </c>
      <c r="T8" s="74">
        <f>$N$22/10</f>
        <v>1714.9833879416638</v>
      </c>
      <c r="U8" s="74">
        <f>$Q$22*0.9</f>
        <v>15179.049003701581</v>
      </c>
      <c r="V8" s="74">
        <f t="shared" ref="V8:AA8" si="3">$Q$22</f>
        <v>16865.610004112867</v>
      </c>
      <c r="W8" s="74">
        <f t="shared" si="3"/>
        <v>16865.610004112867</v>
      </c>
      <c r="X8" s="74">
        <f t="shared" si="3"/>
        <v>16865.610004112867</v>
      </c>
      <c r="Y8" s="74">
        <f t="shared" si="3"/>
        <v>16865.610004112867</v>
      </c>
      <c r="Z8" s="74">
        <f t="shared" si="3"/>
        <v>16865.610004112867</v>
      </c>
      <c r="AA8" s="74">
        <f t="shared" si="3"/>
        <v>16865.610004112867</v>
      </c>
      <c r="AB8" s="273">
        <f>$T$22</f>
        <v>17876.438292670333</v>
      </c>
      <c r="AC8" s="273">
        <f>$W$22</f>
        <v>18076.021864545422</v>
      </c>
      <c r="AD8" s="273">
        <f>$W$22</f>
        <v>18076.021864545422</v>
      </c>
      <c r="AE8" s="273">
        <f>$W$22</f>
        <v>18076.021864545422</v>
      </c>
    </row>
    <row r="9" spans="1:58" x14ac:dyDescent="0.25">
      <c r="A9" s="237">
        <v>2</v>
      </c>
      <c r="B9" s="269" t="s">
        <v>150</v>
      </c>
      <c r="C9" s="270">
        <f>'Mídias Sociais'!D137</f>
        <v>14394.188</v>
      </c>
      <c r="D9" s="271">
        <v>1</v>
      </c>
      <c r="E9" s="270">
        <f>C9*D9</f>
        <v>14394.188</v>
      </c>
      <c r="F9" s="271">
        <v>1</v>
      </c>
      <c r="G9" s="272">
        <f t="shared" ref="G9:G16" si="4">E9*F9*20</f>
        <v>287883.76</v>
      </c>
      <c r="H9" s="273">
        <f>$E$23*0.9</f>
        <v>12954.769200000001</v>
      </c>
      <c r="I9" s="273">
        <f t="shared" ref="I9:N9" si="5">$E$23</f>
        <v>14394.188</v>
      </c>
      <c r="J9" s="273">
        <f t="shared" si="5"/>
        <v>14394.188</v>
      </c>
      <c r="K9" s="273">
        <f t="shared" si="5"/>
        <v>14394.188</v>
      </c>
      <c r="L9" s="273">
        <f t="shared" si="5"/>
        <v>14394.188</v>
      </c>
      <c r="M9" s="273">
        <f t="shared" si="5"/>
        <v>14394.188</v>
      </c>
      <c r="N9" s="273">
        <f t="shared" si="5"/>
        <v>14394.188</v>
      </c>
      <c r="O9" s="273">
        <f>$H$23</f>
        <v>14879.315098651296</v>
      </c>
      <c r="P9" s="273">
        <f>$K$23</f>
        <v>14889.338322090625</v>
      </c>
      <c r="Q9" s="74">
        <f t="shared" ref="Q9:R9" si="6">$K$23</f>
        <v>14889.338322090625</v>
      </c>
      <c r="R9" s="74">
        <f t="shared" si="6"/>
        <v>14889.338322090625</v>
      </c>
      <c r="S9" s="74">
        <f t="shared" ref="S9" si="7">$N$23</f>
        <v>14836.885286926339</v>
      </c>
      <c r="T9" s="74">
        <f>$N$23/10</f>
        <v>1483.688528692634</v>
      </c>
      <c r="U9" s="74">
        <f>$Q$23*0.9</f>
        <v>13132.618653563954</v>
      </c>
      <c r="V9" s="74">
        <f t="shared" ref="V9:AA9" si="8">$Q$23</f>
        <v>14591.798503959948</v>
      </c>
      <c r="W9" s="74">
        <f t="shared" si="8"/>
        <v>14591.798503959948</v>
      </c>
      <c r="X9" s="74">
        <f t="shared" si="8"/>
        <v>14591.798503959948</v>
      </c>
      <c r="Y9" s="74">
        <f t="shared" si="8"/>
        <v>14591.798503959948</v>
      </c>
      <c r="Z9" s="74">
        <f t="shared" si="8"/>
        <v>14591.798503959948</v>
      </c>
      <c r="AA9" s="74">
        <f t="shared" si="8"/>
        <v>14591.798503959948</v>
      </c>
      <c r="AB9" s="273">
        <f>$T$23</f>
        <v>15466.198096265745</v>
      </c>
      <c r="AC9" s="273">
        <f>$W$23</f>
        <v>15641.059841521685</v>
      </c>
      <c r="AD9" s="273">
        <f>$W$23</f>
        <v>15641.059841521685</v>
      </c>
      <c r="AE9" s="273">
        <f>$W$23</f>
        <v>15641.059841521685</v>
      </c>
    </row>
    <row r="10" spans="1:58" x14ac:dyDescent="0.25">
      <c r="A10" s="237">
        <v>3</v>
      </c>
      <c r="B10" s="269" t="s">
        <v>151</v>
      </c>
      <c r="C10" s="270">
        <f>'Jornalista Produtor'!D137</f>
        <v>12791.0465</v>
      </c>
      <c r="D10" s="271">
        <v>1</v>
      </c>
      <c r="E10" s="270">
        <f>C10*D10</f>
        <v>12791.0465</v>
      </c>
      <c r="F10" s="271">
        <v>3</v>
      </c>
      <c r="G10" s="272">
        <f>E10*F10*20</f>
        <v>767462.79</v>
      </c>
      <c r="H10" s="273">
        <f>$E$24*3*0.9</f>
        <v>34535.825550000009</v>
      </c>
      <c r="I10" s="273">
        <f t="shared" ref="I10:N10" si="9">$E$24*3</f>
        <v>38373.139500000005</v>
      </c>
      <c r="J10" s="273">
        <f t="shared" si="9"/>
        <v>38373.139500000005</v>
      </c>
      <c r="K10" s="273">
        <f t="shared" si="9"/>
        <v>38373.139500000005</v>
      </c>
      <c r="L10" s="273">
        <f t="shared" si="9"/>
        <v>38373.139500000005</v>
      </c>
      <c r="M10" s="273">
        <f t="shared" si="9"/>
        <v>38373.139500000005</v>
      </c>
      <c r="N10" s="273">
        <f t="shared" si="9"/>
        <v>38373.139500000005</v>
      </c>
      <c r="O10" s="273">
        <f>$H$24*3</f>
        <v>39662.595471108638</v>
      </c>
      <c r="P10" s="273">
        <f>$K$24*3</f>
        <v>39692.665298335851</v>
      </c>
      <c r="Q10" s="74">
        <f>$K$24*3</f>
        <v>39692.665298335851</v>
      </c>
      <c r="R10" s="74">
        <f>$K$24*3</f>
        <v>39692.665298335851</v>
      </c>
      <c r="S10" s="74">
        <f>$N$24*3</f>
        <v>39556.674757191708</v>
      </c>
      <c r="T10" s="74">
        <f>$N$24*3/10</f>
        <v>3955.6674757191709</v>
      </c>
      <c r="U10" s="74">
        <f>$Q$24*3*0.9</f>
        <v>35014.716070462113</v>
      </c>
      <c r="V10" s="74">
        <f t="shared" ref="V10:AA10" si="10">$Q$24*3</f>
        <v>38905.240078291237</v>
      </c>
      <c r="W10" s="74">
        <f t="shared" si="10"/>
        <v>38905.240078291237</v>
      </c>
      <c r="X10" s="74">
        <f t="shared" si="10"/>
        <v>38905.240078291237</v>
      </c>
      <c r="Y10" s="74">
        <f t="shared" si="10"/>
        <v>38905.240078291237</v>
      </c>
      <c r="Z10" s="74">
        <f t="shared" si="10"/>
        <v>38905.240078291237</v>
      </c>
      <c r="AA10" s="74">
        <f t="shared" si="10"/>
        <v>38905.240078291237</v>
      </c>
      <c r="AB10" s="273">
        <f>$T$24*3</f>
        <v>41236.229511843063</v>
      </c>
      <c r="AC10" s="273">
        <f>$W$24*3</f>
        <v>41707.864445506864</v>
      </c>
      <c r="AD10" s="273">
        <f>$W$24*4</f>
        <v>55610.485927342488</v>
      </c>
      <c r="AE10" s="273">
        <f>$W$24*4</f>
        <v>55610.485927342488</v>
      </c>
    </row>
    <row r="11" spans="1:58" x14ac:dyDescent="0.25">
      <c r="A11" s="237">
        <v>4</v>
      </c>
      <c r="B11" s="269" t="s">
        <v>187</v>
      </c>
      <c r="C11" s="270">
        <f>'Repórter Fotográfico'!D137</f>
        <v>11036.433999999999</v>
      </c>
      <c r="D11" s="271">
        <v>1</v>
      </c>
      <c r="E11" s="270">
        <f>C11*D11</f>
        <v>11036.433999999999</v>
      </c>
      <c r="F11" s="271">
        <v>1</v>
      </c>
      <c r="G11" s="272">
        <f>E11*F11*20</f>
        <v>220728.68</v>
      </c>
      <c r="H11" s="273">
        <f>$E$25*0.9</f>
        <v>9932.7906000000003</v>
      </c>
      <c r="I11" s="273">
        <f t="shared" ref="I11:N11" si="11">$E$25</f>
        <v>11036.433999999999</v>
      </c>
      <c r="J11" s="273">
        <f t="shared" si="11"/>
        <v>11036.433999999999</v>
      </c>
      <c r="K11" s="273">
        <f t="shared" si="11"/>
        <v>11036.433999999999</v>
      </c>
      <c r="L11" s="273">
        <f t="shared" si="11"/>
        <v>11036.433999999999</v>
      </c>
      <c r="M11" s="273">
        <f t="shared" si="11"/>
        <v>11036.433999999999</v>
      </c>
      <c r="N11" s="273">
        <f t="shared" si="11"/>
        <v>11036.433999999999</v>
      </c>
      <c r="O11" s="273">
        <f>$H$25</f>
        <v>11405.718440188837</v>
      </c>
      <c r="P11" s="273">
        <f>$K$25</f>
        <v>11415.741790716162</v>
      </c>
      <c r="Q11" s="74">
        <f t="shared" ref="Q11:R11" si="12">$K$25</f>
        <v>11415.741790716162</v>
      </c>
      <c r="R11" s="74">
        <f t="shared" si="12"/>
        <v>11415.741790716162</v>
      </c>
      <c r="S11" s="74">
        <f t="shared" ref="S11" si="13">$N$25</f>
        <v>11378.12258646593</v>
      </c>
      <c r="T11" s="74">
        <f>$N$25/10</f>
        <v>1137.8122586465929</v>
      </c>
      <c r="U11" s="74">
        <f>$Q$25*0.9</f>
        <v>10072.404938947131</v>
      </c>
      <c r="V11" s="74">
        <f t="shared" ref="V11:AA11" si="14">$Q$25</f>
        <v>11191.561043274589</v>
      </c>
      <c r="W11" s="74">
        <f t="shared" si="14"/>
        <v>11191.561043274589</v>
      </c>
      <c r="X11" s="74">
        <f t="shared" si="14"/>
        <v>11191.561043274589</v>
      </c>
      <c r="Y11" s="74">
        <f t="shared" si="14"/>
        <v>11191.561043274589</v>
      </c>
      <c r="Z11" s="74">
        <f t="shared" si="14"/>
        <v>11191.561043274589</v>
      </c>
      <c r="AA11" s="74">
        <f t="shared" si="14"/>
        <v>11191.561043274589</v>
      </c>
      <c r="AB11" s="273">
        <f>$T$25</f>
        <v>11861.946382155851</v>
      </c>
      <c r="AC11" s="273">
        <f>$W$25</f>
        <v>11999.839276170082</v>
      </c>
      <c r="AD11" s="273">
        <f>$W$25</f>
        <v>11999.839276170082</v>
      </c>
      <c r="AE11" s="273">
        <f>$W$25</f>
        <v>11999.839276170082</v>
      </c>
    </row>
    <row r="12" spans="1:58" x14ac:dyDescent="0.25">
      <c r="A12" s="237">
        <v>5</v>
      </c>
      <c r="B12" s="274" t="s">
        <v>145</v>
      </c>
      <c r="C12" s="266">
        <f>'Editor de Pós-Produção'!D137</f>
        <v>12618.046942365858</v>
      </c>
      <c r="D12" s="275">
        <v>1</v>
      </c>
      <c r="E12" s="266">
        <f t="shared" ref="E12:E16" si="15">C12*D12</f>
        <v>12618.046942365858</v>
      </c>
      <c r="F12" s="275">
        <v>1</v>
      </c>
      <c r="G12" s="276">
        <f t="shared" si="4"/>
        <v>252360.93884731716</v>
      </c>
      <c r="H12" s="76">
        <f>$H$31*0.9</f>
        <v>11812.004641333129</v>
      </c>
      <c r="I12" s="76">
        <f t="shared" ref="I12:R12" si="16">$H$31</f>
        <v>13124.449601481254</v>
      </c>
      <c r="J12" s="76">
        <f t="shared" si="16"/>
        <v>13124.449601481254</v>
      </c>
      <c r="K12" s="76">
        <f t="shared" si="16"/>
        <v>13124.449601481254</v>
      </c>
      <c r="L12" s="76">
        <f t="shared" si="16"/>
        <v>13124.449601481254</v>
      </c>
      <c r="M12" s="76">
        <f t="shared" si="16"/>
        <v>13124.449601481254</v>
      </c>
      <c r="N12" s="76">
        <f t="shared" si="16"/>
        <v>13124.449601481254</v>
      </c>
      <c r="O12" s="76">
        <f t="shared" si="16"/>
        <v>13124.449601481254</v>
      </c>
      <c r="P12" s="76">
        <f t="shared" si="16"/>
        <v>13124.449601481254</v>
      </c>
      <c r="Q12" s="76">
        <f t="shared" si="16"/>
        <v>13124.449601481254</v>
      </c>
      <c r="R12" s="76">
        <f t="shared" si="16"/>
        <v>13124.449601481254</v>
      </c>
      <c r="S12" s="76">
        <f>$K$31</f>
        <v>14334.938176781812</v>
      </c>
      <c r="T12" s="76">
        <f>$K$31/10</f>
        <v>1433.4938176781811</v>
      </c>
      <c r="U12" s="76">
        <f>$N$31*0.9</f>
        <v>12703.073462268148</v>
      </c>
      <c r="V12" s="76">
        <f t="shared" ref="V12:AA12" si="17">$N$31</f>
        <v>14114.526069186832</v>
      </c>
      <c r="W12" s="76">
        <f t="shared" si="17"/>
        <v>14114.526069186832</v>
      </c>
      <c r="X12" s="76">
        <f t="shared" si="17"/>
        <v>14114.526069186832</v>
      </c>
      <c r="Y12" s="76">
        <f t="shared" si="17"/>
        <v>14114.526069186832</v>
      </c>
      <c r="Z12" s="76">
        <f t="shared" si="17"/>
        <v>14114.526069186832</v>
      </c>
      <c r="AA12" s="76">
        <f t="shared" si="17"/>
        <v>14114.526069186832</v>
      </c>
      <c r="AB12" s="76">
        <f>$N$31</f>
        <v>14114.526069186832</v>
      </c>
      <c r="AC12" s="76">
        <f>$Q$31</f>
        <v>14817.585837447983</v>
      </c>
      <c r="AD12" s="76">
        <f>$Q$31</f>
        <v>14817.585837447983</v>
      </c>
      <c r="AE12" s="76">
        <f>$Q$31</f>
        <v>14817.585837447983</v>
      </c>
    </row>
    <row r="13" spans="1:58" x14ac:dyDescent="0.25">
      <c r="A13" s="237">
        <v>6</v>
      </c>
      <c r="B13" s="274" t="s">
        <v>146</v>
      </c>
      <c r="C13" s="266">
        <f>'Operador de Câmera UPE'!D137</f>
        <v>12358.767812434788</v>
      </c>
      <c r="D13" s="275">
        <v>1</v>
      </c>
      <c r="E13" s="266">
        <f t="shared" si="15"/>
        <v>12358.767812434788</v>
      </c>
      <c r="F13" s="275">
        <v>1</v>
      </c>
      <c r="G13" s="276">
        <f t="shared" si="4"/>
        <v>247175.35624869575</v>
      </c>
      <c r="H13" s="76">
        <f>$H$32*0.9</f>
        <v>11569.136593997295</v>
      </c>
      <c r="I13" s="76">
        <f t="shared" ref="I13:R13" si="18">$H$32</f>
        <v>12854.59621555255</v>
      </c>
      <c r="J13" s="76">
        <f t="shared" si="18"/>
        <v>12854.59621555255</v>
      </c>
      <c r="K13" s="76">
        <f t="shared" si="18"/>
        <v>12854.59621555255</v>
      </c>
      <c r="L13" s="76">
        <f t="shared" si="18"/>
        <v>12854.59621555255</v>
      </c>
      <c r="M13" s="76">
        <f t="shared" si="18"/>
        <v>12854.59621555255</v>
      </c>
      <c r="N13" s="76">
        <f t="shared" si="18"/>
        <v>12854.59621555255</v>
      </c>
      <c r="O13" s="76">
        <f t="shared" si="18"/>
        <v>12854.59621555255</v>
      </c>
      <c r="P13" s="76">
        <f t="shared" si="18"/>
        <v>12854.59621555255</v>
      </c>
      <c r="Q13" s="76">
        <f t="shared" si="18"/>
        <v>12854.59621555255</v>
      </c>
      <c r="R13" s="76">
        <f t="shared" si="18"/>
        <v>12854.59621555255</v>
      </c>
      <c r="S13" s="76">
        <f>$K$32</f>
        <v>14039.566246645372</v>
      </c>
      <c r="T13" s="76">
        <f>$K$32/10</f>
        <v>1403.9566246645372</v>
      </c>
      <c r="U13" s="76">
        <f>$N$32*0.9</f>
        <v>12441.640771867898</v>
      </c>
      <c r="V13" s="76">
        <f t="shared" ref="V13:AA13" si="19">$N$32</f>
        <v>13824.045302075443</v>
      </c>
      <c r="W13" s="76">
        <f t="shared" si="19"/>
        <v>13824.045302075443</v>
      </c>
      <c r="X13" s="76">
        <f t="shared" si="19"/>
        <v>13824.045302075443</v>
      </c>
      <c r="Y13" s="76">
        <f t="shared" si="19"/>
        <v>13824.045302075443</v>
      </c>
      <c r="Z13" s="76">
        <f t="shared" si="19"/>
        <v>13824.045302075443</v>
      </c>
      <c r="AA13" s="76">
        <f t="shared" si="19"/>
        <v>13824.045302075443</v>
      </c>
      <c r="AB13" s="76">
        <f>$N$32</f>
        <v>13824.045302075443</v>
      </c>
      <c r="AC13" s="76">
        <f>$Q$32</f>
        <v>14512.825384818459</v>
      </c>
      <c r="AD13" s="76">
        <f>$Q$32</f>
        <v>14512.825384818459</v>
      </c>
      <c r="AE13" s="76">
        <f>$Q$32</f>
        <v>14512.825384818459</v>
      </c>
    </row>
    <row r="14" spans="1:58" x14ac:dyDescent="0.25">
      <c r="A14" s="237">
        <v>8</v>
      </c>
      <c r="B14" s="274" t="s">
        <v>188</v>
      </c>
      <c r="C14" s="266">
        <f>'Auxiliar de Operador de Câmera '!D137</f>
        <v>7455.8866664521647</v>
      </c>
      <c r="D14" s="275">
        <v>1</v>
      </c>
      <c r="E14" s="266">
        <f t="shared" si="15"/>
        <v>7455.8866664521647</v>
      </c>
      <c r="F14" s="275">
        <v>1</v>
      </c>
      <c r="G14" s="276">
        <f t="shared" si="4"/>
        <v>149117.73332904329</v>
      </c>
      <c r="H14" s="76">
        <f>$H$33*0.9</f>
        <v>6965.0496158858687</v>
      </c>
      <c r="I14" s="76">
        <f t="shared" ref="I14:R14" si="20">$H$33</f>
        <v>7738.9440176509652</v>
      </c>
      <c r="J14" s="76">
        <f t="shared" si="20"/>
        <v>7738.9440176509652</v>
      </c>
      <c r="K14" s="76">
        <f t="shared" si="20"/>
        <v>7738.9440176509652</v>
      </c>
      <c r="L14" s="76">
        <f t="shared" si="20"/>
        <v>7738.9440176509652</v>
      </c>
      <c r="M14" s="76">
        <f t="shared" si="20"/>
        <v>7738.9440176509652</v>
      </c>
      <c r="N14" s="76">
        <f t="shared" si="20"/>
        <v>7738.9440176509652</v>
      </c>
      <c r="O14" s="76">
        <f t="shared" si="20"/>
        <v>7738.9440176509652</v>
      </c>
      <c r="P14" s="76">
        <f t="shared" si="20"/>
        <v>7738.9440176509652</v>
      </c>
      <c r="Q14" s="76">
        <f t="shared" si="20"/>
        <v>7738.9440176509652</v>
      </c>
      <c r="R14" s="76">
        <f t="shared" si="20"/>
        <v>7738.9440176509652</v>
      </c>
      <c r="S14" s="76">
        <f>$K$33</f>
        <v>8408.1848936666629</v>
      </c>
      <c r="T14" s="76">
        <f>$K$33/10</f>
        <v>840.81848936666631</v>
      </c>
      <c r="U14" s="76">
        <f>$N$33*0.9</f>
        <v>7458.9234694861671</v>
      </c>
      <c r="V14" s="76">
        <f t="shared" ref="V14:AA14" si="21">$N$33</f>
        <v>8287.6927438735183</v>
      </c>
      <c r="W14" s="76">
        <f t="shared" si="21"/>
        <v>8287.6927438735183</v>
      </c>
      <c r="X14" s="76">
        <f t="shared" si="21"/>
        <v>8287.6927438735183</v>
      </c>
      <c r="Y14" s="76">
        <f t="shared" si="21"/>
        <v>8287.6927438735183</v>
      </c>
      <c r="Z14" s="76">
        <f t="shared" si="21"/>
        <v>8287.6927438735183</v>
      </c>
      <c r="AA14" s="76">
        <f t="shared" si="21"/>
        <v>8287.6927438735183</v>
      </c>
      <c r="AB14" s="76">
        <f>$N$33</f>
        <v>8287.6927438735183</v>
      </c>
      <c r="AC14" s="76">
        <f>$Q$33</f>
        <v>8700.7415907979012</v>
      </c>
      <c r="AD14" s="76">
        <f>$Q$33</f>
        <v>8700.7415907979012</v>
      </c>
      <c r="AE14" s="76">
        <f>$Q$33</f>
        <v>8700.7415907979012</v>
      </c>
    </row>
    <row r="15" spans="1:58" x14ac:dyDescent="0.25">
      <c r="A15" s="237">
        <v>9</v>
      </c>
      <c r="B15" s="277" t="s">
        <v>148</v>
      </c>
      <c r="C15" s="278">
        <f>Webdesigner!D137</f>
        <v>10620.519999999997</v>
      </c>
      <c r="D15" s="279">
        <v>1</v>
      </c>
      <c r="E15" s="278">
        <f t="shared" si="15"/>
        <v>10620.519999999997</v>
      </c>
      <c r="F15" s="279">
        <v>1</v>
      </c>
      <c r="G15" s="280">
        <f t="shared" si="4"/>
        <v>212410.39999999994</v>
      </c>
      <c r="H15" s="77">
        <f>$H$39*0.9</f>
        <v>9722.7474027137032</v>
      </c>
      <c r="I15" s="77">
        <f>$K$39</f>
        <v>10789.670950075888</v>
      </c>
      <c r="J15" s="77">
        <f>$N$39</f>
        <v>11049.408698100797</v>
      </c>
      <c r="K15" s="77">
        <f>$Q$39</f>
        <v>11050.548900801306</v>
      </c>
      <c r="L15" s="77">
        <f>$T$39</f>
        <v>11046.476748299479</v>
      </c>
      <c r="M15" s="77">
        <f>$W$39</f>
        <v>11043.168907497997</v>
      </c>
      <c r="N15" s="77">
        <f>$Z$39</f>
        <v>11058.505260304877</v>
      </c>
      <c r="O15" s="77">
        <f>$AC$39</f>
        <v>11087.39874851784</v>
      </c>
      <c r="P15" s="77">
        <f>$AF$39</f>
        <v>11120.527275332704</v>
      </c>
      <c r="Q15" s="77">
        <f>$AI$39</f>
        <v>11105.316219525877</v>
      </c>
      <c r="R15" s="77">
        <f>$AL$39</f>
        <v>11092.297861220039</v>
      </c>
      <c r="S15" s="77">
        <f>$AO$39</f>
        <v>11097.540401620867</v>
      </c>
      <c r="T15" s="77">
        <f>$AR$39/10</f>
        <v>1110.9932274926427</v>
      </c>
      <c r="U15" s="77">
        <f>$AU$39*0.9</f>
        <v>9842.5784879376733</v>
      </c>
      <c r="V15" s="77">
        <f>$AX$39</f>
        <v>10978.385819849675</v>
      </c>
      <c r="W15" s="77">
        <f>$BA$39</f>
        <v>11024.620412870418</v>
      </c>
      <c r="X15" s="77">
        <f>$BD$39</f>
        <v>10967.973639145001</v>
      </c>
      <c r="Y15" s="77">
        <f>$BG$39</f>
        <v>10970.504638546137</v>
      </c>
      <c r="Z15" s="77">
        <f>$BJ$39</f>
        <v>10977.483681449268</v>
      </c>
      <c r="AA15" s="77">
        <f>$BM$39</f>
        <v>10959.165260041051</v>
      </c>
      <c r="AB15" s="77">
        <f>$BM$39</f>
        <v>10959.165260041051</v>
      </c>
      <c r="AC15" s="77">
        <f>$BP$39</f>
        <v>10873.858958048946</v>
      </c>
      <c r="AD15" s="77">
        <f>$BP$39</f>
        <v>10873.858958048946</v>
      </c>
      <c r="AE15" s="77">
        <f>$BP$39</f>
        <v>10873.858958048946</v>
      </c>
    </row>
    <row r="16" spans="1:58" x14ac:dyDescent="0.25">
      <c r="A16" s="237">
        <v>10</v>
      </c>
      <c r="B16" s="277" t="s">
        <v>149</v>
      </c>
      <c r="C16" s="278">
        <f>'Designer Gráfico'!D137</f>
        <v>11462.963499999998</v>
      </c>
      <c r="D16" s="279">
        <v>1</v>
      </c>
      <c r="E16" s="278">
        <f t="shared" si="15"/>
        <v>11462.963499999998</v>
      </c>
      <c r="F16" s="279">
        <v>1</v>
      </c>
      <c r="G16" s="280">
        <f t="shared" si="4"/>
        <v>229259.26999999996</v>
      </c>
      <c r="H16" s="77">
        <f>$H$40*0.9</f>
        <v>10480.945408472582</v>
      </c>
      <c r="I16" s="77">
        <f>$K$40</f>
        <v>11632.113271903401</v>
      </c>
      <c r="J16" s="77">
        <f>$N$40</f>
        <v>11912.91214765417</v>
      </c>
      <c r="K16" s="77">
        <f>$Q$40</f>
        <v>11914.052342412926</v>
      </c>
      <c r="L16" s="77">
        <f>$T$40</f>
        <v>11909.980218274512</v>
      </c>
      <c r="M16" s="77">
        <f>$W$40</f>
        <v>11906.672400512844</v>
      </c>
      <c r="N16" s="77">
        <f>$Z$40</f>
        <v>11922.008646498754</v>
      </c>
      <c r="O16" s="77">
        <f>$AC$40</f>
        <v>11950.901933462401</v>
      </c>
      <c r="P16" s="77">
        <f>$AF$40</f>
        <v>11984.030229530001</v>
      </c>
      <c r="Q16" s="77">
        <f>$AI$40</f>
        <v>11968.819279671428</v>
      </c>
      <c r="R16" s="77">
        <f>$AL$40</f>
        <v>11955.801012041233</v>
      </c>
      <c r="S16" s="77">
        <f>$AO$40</f>
        <v>11957.334566923648</v>
      </c>
      <c r="T16" s="77">
        <f>$AR$40/10</f>
        <v>1196.9726353917163</v>
      </c>
      <c r="U16" s="77">
        <f>$AU$40*0.9</f>
        <v>10603.299466837358</v>
      </c>
      <c r="V16" s="77">
        <f>$AX$40</f>
        <v>11823.63105811549</v>
      </c>
      <c r="W16" s="77">
        <f>$BA$40</f>
        <v>11869.86532910242</v>
      </c>
      <c r="X16" s="77">
        <f>$BD$40</f>
        <v>11813.218949933882</v>
      </c>
      <c r="Y16" s="77">
        <f>$BG$40</f>
        <v>11815.749931706065</v>
      </c>
      <c r="Z16" s="77">
        <f>$BJ$40</f>
        <v>11822.728925998672</v>
      </c>
      <c r="AA16" s="77">
        <f>$BM$40</f>
        <v>11804.410632182171</v>
      </c>
      <c r="AB16" s="77">
        <f>$BM$40</f>
        <v>11804.410632182171</v>
      </c>
      <c r="AC16" s="77">
        <f>$BP$40</f>
        <v>11711.960748305222</v>
      </c>
      <c r="AD16" s="77">
        <f>$BP$40*2</f>
        <v>23423.921496610445</v>
      </c>
      <c r="AE16" s="77">
        <f>$BP$40*2</f>
        <v>23423.921496610445</v>
      </c>
    </row>
    <row r="17" spans="1:31" ht="15.75" thickBot="1" x14ac:dyDescent="0.3">
      <c r="A17" s="405" t="s">
        <v>165</v>
      </c>
      <c r="B17" s="406"/>
      <c r="C17" s="406"/>
      <c r="D17" s="406"/>
      <c r="E17" s="406"/>
      <c r="F17" s="281">
        <f>SUM(F8:F16)</f>
        <v>11</v>
      </c>
      <c r="G17" s="282">
        <f>SUM(G8:G16)</f>
        <v>2699191.8284250558</v>
      </c>
      <c r="H17" s="283">
        <f>SUM(H8:H16)</f>
        <v>122948.9495124026</v>
      </c>
      <c r="I17" s="283">
        <f t="shared" ref="I17:T17" si="22">SUM(I8:I16)</f>
        <v>136583.18055666404</v>
      </c>
      <c r="J17" s="283">
        <f t="shared" si="22"/>
        <v>137123.71718043974</v>
      </c>
      <c r="K17" s="283">
        <f t="shared" si="22"/>
        <v>137125.99757789899</v>
      </c>
      <c r="L17" s="283">
        <f t="shared" si="22"/>
        <v>137117.85330125876</v>
      </c>
      <c r="M17" s="283">
        <f t="shared" si="22"/>
        <v>137111.2376426956</v>
      </c>
      <c r="N17" s="283">
        <f t="shared" si="22"/>
        <v>137141.9102414884</v>
      </c>
      <c r="O17" s="283">
        <f t="shared" si="22"/>
        <v>139906.15995638221</v>
      </c>
      <c r="P17" s="283">
        <f t="shared" si="22"/>
        <v>140032.55634744302</v>
      </c>
      <c r="Q17" s="75">
        <f t="shared" si="22"/>
        <v>140002.13434177762</v>
      </c>
      <c r="R17" s="75">
        <f t="shared" si="22"/>
        <v>139976.09771584158</v>
      </c>
      <c r="S17" s="75">
        <f t="shared" si="22"/>
        <v>142759.08079563899</v>
      </c>
      <c r="T17" s="75">
        <f t="shared" si="22"/>
        <v>14278.386445593806</v>
      </c>
      <c r="U17" s="75">
        <f t="shared" ref="U17" si="23">SUM(U8:U16)</f>
        <v>126448.30432507202</v>
      </c>
      <c r="V17" s="75">
        <f t="shared" ref="V17" si="24">SUM(V8:V16)</f>
        <v>140582.4906227396</v>
      </c>
      <c r="W17" s="75">
        <f t="shared" ref="W17" si="25">SUM(W8:W16)</f>
        <v>140674.95948674728</v>
      </c>
      <c r="X17" s="75">
        <f t="shared" ref="X17" si="26">SUM(X8:X16)</f>
        <v>140561.66633385333</v>
      </c>
      <c r="Y17" s="75">
        <f t="shared" ref="Y17" si="27">SUM(Y8:Y16)</f>
        <v>140566.72831502664</v>
      </c>
      <c r="Z17" s="75">
        <f t="shared" ref="Z17:AC17" si="28">SUM(Z8:Z16)</f>
        <v>140580.6863522224</v>
      </c>
      <c r="AA17" s="75">
        <f t="shared" si="28"/>
        <v>140544.04963699766</v>
      </c>
      <c r="AB17" s="283">
        <f t="shared" si="28"/>
        <v>145430.65229029401</v>
      </c>
      <c r="AC17" s="283">
        <f t="shared" si="28"/>
        <v>148041.75794716255</v>
      </c>
      <c r="AD17" s="283">
        <f t="shared" ref="AD17:AE17" si="29">SUM(AD8:AD16)</f>
        <v>173656.34017730344</v>
      </c>
      <c r="AE17" s="283">
        <f t="shared" si="29"/>
        <v>173656.34017730344</v>
      </c>
    </row>
    <row r="18" spans="1:31" s="62" customFormat="1" ht="15.75" thickBot="1" x14ac:dyDescent="0.3">
      <c r="A18" s="59"/>
      <c r="B18" s="59"/>
      <c r="C18" s="59"/>
      <c r="D18" s="59"/>
      <c r="E18" s="59"/>
      <c r="F18" s="59"/>
      <c r="G18" s="61"/>
      <c r="H18" s="60"/>
      <c r="I18" s="59"/>
      <c r="J18" s="61"/>
      <c r="K18" s="60"/>
      <c r="L18" s="59"/>
      <c r="M18" s="61"/>
      <c r="N18" s="60"/>
      <c r="O18" s="59"/>
      <c r="P18" s="61"/>
      <c r="U18" s="125"/>
      <c r="AB18" s="126"/>
    </row>
    <row r="19" spans="1:31" ht="15.75" thickBot="1" x14ac:dyDescent="0.3">
      <c r="G19" s="284"/>
      <c r="H19" s="402" t="s">
        <v>189</v>
      </c>
      <c r="I19" s="403"/>
      <c r="J19" s="404"/>
      <c r="K19" s="402" t="s">
        <v>190</v>
      </c>
      <c r="L19" s="403"/>
      <c r="M19" s="404"/>
      <c r="N19" s="402" t="s">
        <v>211</v>
      </c>
      <c r="O19" s="403"/>
      <c r="P19" s="404"/>
      <c r="Q19" s="420" t="s">
        <v>212</v>
      </c>
      <c r="R19" s="421"/>
      <c r="S19" s="422"/>
      <c r="T19" s="402" t="s">
        <v>268</v>
      </c>
      <c r="U19" s="403"/>
      <c r="V19" s="404"/>
      <c r="W19" s="402" t="s">
        <v>269</v>
      </c>
      <c r="X19" s="403"/>
      <c r="Y19" s="404"/>
      <c r="AA19" s="124"/>
      <c r="AB19" s="124"/>
    </row>
    <row r="20" spans="1:31" x14ac:dyDescent="0.25">
      <c r="A20" s="410" t="s">
        <v>83</v>
      </c>
      <c r="B20" s="411"/>
      <c r="C20" s="267" t="s">
        <v>85</v>
      </c>
      <c r="D20" s="267" t="s">
        <v>87</v>
      </c>
      <c r="E20" s="267" t="s">
        <v>89</v>
      </c>
      <c r="F20" s="267" t="s">
        <v>94</v>
      </c>
      <c r="G20" s="268" t="s">
        <v>92</v>
      </c>
      <c r="H20" s="285" t="s">
        <v>89</v>
      </c>
      <c r="I20" s="286" t="s">
        <v>94</v>
      </c>
      <c r="J20" s="287" t="s">
        <v>92</v>
      </c>
      <c r="K20" s="285" t="s">
        <v>89</v>
      </c>
      <c r="L20" s="286" t="s">
        <v>94</v>
      </c>
      <c r="M20" s="287" t="s">
        <v>92</v>
      </c>
      <c r="N20" s="285" t="s">
        <v>89</v>
      </c>
      <c r="O20" s="286" t="s">
        <v>94</v>
      </c>
      <c r="P20" s="287" t="s">
        <v>92</v>
      </c>
      <c r="Q20" s="55" t="s">
        <v>89</v>
      </c>
      <c r="R20" s="54" t="s">
        <v>94</v>
      </c>
      <c r="S20" s="56" t="s">
        <v>92</v>
      </c>
      <c r="T20" s="380" t="s">
        <v>89</v>
      </c>
      <c r="U20" s="381" t="s">
        <v>94</v>
      </c>
      <c r="V20" s="287" t="s">
        <v>92</v>
      </c>
      <c r="W20" s="380" t="s">
        <v>89</v>
      </c>
      <c r="X20" s="381" t="s">
        <v>94</v>
      </c>
      <c r="Y20" s="287" t="s">
        <v>92</v>
      </c>
    </row>
    <row r="21" spans="1:31" x14ac:dyDescent="0.25">
      <c r="A21" s="412" t="s">
        <v>84</v>
      </c>
      <c r="B21" s="413"/>
      <c r="C21" s="177" t="s">
        <v>86</v>
      </c>
      <c r="D21" s="177" t="s">
        <v>88</v>
      </c>
      <c r="E21" s="177" t="s">
        <v>90</v>
      </c>
      <c r="F21" s="177" t="s">
        <v>91</v>
      </c>
      <c r="G21" s="171" t="s">
        <v>93</v>
      </c>
      <c r="H21" s="176" t="s">
        <v>90</v>
      </c>
      <c r="I21" s="177" t="s">
        <v>91</v>
      </c>
      <c r="J21" s="171" t="s">
        <v>93</v>
      </c>
      <c r="K21" s="176" t="s">
        <v>90</v>
      </c>
      <c r="L21" s="177" t="s">
        <v>91</v>
      </c>
      <c r="M21" s="171" t="s">
        <v>93</v>
      </c>
      <c r="N21" s="176" t="s">
        <v>90</v>
      </c>
      <c r="O21" s="177" t="s">
        <v>91</v>
      </c>
      <c r="P21" s="171" t="s">
        <v>93</v>
      </c>
      <c r="Q21" s="51" t="s">
        <v>90</v>
      </c>
      <c r="R21" s="52" t="s">
        <v>91</v>
      </c>
      <c r="S21" s="53" t="s">
        <v>93</v>
      </c>
      <c r="T21" s="367" t="s">
        <v>90</v>
      </c>
      <c r="U21" s="368" t="s">
        <v>91</v>
      </c>
      <c r="V21" s="378" t="s">
        <v>93</v>
      </c>
      <c r="W21" s="367" t="s">
        <v>90</v>
      </c>
      <c r="X21" s="368" t="s">
        <v>91</v>
      </c>
      <c r="Y21" s="378" t="s">
        <v>93</v>
      </c>
    </row>
    <row r="22" spans="1:31" x14ac:dyDescent="0.25">
      <c r="A22" s="237">
        <v>1</v>
      </c>
      <c r="B22" s="288" t="s">
        <v>144</v>
      </c>
      <c r="C22" s="265">
        <f>'Coordenador de Jornalismo'!D137</f>
        <v>16639.644999999997</v>
      </c>
      <c r="D22" s="228">
        <v>1</v>
      </c>
      <c r="E22" s="265">
        <f>C22*D22</f>
        <v>16639.644999999997</v>
      </c>
      <c r="F22" s="228">
        <v>1</v>
      </c>
      <c r="G22" s="289">
        <f>E22*F22*20</f>
        <v>332792.89999999991</v>
      </c>
      <c r="H22" s="290">
        <f>'Coordenador de Jornalismo'!E137</f>
        <v>17202.240429768455</v>
      </c>
      <c r="I22" s="271">
        <v>1</v>
      </c>
      <c r="J22" s="291">
        <f>H22*I22*20</f>
        <v>344044.8085953691</v>
      </c>
      <c r="K22" s="290">
        <f>'Coordenador de Jornalismo'!F137</f>
        <v>17212.263596752906</v>
      </c>
      <c r="L22" s="271">
        <v>1</v>
      </c>
      <c r="M22" s="291">
        <f>K22*L22*20</f>
        <v>344245.27193505812</v>
      </c>
      <c r="N22" s="290">
        <f>'Coordenador de Jornalismo'!H137</f>
        <v>17149.833879416638</v>
      </c>
      <c r="O22" s="271">
        <v>1</v>
      </c>
      <c r="P22" s="272">
        <f>N22*O22*20</f>
        <v>342996.67758833274</v>
      </c>
      <c r="Q22" s="71">
        <f>'Coordenador de Jornalismo'!J137</f>
        <v>16865.610004112867</v>
      </c>
      <c r="R22" s="57">
        <v>1</v>
      </c>
      <c r="S22" s="58">
        <f>Q22*R22*20</f>
        <v>337312.20008225733</v>
      </c>
      <c r="T22" s="290">
        <f>'Coordenador de Jornalismo'!L137</f>
        <v>17876.438292670333</v>
      </c>
      <c r="U22" s="271">
        <v>1</v>
      </c>
      <c r="V22" s="272">
        <f>T22*U22*20</f>
        <v>357528.76585340663</v>
      </c>
      <c r="W22" s="290">
        <f>'Coordenador de Jornalismo'!N137</f>
        <v>18076.021864545422</v>
      </c>
      <c r="X22" s="271">
        <v>1</v>
      </c>
      <c r="Y22" s="272">
        <f>W22*X22*20</f>
        <v>361520.43729090842</v>
      </c>
    </row>
    <row r="23" spans="1:31" x14ac:dyDescent="0.25">
      <c r="A23" s="237">
        <v>2</v>
      </c>
      <c r="B23" s="288" t="s">
        <v>150</v>
      </c>
      <c r="C23" s="265">
        <f>'Mídias Sociais'!D137</f>
        <v>14394.188</v>
      </c>
      <c r="D23" s="228">
        <v>1</v>
      </c>
      <c r="E23" s="265">
        <f>C23*D23</f>
        <v>14394.188</v>
      </c>
      <c r="F23" s="228">
        <v>1</v>
      </c>
      <c r="G23" s="289">
        <f t="shared" ref="G23" si="30">E23*F23*20</f>
        <v>287883.76</v>
      </c>
      <c r="H23" s="290">
        <f>'Mídias Sociais'!E137</f>
        <v>14879.315098651296</v>
      </c>
      <c r="I23" s="271">
        <v>1</v>
      </c>
      <c r="J23" s="291">
        <f t="shared" ref="J23" si="31">H23*I23*20</f>
        <v>297586.3019730259</v>
      </c>
      <c r="K23" s="290">
        <f>'Mídias Sociais'!F137</f>
        <v>14889.338322090625</v>
      </c>
      <c r="L23" s="271">
        <v>1</v>
      </c>
      <c r="M23" s="291">
        <f t="shared" ref="M23" si="32">K23*L23*20</f>
        <v>297786.76644181251</v>
      </c>
      <c r="N23" s="290">
        <f>'Mídias Sociais'!H137</f>
        <v>14836.885286926339</v>
      </c>
      <c r="O23" s="271">
        <v>1</v>
      </c>
      <c r="P23" s="272">
        <f t="shared" ref="P23" si="33">N23*O23*20</f>
        <v>296737.70573852677</v>
      </c>
      <c r="Q23" s="71">
        <f>'Mídias Sociais'!J137</f>
        <v>14591.798503959948</v>
      </c>
      <c r="R23" s="57">
        <v>1</v>
      </c>
      <c r="S23" s="58">
        <f t="shared" ref="S23" si="34">Q23*R23*20</f>
        <v>291835.97007919895</v>
      </c>
      <c r="T23" s="290">
        <f>'Mídias Sociais'!L137</f>
        <v>15466.198096265745</v>
      </c>
      <c r="U23" s="271">
        <v>1</v>
      </c>
      <c r="V23" s="272">
        <f t="shared" ref="V23" si="35">T23*U23*20</f>
        <v>309323.96192531491</v>
      </c>
      <c r="W23" s="290">
        <f>'Mídias Sociais'!N137</f>
        <v>15641.059841521685</v>
      </c>
      <c r="X23" s="271">
        <v>1</v>
      </c>
      <c r="Y23" s="272">
        <f t="shared" ref="Y23" si="36">W23*X23*20</f>
        <v>312821.19683043368</v>
      </c>
    </row>
    <row r="24" spans="1:31" x14ac:dyDescent="0.25">
      <c r="A24" s="237">
        <v>3</v>
      </c>
      <c r="B24" s="288" t="s">
        <v>151</v>
      </c>
      <c r="C24" s="265">
        <f>'Jornalista Produtor'!D137</f>
        <v>12791.0465</v>
      </c>
      <c r="D24" s="228">
        <v>1</v>
      </c>
      <c r="E24" s="265">
        <f>C24*D24</f>
        <v>12791.0465</v>
      </c>
      <c r="F24" s="228">
        <v>3</v>
      </c>
      <c r="G24" s="289">
        <f>E24*F24*20</f>
        <v>767462.79</v>
      </c>
      <c r="H24" s="290">
        <f>'Jornalista Produtor'!E137</f>
        <v>13220.865157036213</v>
      </c>
      <c r="I24" s="271">
        <v>3</v>
      </c>
      <c r="J24" s="291">
        <f>H24*I24*20</f>
        <v>793251.9094221727</v>
      </c>
      <c r="K24" s="290">
        <f>'Jornalista Produtor'!F137</f>
        <v>13230.888432778618</v>
      </c>
      <c r="L24" s="271">
        <v>3</v>
      </c>
      <c r="M24" s="291">
        <f>K24*L24*20</f>
        <v>793853.30596671696</v>
      </c>
      <c r="N24" s="290">
        <f>'Jornalista Produtor'!H137</f>
        <v>13185.558252397235</v>
      </c>
      <c r="O24" s="271">
        <v>3</v>
      </c>
      <c r="P24" s="272">
        <f>N24*O24*20</f>
        <v>791133.49514383415</v>
      </c>
      <c r="Q24" s="71">
        <f>'Jornalista Produtor'!J137</f>
        <v>12968.413359430413</v>
      </c>
      <c r="R24" s="57">
        <v>3</v>
      </c>
      <c r="S24" s="58">
        <f>Q24*R24*20</f>
        <v>778104.80156582478</v>
      </c>
      <c r="T24" s="290">
        <f>'Jornalista Produtor'!L137</f>
        <v>13745.409837281022</v>
      </c>
      <c r="U24" s="271">
        <v>3</v>
      </c>
      <c r="V24" s="272">
        <f>T24*U24*20</f>
        <v>824724.59023686126</v>
      </c>
      <c r="W24" s="290">
        <f>'Jornalista Produtor'!N137</f>
        <v>13902.621481835622</v>
      </c>
      <c r="X24" s="271">
        <v>3</v>
      </c>
      <c r="Y24" s="272">
        <f>W24*X24*20</f>
        <v>834157.28891013726</v>
      </c>
    </row>
    <row r="25" spans="1:31" x14ac:dyDescent="0.25">
      <c r="A25" s="237">
        <v>4</v>
      </c>
      <c r="B25" s="288" t="s">
        <v>187</v>
      </c>
      <c r="C25" s="265">
        <f>'Repórter Fotográfico'!D137</f>
        <v>11036.433999999999</v>
      </c>
      <c r="D25" s="228">
        <v>1</v>
      </c>
      <c r="E25" s="265">
        <f t="shared" ref="E25" si="37">C25*D25</f>
        <v>11036.433999999999</v>
      </c>
      <c r="F25" s="228">
        <v>1</v>
      </c>
      <c r="G25" s="289">
        <f>E25*F25*20</f>
        <v>220728.68</v>
      </c>
      <c r="H25" s="290">
        <f>'Repórter Fotográfico'!E137</f>
        <v>11405.718440188837</v>
      </c>
      <c r="I25" s="271">
        <v>1</v>
      </c>
      <c r="J25" s="291">
        <f>H25*I25*20</f>
        <v>228114.36880377674</v>
      </c>
      <c r="K25" s="290">
        <f>'Repórter Fotográfico'!F137</f>
        <v>11415.741790716162</v>
      </c>
      <c r="L25" s="271">
        <v>1</v>
      </c>
      <c r="M25" s="291">
        <f>K25*L25*20</f>
        <v>228314.83581432322</v>
      </c>
      <c r="N25" s="290">
        <f>'Repórter Fotográfico'!H137</f>
        <v>11378.12258646593</v>
      </c>
      <c r="O25" s="271">
        <v>1</v>
      </c>
      <c r="P25" s="272">
        <f>N25*O25*20</f>
        <v>227562.45172931859</v>
      </c>
      <c r="Q25" s="71">
        <f>'Repórter Fotográfico'!J137</f>
        <v>11191.561043274589</v>
      </c>
      <c r="R25" s="57">
        <v>1</v>
      </c>
      <c r="S25" s="58">
        <f>Q25*R25*20</f>
        <v>223831.22086549178</v>
      </c>
      <c r="T25" s="290">
        <f>'Repórter Fotográfico'!L137</f>
        <v>11861.946382155851</v>
      </c>
      <c r="U25" s="271">
        <v>1</v>
      </c>
      <c r="V25" s="272">
        <f>T25*U25*20</f>
        <v>237238.92764311703</v>
      </c>
      <c r="W25" s="290">
        <f>'Repórter Fotográfico'!N137</f>
        <v>11999.839276170082</v>
      </c>
      <c r="X25" s="271">
        <v>1</v>
      </c>
      <c r="Y25" s="272">
        <f>W25*X25*20</f>
        <v>239996.78552340163</v>
      </c>
    </row>
    <row r="26" spans="1:31" ht="15.75" thickBot="1" x14ac:dyDescent="0.3">
      <c r="A26" s="405" t="s">
        <v>165</v>
      </c>
      <c r="B26" s="406"/>
      <c r="C26" s="406"/>
      <c r="D26" s="406"/>
      <c r="E26" s="406"/>
      <c r="F26" s="281">
        <f>SUM(F22:F25)</f>
        <v>6</v>
      </c>
      <c r="G26" s="282">
        <f>SUM(G22:G25)</f>
        <v>1608868.13</v>
      </c>
      <c r="H26" s="292"/>
      <c r="I26" s="293">
        <f>SUM(I22:I25)</f>
        <v>6</v>
      </c>
      <c r="J26" s="294">
        <f>SUM(J22:J25)</f>
        <v>1662997.3887943444</v>
      </c>
      <c r="K26" s="295"/>
      <c r="L26" s="293">
        <f>SUM(L22:L25)</f>
        <v>6</v>
      </c>
      <c r="M26" s="294">
        <f>SUM(M22:M25)</f>
        <v>1664200.1801579108</v>
      </c>
      <c r="N26" s="295"/>
      <c r="O26" s="293">
        <f>SUM(O22:O25)</f>
        <v>6</v>
      </c>
      <c r="P26" s="296">
        <f>SUM(P22:P25)</f>
        <v>1658430.3302000123</v>
      </c>
      <c r="Q26" s="65"/>
      <c r="R26" s="63">
        <f>SUM(R22:R25)</f>
        <v>6</v>
      </c>
      <c r="S26" s="64">
        <f>SUM(S22:S25)</f>
        <v>1631084.1925927729</v>
      </c>
      <c r="T26" s="295"/>
      <c r="U26" s="293">
        <f>SUM(U22:U25)</f>
        <v>6</v>
      </c>
      <c r="V26" s="296">
        <f>SUM(V22:V25)</f>
        <v>1728816.2456586999</v>
      </c>
      <c r="W26" s="295"/>
      <c r="X26" s="293">
        <f>SUM(X22:X25)</f>
        <v>6</v>
      </c>
      <c r="Y26" s="296">
        <f>SUM(Y22:Y25)</f>
        <v>1748495.7085548809</v>
      </c>
    </row>
    <row r="27" spans="1:31" ht="15.75" thickBot="1" x14ac:dyDescent="0.3">
      <c r="A27" s="59"/>
      <c r="B27" s="59"/>
      <c r="C27" s="59"/>
      <c r="D27" s="59"/>
      <c r="E27" s="59"/>
      <c r="F27" s="59"/>
      <c r="G27" s="61"/>
      <c r="H27" s="60"/>
      <c r="I27" s="59"/>
      <c r="J27" s="61"/>
      <c r="K27" s="60"/>
      <c r="L27" s="59"/>
      <c r="M27" s="61"/>
      <c r="N27" s="60"/>
      <c r="O27" s="59"/>
      <c r="P27" s="61"/>
    </row>
    <row r="28" spans="1:31" ht="15.75" thickBot="1" x14ac:dyDescent="0.3">
      <c r="H28" s="399" t="s">
        <v>191</v>
      </c>
      <c r="I28" s="400"/>
      <c r="J28" s="401"/>
      <c r="K28" s="399" t="s">
        <v>216</v>
      </c>
      <c r="L28" s="400"/>
      <c r="M28" s="401"/>
      <c r="N28" s="399" t="s">
        <v>217</v>
      </c>
      <c r="O28" s="400"/>
      <c r="P28" s="401"/>
      <c r="Q28" s="399" t="s">
        <v>283</v>
      </c>
      <c r="R28" s="400"/>
      <c r="S28" s="401"/>
    </row>
    <row r="29" spans="1:31" x14ac:dyDescent="0.25">
      <c r="A29" s="410" t="s">
        <v>83</v>
      </c>
      <c r="B29" s="411"/>
      <c r="C29" s="267" t="s">
        <v>85</v>
      </c>
      <c r="D29" s="267" t="s">
        <v>87</v>
      </c>
      <c r="E29" s="267" t="s">
        <v>89</v>
      </c>
      <c r="F29" s="267" t="s">
        <v>94</v>
      </c>
      <c r="G29" s="268" t="s">
        <v>92</v>
      </c>
      <c r="H29" s="176" t="s">
        <v>89</v>
      </c>
      <c r="I29" s="177" t="s">
        <v>94</v>
      </c>
      <c r="J29" s="171" t="s">
        <v>92</v>
      </c>
      <c r="K29" s="176" t="s">
        <v>89</v>
      </c>
      <c r="L29" s="177" t="s">
        <v>94</v>
      </c>
      <c r="M29" s="171" t="s">
        <v>92</v>
      </c>
      <c r="N29" s="176" t="s">
        <v>89</v>
      </c>
      <c r="O29" s="177" t="s">
        <v>94</v>
      </c>
      <c r="P29" s="171" t="s">
        <v>92</v>
      </c>
      <c r="Q29" s="367" t="s">
        <v>89</v>
      </c>
      <c r="R29" s="368" t="s">
        <v>94</v>
      </c>
      <c r="S29" s="378" t="s">
        <v>92</v>
      </c>
    </row>
    <row r="30" spans="1:31" x14ac:dyDescent="0.25">
      <c r="A30" s="412" t="s">
        <v>84</v>
      </c>
      <c r="B30" s="413"/>
      <c r="C30" s="177" t="s">
        <v>86</v>
      </c>
      <c r="D30" s="177" t="s">
        <v>88</v>
      </c>
      <c r="E30" s="177" t="s">
        <v>90</v>
      </c>
      <c r="F30" s="177" t="s">
        <v>91</v>
      </c>
      <c r="G30" s="171" t="s">
        <v>93</v>
      </c>
      <c r="H30" s="176" t="s">
        <v>90</v>
      </c>
      <c r="I30" s="177" t="s">
        <v>91</v>
      </c>
      <c r="J30" s="171" t="s">
        <v>93</v>
      </c>
      <c r="K30" s="176" t="s">
        <v>90</v>
      </c>
      <c r="L30" s="177" t="s">
        <v>91</v>
      </c>
      <c r="M30" s="171" t="s">
        <v>93</v>
      </c>
      <c r="N30" s="176" t="s">
        <v>90</v>
      </c>
      <c r="O30" s="177" t="s">
        <v>91</v>
      </c>
      <c r="P30" s="171" t="s">
        <v>93</v>
      </c>
      <c r="Q30" s="367" t="s">
        <v>90</v>
      </c>
      <c r="R30" s="368" t="s">
        <v>91</v>
      </c>
      <c r="S30" s="378" t="s">
        <v>93</v>
      </c>
    </row>
    <row r="31" spans="1:31" x14ac:dyDescent="0.25">
      <c r="A31" s="237">
        <v>5</v>
      </c>
      <c r="B31" s="288" t="s">
        <v>145</v>
      </c>
      <c r="C31" s="265">
        <f>'Editor de Pós-Produção'!D137</f>
        <v>12618.046942365858</v>
      </c>
      <c r="D31" s="228">
        <v>1</v>
      </c>
      <c r="E31" s="265">
        <f t="shared" ref="E31:E33" si="38">C31*D31</f>
        <v>12618.046942365858</v>
      </c>
      <c r="F31" s="228">
        <v>1</v>
      </c>
      <c r="G31" s="289">
        <f t="shared" ref="G31:G33" si="39">E31*F31*20</f>
        <v>252360.93884731716</v>
      </c>
      <c r="H31" s="297">
        <f>'Editor de Pós-Produção'!E137</f>
        <v>13124.449601481254</v>
      </c>
      <c r="I31" s="275">
        <v>1</v>
      </c>
      <c r="J31" s="298">
        <f t="shared" ref="J31:J33" si="40">H31*I31*20</f>
        <v>262488.99202962511</v>
      </c>
      <c r="K31" s="297">
        <f>'Editor de Pós-Produção'!G137</f>
        <v>14334.938176781812</v>
      </c>
      <c r="L31" s="275">
        <v>1</v>
      </c>
      <c r="M31" s="276">
        <f t="shared" ref="M31:M33" si="41">K31*L31*20</f>
        <v>286698.76353563624</v>
      </c>
      <c r="N31" s="297">
        <f>'Editor de Pós-Produção'!I137</f>
        <v>14114.526069186832</v>
      </c>
      <c r="O31" s="275">
        <v>1</v>
      </c>
      <c r="P31" s="276">
        <f t="shared" ref="P31:P33" si="42">N31*O31*20</f>
        <v>282290.52138373663</v>
      </c>
      <c r="Q31" s="297">
        <f>'Editor de Pós-Produção'!K137</f>
        <v>14817.585837447983</v>
      </c>
      <c r="R31" s="275">
        <v>1</v>
      </c>
      <c r="S31" s="276">
        <f t="shared" ref="S31:S33" si="43">Q31*R31*20</f>
        <v>296351.71674895968</v>
      </c>
    </row>
    <row r="32" spans="1:31" x14ac:dyDescent="0.25">
      <c r="A32" s="237">
        <v>6</v>
      </c>
      <c r="B32" s="288" t="s">
        <v>146</v>
      </c>
      <c r="C32" s="265">
        <f>'Operador de Câmera UPE'!D137</f>
        <v>12358.767812434788</v>
      </c>
      <c r="D32" s="228">
        <v>1</v>
      </c>
      <c r="E32" s="265">
        <f t="shared" si="38"/>
        <v>12358.767812434788</v>
      </c>
      <c r="F32" s="228">
        <v>1</v>
      </c>
      <c r="G32" s="289">
        <f t="shared" si="39"/>
        <v>247175.35624869575</v>
      </c>
      <c r="H32" s="297">
        <f>'Operador de Câmera UPE'!E137</f>
        <v>12854.59621555255</v>
      </c>
      <c r="I32" s="275">
        <v>1</v>
      </c>
      <c r="J32" s="298">
        <f t="shared" si="40"/>
        <v>257091.924311051</v>
      </c>
      <c r="K32" s="297">
        <f>'Operador de Câmera UPE'!G137</f>
        <v>14039.566246645372</v>
      </c>
      <c r="L32" s="275">
        <v>1</v>
      </c>
      <c r="M32" s="276">
        <f t="shared" si="41"/>
        <v>280791.32493290748</v>
      </c>
      <c r="N32" s="297">
        <f>'Operador de Câmera UPE'!I137</f>
        <v>13824.045302075443</v>
      </c>
      <c r="O32" s="275">
        <v>1</v>
      </c>
      <c r="P32" s="276">
        <f t="shared" si="42"/>
        <v>276480.90604150889</v>
      </c>
      <c r="Q32" s="297">
        <f>'Operador de Câmera UPE'!K137</f>
        <v>14512.825384818459</v>
      </c>
      <c r="R32" s="275">
        <v>1</v>
      </c>
      <c r="S32" s="276">
        <f t="shared" si="43"/>
        <v>290256.5076963692</v>
      </c>
    </row>
    <row r="33" spans="1:70" x14ac:dyDescent="0.25">
      <c r="A33" s="237">
        <v>8</v>
      </c>
      <c r="B33" s="288" t="s">
        <v>188</v>
      </c>
      <c r="C33" s="265">
        <f>'Auxiliar de Operador de Câmera '!D137</f>
        <v>7455.8866664521647</v>
      </c>
      <c r="D33" s="228">
        <v>1</v>
      </c>
      <c r="E33" s="265">
        <f t="shared" si="38"/>
        <v>7455.8866664521647</v>
      </c>
      <c r="F33" s="228">
        <v>1</v>
      </c>
      <c r="G33" s="289">
        <f t="shared" si="39"/>
        <v>149117.73332904329</v>
      </c>
      <c r="H33" s="297">
        <f>'Auxiliar de Operador de Câmera '!E137</f>
        <v>7738.9440176509652</v>
      </c>
      <c r="I33" s="275">
        <v>1</v>
      </c>
      <c r="J33" s="298">
        <f t="shared" si="40"/>
        <v>154778.88035301931</v>
      </c>
      <c r="K33" s="297">
        <f>'Auxiliar de Operador de Câmera '!G137</f>
        <v>8408.1848936666629</v>
      </c>
      <c r="L33" s="275">
        <v>1</v>
      </c>
      <c r="M33" s="276">
        <f t="shared" si="41"/>
        <v>168163.69787333327</v>
      </c>
      <c r="N33" s="297">
        <f>'Auxiliar de Operador de Câmera '!I137</f>
        <v>8287.6927438735183</v>
      </c>
      <c r="O33" s="275">
        <v>1</v>
      </c>
      <c r="P33" s="276">
        <f t="shared" si="42"/>
        <v>165753.85487747035</v>
      </c>
      <c r="Q33" s="297">
        <f>'Auxiliar de Operador de Câmera '!K137</f>
        <v>8700.7415907979012</v>
      </c>
      <c r="R33" s="275">
        <v>1</v>
      </c>
      <c r="S33" s="276">
        <f t="shared" si="43"/>
        <v>174014.83181595802</v>
      </c>
    </row>
    <row r="34" spans="1:70" ht="15.75" thickBot="1" x14ac:dyDescent="0.3">
      <c r="A34" s="407" t="s">
        <v>165</v>
      </c>
      <c r="B34" s="408"/>
      <c r="C34" s="408"/>
      <c r="D34" s="408"/>
      <c r="E34" s="409"/>
      <c r="F34" s="281">
        <f>SUM(F31:F33)</f>
        <v>3</v>
      </c>
      <c r="G34" s="282">
        <f>SUM(G31:G33)</f>
        <v>648654.02842505614</v>
      </c>
      <c r="H34" s="299"/>
      <c r="I34" s="300">
        <f>SUM(I31:I33)</f>
        <v>3</v>
      </c>
      <c r="J34" s="301">
        <f>SUM(J31:J33)</f>
        <v>674359.79669369548</v>
      </c>
      <c r="K34" s="299"/>
      <c r="L34" s="300">
        <f>SUM(L31:L33)</f>
        <v>3</v>
      </c>
      <c r="M34" s="302">
        <f>SUM(M31:M33)</f>
        <v>735653.78634187696</v>
      </c>
      <c r="N34" s="299"/>
      <c r="O34" s="300">
        <f>SUM(O31:O33)</f>
        <v>3</v>
      </c>
      <c r="P34" s="302">
        <f>SUM(P31:P33)</f>
        <v>724525.28230271582</v>
      </c>
      <c r="Q34" s="299"/>
      <c r="R34" s="300">
        <f>SUM(R31:R33)</f>
        <v>3</v>
      </c>
      <c r="S34" s="302">
        <f>SUM(S31:S33)</f>
        <v>760623.05626128684</v>
      </c>
    </row>
    <row r="35" spans="1:70" ht="15.75" thickBot="1" x14ac:dyDescent="0.3"/>
    <row r="36" spans="1:70" ht="15.75" thickBot="1" x14ac:dyDescent="0.3">
      <c r="H36" s="399" t="s">
        <v>192</v>
      </c>
      <c r="I36" s="400"/>
      <c r="J36" s="401"/>
      <c r="K36" s="399" t="s">
        <v>193</v>
      </c>
      <c r="L36" s="400"/>
      <c r="M36" s="401"/>
      <c r="N36" s="399" t="s">
        <v>194</v>
      </c>
      <c r="O36" s="400"/>
      <c r="P36" s="401"/>
      <c r="Q36" s="396" t="s">
        <v>195</v>
      </c>
      <c r="R36" s="397"/>
      <c r="S36" s="398"/>
      <c r="T36" s="396" t="s">
        <v>196</v>
      </c>
      <c r="U36" s="397"/>
      <c r="V36" s="398"/>
      <c r="W36" s="396" t="s">
        <v>197</v>
      </c>
      <c r="X36" s="397"/>
      <c r="Y36" s="398"/>
      <c r="Z36" s="396" t="s">
        <v>198</v>
      </c>
      <c r="AA36" s="397"/>
      <c r="AB36" s="398"/>
      <c r="AC36" s="396" t="s">
        <v>199</v>
      </c>
      <c r="AD36" s="397"/>
      <c r="AE36" s="398"/>
      <c r="AF36" s="396" t="s">
        <v>200</v>
      </c>
      <c r="AG36" s="397"/>
      <c r="AH36" s="398"/>
      <c r="AI36" s="396" t="s">
        <v>201</v>
      </c>
      <c r="AJ36" s="397"/>
      <c r="AK36" s="398"/>
      <c r="AL36" s="396" t="s">
        <v>202</v>
      </c>
      <c r="AM36" s="397"/>
      <c r="AN36" s="398"/>
      <c r="AO36" s="396" t="s">
        <v>203</v>
      </c>
      <c r="AP36" s="397"/>
      <c r="AQ36" s="398"/>
      <c r="AR36" s="396" t="s">
        <v>218</v>
      </c>
      <c r="AS36" s="397"/>
      <c r="AT36" s="398"/>
      <c r="AU36" s="396" t="s">
        <v>219</v>
      </c>
      <c r="AV36" s="397"/>
      <c r="AW36" s="398"/>
      <c r="AX36" s="392" t="s">
        <v>204</v>
      </c>
      <c r="AY36" s="393"/>
      <c r="AZ36" s="394"/>
      <c r="BA36" s="392" t="s">
        <v>205</v>
      </c>
      <c r="BB36" s="393"/>
      <c r="BC36" s="394"/>
      <c r="BD36" s="392" t="s">
        <v>206</v>
      </c>
      <c r="BE36" s="393"/>
      <c r="BF36" s="394"/>
      <c r="BG36" s="392" t="s">
        <v>207</v>
      </c>
      <c r="BH36" s="393"/>
      <c r="BI36" s="394"/>
      <c r="BJ36" s="392" t="s">
        <v>208</v>
      </c>
      <c r="BK36" s="393"/>
      <c r="BL36" s="394"/>
      <c r="BM36" s="392" t="s">
        <v>233</v>
      </c>
      <c r="BN36" s="393"/>
      <c r="BO36" s="394"/>
      <c r="BP36" s="389" t="s">
        <v>286</v>
      </c>
      <c r="BQ36" s="390"/>
      <c r="BR36" s="391"/>
    </row>
    <row r="37" spans="1:70" ht="15" customHeight="1" x14ac:dyDescent="0.25">
      <c r="A37" s="410" t="s">
        <v>83</v>
      </c>
      <c r="B37" s="411"/>
      <c r="C37" s="267" t="s">
        <v>85</v>
      </c>
      <c r="D37" s="267" t="s">
        <v>87</v>
      </c>
      <c r="E37" s="267" t="s">
        <v>89</v>
      </c>
      <c r="F37" s="267" t="s">
        <v>94</v>
      </c>
      <c r="G37" s="268" t="s">
        <v>92</v>
      </c>
      <c r="H37" s="176" t="s">
        <v>89</v>
      </c>
      <c r="I37" s="177" t="s">
        <v>94</v>
      </c>
      <c r="J37" s="171" t="s">
        <v>92</v>
      </c>
      <c r="K37" s="176" t="s">
        <v>89</v>
      </c>
      <c r="L37" s="177" t="s">
        <v>94</v>
      </c>
      <c r="M37" s="171" t="s">
        <v>92</v>
      </c>
      <c r="N37" s="176" t="s">
        <v>89</v>
      </c>
      <c r="O37" s="177" t="s">
        <v>94</v>
      </c>
      <c r="P37" s="171" t="s">
        <v>92</v>
      </c>
      <c r="Q37" s="51" t="s">
        <v>89</v>
      </c>
      <c r="R37" s="52" t="s">
        <v>94</v>
      </c>
      <c r="S37" s="53" t="s">
        <v>92</v>
      </c>
      <c r="T37" s="51" t="s">
        <v>89</v>
      </c>
      <c r="U37" s="52" t="s">
        <v>94</v>
      </c>
      <c r="V37" s="53" t="s">
        <v>92</v>
      </c>
      <c r="W37" s="51" t="s">
        <v>89</v>
      </c>
      <c r="X37" s="52" t="s">
        <v>94</v>
      </c>
      <c r="Y37" s="53" t="s">
        <v>92</v>
      </c>
      <c r="Z37" s="51" t="s">
        <v>89</v>
      </c>
      <c r="AA37" s="52" t="s">
        <v>94</v>
      </c>
      <c r="AB37" s="53" t="s">
        <v>92</v>
      </c>
      <c r="AC37" s="51" t="s">
        <v>89</v>
      </c>
      <c r="AD37" s="52" t="s">
        <v>94</v>
      </c>
      <c r="AE37" s="53" t="s">
        <v>92</v>
      </c>
      <c r="AF37" s="51" t="s">
        <v>89</v>
      </c>
      <c r="AG37" s="52" t="s">
        <v>94</v>
      </c>
      <c r="AH37" s="53" t="s">
        <v>92</v>
      </c>
      <c r="AI37" s="51" t="s">
        <v>89</v>
      </c>
      <c r="AJ37" s="52" t="s">
        <v>94</v>
      </c>
      <c r="AK37" s="53" t="s">
        <v>92</v>
      </c>
      <c r="AL37" s="51" t="s">
        <v>89</v>
      </c>
      <c r="AM37" s="52" t="s">
        <v>94</v>
      </c>
      <c r="AN37" s="53" t="s">
        <v>92</v>
      </c>
      <c r="AO37" s="51" t="s">
        <v>89</v>
      </c>
      <c r="AP37" s="52" t="s">
        <v>94</v>
      </c>
      <c r="AQ37" s="53" t="s">
        <v>92</v>
      </c>
      <c r="AR37" s="51" t="s">
        <v>89</v>
      </c>
      <c r="AS37" s="52" t="s">
        <v>94</v>
      </c>
      <c r="AT37" s="53" t="s">
        <v>92</v>
      </c>
      <c r="AU37" s="51" t="s">
        <v>89</v>
      </c>
      <c r="AV37" s="52" t="s">
        <v>94</v>
      </c>
      <c r="AW37" s="53" t="s">
        <v>92</v>
      </c>
      <c r="AX37" s="51" t="s">
        <v>89</v>
      </c>
      <c r="AY37" s="52" t="s">
        <v>94</v>
      </c>
      <c r="AZ37" s="53" t="s">
        <v>92</v>
      </c>
      <c r="BA37" s="51" t="s">
        <v>89</v>
      </c>
      <c r="BB37" s="52" t="s">
        <v>94</v>
      </c>
      <c r="BC37" s="53" t="s">
        <v>92</v>
      </c>
      <c r="BD37" s="51" t="s">
        <v>89</v>
      </c>
      <c r="BE37" s="52" t="s">
        <v>94</v>
      </c>
      <c r="BF37" s="53" t="s">
        <v>92</v>
      </c>
      <c r="BG37" s="51" t="s">
        <v>89</v>
      </c>
      <c r="BH37" s="52" t="s">
        <v>94</v>
      </c>
      <c r="BI37" s="53" t="s">
        <v>92</v>
      </c>
      <c r="BJ37" s="51" t="s">
        <v>89</v>
      </c>
      <c r="BK37" s="52" t="s">
        <v>94</v>
      </c>
      <c r="BL37" s="53" t="s">
        <v>92</v>
      </c>
      <c r="BM37" s="79" t="s">
        <v>89</v>
      </c>
      <c r="BN37" s="80" t="s">
        <v>94</v>
      </c>
      <c r="BO37" s="81" t="s">
        <v>92</v>
      </c>
      <c r="BP37" s="367" t="s">
        <v>89</v>
      </c>
      <c r="BQ37" s="368" t="s">
        <v>94</v>
      </c>
      <c r="BR37" s="378" t="s">
        <v>92</v>
      </c>
    </row>
    <row r="38" spans="1:70" x14ac:dyDescent="0.25">
      <c r="A38" s="412" t="s">
        <v>84</v>
      </c>
      <c r="B38" s="413"/>
      <c r="C38" s="177" t="s">
        <v>86</v>
      </c>
      <c r="D38" s="177" t="s">
        <v>88</v>
      </c>
      <c r="E38" s="177" t="s">
        <v>90</v>
      </c>
      <c r="F38" s="177" t="s">
        <v>91</v>
      </c>
      <c r="G38" s="171" t="s">
        <v>93</v>
      </c>
      <c r="H38" s="176" t="s">
        <v>90</v>
      </c>
      <c r="I38" s="177" t="s">
        <v>91</v>
      </c>
      <c r="J38" s="171" t="s">
        <v>93</v>
      </c>
      <c r="K38" s="176" t="s">
        <v>90</v>
      </c>
      <c r="L38" s="177" t="s">
        <v>91</v>
      </c>
      <c r="M38" s="171" t="s">
        <v>93</v>
      </c>
      <c r="N38" s="176" t="s">
        <v>90</v>
      </c>
      <c r="O38" s="177" t="s">
        <v>91</v>
      </c>
      <c r="P38" s="171" t="s">
        <v>93</v>
      </c>
      <c r="Q38" s="51" t="s">
        <v>90</v>
      </c>
      <c r="R38" s="52" t="s">
        <v>91</v>
      </c>
      <c r="S38" s="53" t="s">
        <v>93</v>
      </c>
      <c r="T38" s="51" t="s">
        <v>90</v>
      </c>
      <c r="U38" s="52" t="s">
        <v>91</v>
      </c>
      <c r="V38" s="53" t="s">
        <v>93</v>
      </c>
      <c r="W38" s="51" t="s">
        <v>90</v>
      </c>
      <c r="X38" s="52" t="s">
        <v>91</v>
      </c>
      <c r="Y38" s="53" t="s">
        <v>93</v>
      </c>
      <c r="Z38" s="51" t="s">
        <v>90</v>
      </c>
      <c r="AA38" s="52" t="s">
        <v>91</v>
      </c>
      <c r="AB38" s="53" t="s">
        <v>93</v>
      </c>
      <c r="AC38" s="51" t="s">
        <v>90</v>
      </c>
      <c r="AD38" s="52" t="s">
        <v>91</v>
      </c>
      <c r="AE38" s="53" t="s">
        <v>93</v>
      </c>
      <c r="AF38" s="51" t="s">
        <v>90</v>
      </c>
      <c r="AG38" s="52" t="s">
        <v>91</v>
      </c>
      <c r="AH38" s="53" t="s">
        <v>93</v>
      </c>
      <c r="AI38" s="51" t="s">
        <v>90</v>
      </c>
      <c r="AJ38" s="52" t="s">
        <v>91</v>
      </c>
      <c r="AK38" s="53" t="s">
        <v>93</v>
      </c>
      <c r="AL38" s="51" t="s">
        <v>90</v>
      </c>
      <c r="AM38" s="52" t="s">
        <v>91</v>
      </c>
      <c r="AN38" s="53" t="s">
        <v>93</v>
      </c>
      <c r="AO38" s="51" t="s">
        <v>90</v>
      </c>
      <c r="AP38" s="52" t="s">
        <v>91</v>
      </c>
      <c r="AQ38" s="53" t="s">
        <v>93</v>
      </c>
      <c r="AR38" s="51" t="s">
        <v>90</v>
      </c>
      <c r="AS38" s="52" t="s">
        <v>91</v>
      </c>
      <c r="AT38" s="53" t="s">
        <v>93</v>
      </c>
      <c r="AU38" s="51" t="s">
        <v>90</v>
      </c>
      <c r="AV38" s="52" t="s">
        <v>91</v>
      </c>
      <c r="AW38" s="53" t="s">
        <v>93</v>
      </c>
      <c r="AX38" s="51" t="s">
        <v>90</v>
      </c>
      <c r="AY38" s="52" t="s">
        <v>91</v>
      </c>
      <c r="AZ38" s="53" t="s">
        <v>93</v>
      </c>
      <c r="BA38" s="51" t="s">
        <v>90</v>
      </c>
      <c r="BB38" s="52" t="s">
        <v>91</v>
      </c>
      <c r="BC38" s="53" t="s">
        <v>93</v>
      </c>
      <c r="BD38" s="51" t="s">
        <v>90</v>
      </c>
      <c r="BE38" s="52" t="s">
        <v>91</v>
      </c>
      <c r="BF38" s="53" t="s">
        <v>93</v>
      </c>
      <c r="BG38" s="51" t="s">
        <v>90</v>
      </c>
      <c r="BH38" s="52" t="s">
        <v>91</v>
      </c>
      <c r="BI38" s="53" t="s">
        <v>93</v>
      </c>
      <c r="BJ38" s="51" t="s">
        <v>90</v>
      </c>
      <c r="BK38" s="52" t="s">
        <v>91</v>
      </c>
      <c r="BL38" s="53" t="s">
        <v>93</v>
      </c>
      <c r="BM38" s="79" t="s">
        <v>90</v>
      </c>
      <c r="BN38" s="80" t="s">
        <v>91</v>
      </c>
      <c r="BO38" s="81" t="s">
        <v>93</v>
      </c>
      <c r="BP38" s="367" t="s">
        <v>90</v>
      </c>
      <c r="BQ38" s="368" t="s">
        <v>91</v>
      </c>
      <c r="BR38" s="378" t="s">
        <v>93</v>
      </c>
    </row>
    <row r="39" spans="1:70" x14ac:dyDescent="0.25">
      <c r="A39" s="237">
        <v>9</v>
      </c>
      <c r="B39" s="288" t="s">
        <v>148</v>
      </c>
      <c r="C39" s="265">
        <f>Webdesigner!D137</f>
        <v>10620.519999999997</v>
      </c>
      <c r="D39" s="228">
        <v>1</v>
      </c>
      <c r="E39" s="265">
        <f t="shared" ref="E39:E40" si="44">C39*D39</f>
        <v>10620.519999999997</v>
      </c>
      <c r="F39" s="228">
        <v>1</v>
      </c>
      <c r="G39" s="289">
        <f t="shared" ref="G39:G40" si="45">E39*F39*20</f>
        <v>212410.39999999994</v>
      </c>
      <c r="H39" s="303">
        <f>Webdesigner!E137</f>
        <v>10803.052669681892</v>
      </c>
      <c r="I39" s="279">
        <v>1</v>
      </c>
      <c r="J39" s="304">
        <f>H39*I39*20</f>
        <v>216061.05339363785</v>
      </c>
      <c r="K39" s="303">
        <f>Webdesigner!F137</f>
        <v>10789.670950075888</v>
      </c>
      <c r="L39" s="279">
        <v>1</v>
      </c>
      <c r="M39" s="304">
        <f t="shared" ref="M39:M40" si="46">K39*L39*20</f>
        <v>215793.41900151776</v>
      </c>
      <c r="N39" s="303">
        <f>Webdesigner!G137</f>
        <v>11049.408698100797</v>
      </c>
      <c r="O39" s="279">
        <v>1</v>
      </c>
      <c r="P39" s="280">
        <f t="shared" ref="P39:P40" si="47">N39*O39*20</f>
        <v>220988.17396201595</v>
      </c>
      <c r="Q39" s="72">
        <f>Webdesigner!H137</f>
        <v>11050.548900801306</v>
      </c>
      <c r="R39" s="66">
        <v>1</v>
      </c>
      <c r="S39" s="67">
        <f t="shared" ref="S39:S40" si="48">Q39*R39*20</f>
        <v>221010.97801602614</v>
      </c>
      <c r="T39" s="72">
        <f>Webdesigner!I137</f>
        <v>11046.476748299479</v>
      </c>
      <c r="U39" s="66">
        <v>1</v>
      </c>
      <c r="V39" s="67">
        <f t="shared" ref="V39:V40" si="49">T39*U39*20</f>
        <v>220929.53496598959</v>
      </c>
      <c r="W39" s="72">
        <f>Webdesigner!J137</f>
        <v>11043.168907497997</v>
      </c>
      <c r="X39" s="66">
        <v>1</v>
      </c>
      <c r="Y39" s="67">
        <f t="shared" ref="Y39:Y40" si="50">W39*X39*20</f>
        <v>220863.37814995993</v>
      </c>
      <c r="Z39" s="72">
        <f>Webdesigner!K137</f>
        <v>11058.505260304877</v>
      </c>
      <c r="AA39" s="66">
        <v>1</v>
      </c>
      <c r="AB39" s="67">
        <f t="shared" ref="AB39:AB40" si="51">Z39*AA39*20</f>
        <v>221170.10520609753</v>
      </c>
      <c r="AC39" s="72">
        <f>Webdesigner!L137</f>
        <v>11087.39874851784</v>
      </c>
      <c r="AD39" s="66">
        <v>1</v>
      </c>
      <c r="AE39" s="67">
        <f t="shared" ref="AE39:AE40" si="52">AC39*AD39*20</f>
        <v>221747.97497035679</v>
      </c>
      <c r="AF39" s="72">
        <f>Webdesigner!M137</f>
        <v>11120.527275332704</v>
      </c>
      <c r="AG39" s="66">
        <v>1</v>
      </c>
      <c r="AH39" s="67">
        <f t="shared" ref="AH39:AH40" si="53">AF39*AG39*20</f>
        <v>222410.54550665407</v>
      </c>
      <c r="AI39" s="72">
        <f>Webdesigner!N137</f>
        <v>11105.316219525877</v>
      </c>
      <c r="AJ39" s="66">
        <v>1</v>
      </c>
      <c r="AK39" s="67">
        <f t="shared" ref="AK39:AK40" si="54">AI39*AJ39*20</f>
        <v>222106.32439051755</v>
      </c>
      <c r="AL39" s="72">
        <f>Webdesigner!O137</f>
        <v>11092.297861220039</v>
      </c>
      <c r="AM39" s="66">
        <v>1</v>
      </c>
      <c r="AN39" s="67">
        <f t="shared" ref="AN39:AN40" si="55">AL39*AM39*20</f>
        <v>221845.95722440077</v>
      </c>
      <c r="AO39" s="72">
        <f>Webdesigner!Q137</f>
        <v>11097.540401620867</v>
      </c>
      <c r="AP39" s="66">
        <v>1</v>
      </c>
      <c r="AQ39" s="67">
        <f t="shared" ref="AQ39:AQ40" si="56">AO39*AP39*20</f>
        <v>221950.80803241732</v>
      </c>
      <c r="AR39" s="72">
        <f>Webdesigner!R137</f>
        <v>11109.932274926427</v>
      </c>
      <c r="AS39" s="66">
        <v>1</v>
      </c>
      <c r="AT39" s="67">
        <f t="shared" ref="AT39:AT40" si="57">AR39*AS39*20</f>
        <v>222198.64549852852</v>
      </c>
      <c r="AU39" s="72">
        <f>Webdesigner!T137</f>
        <v>10936.198319930747</v>
      </c>
      <c r="AV39" s="66">
        <v>1</v>
      </c>
      <c r="AW39" s="67">
        <f t="shared" ref="AW39:AW40" si="58">AU39*AV39*20</f>
        <v>218723.96639861492</v>
      </c>
      <c r="AX39" s="72">
        <f>Webdesigner!U137</f>
        <v>10978.385819849675</v>
      </c>
      <c r="AY39" s="66">
        <v>1</v>
      </c>
      <c r="AZ39" s="67">
        <f t="shared" ref="AZ39:AZ40" si="59">AX39*AY39*20</f>
        <v>219567.71639699349</v>
      </c>
      <c r="BA39" s="72">
        <f>Webdesigner!V137</f>
        <v>11024.620412870418</v>
      </c>
      <c r="BB39" s="66">
        <v>1</v>
      </c>
      <c r="BC39" s="67">
        <f t="shared" ref="BC39:BC40" si="60">BA39*BB39*20</f>
        <v>220492.40825740836</v>
      </c>
      <c r="BD39" s="72">
        <f>Webdesigner!W137</f>
        <v>10967.973639145001</v>
      </c>
      <c r="BE39" s="66">
        <v>1</v>
      </c>
      <c r="BF39" s="67">
        <f t="shared" ref="BF39:BF40" si="61">BD39*BE39*20</f>
        <v>219359.4727829</v>
      </c>
      <c r="BG39" s="72">
        <f>Webdesigner!X137</f>
        <v>10970.504638546137</v>
      </c>
      <c r="BH39" s="66">
        <v>1</v>
      </c>
      <c r="BI39" s="67">
        <f t="shared" ref="BI39:BI40" si="62">BG39*BH39*20</f>
        <v>219410.09277092275</v>
      </c>
      <c r="BJ39" s="72">
        <f>Webdesigner!Y137</f>
        <v>10977.483681449268</v>
      </c>
      <c r="BK39" s="66">
        <v>1</v>
      </c>
      <c r="BL39" s="67">
        <f t="shared" ref="BL39:BL40" si="63">BJ39*BK39*20</f>
        <v>219549.67362898536</v>
      </c>
      <c r="BM39" s="72">
        <f>Webdesigner!Z137</f>
        <v>10959.165260041051</v>
      </c>
      <c r="BN39" s="66">
        <v>1</v>
      </c>
      <c r="BO39" s="67">
        <f t="shared" ref="BO39:BO40" si="64">BM39*BN39*20</f>
        <v>219183.30520082102</v>
      </c>
      <c r="BP39" s="303">
        <f>Webdesigner!AB137</f>
        <v>10873.858958048946</v>
      </c>
      <c r="BQ39" s="279">
        <v>1</v>
      </c>
      <c r="BR39" s="280">
        <f t="shared" ref="BR39:BR40" si="65">BP39*BQ39*20</f>
        <v>217477.17916097894</v>
      </c>
    </row>
    <row r="40" spans="1:70" x14ac:dyDescent="0.25">
      <c r="A40" s="237">
        <v>10</v>
      </c>
      <c r="B40" s="288" t="s">
        <v>149</v>
      </c>
      <c r="C40" s="265">
        <f>'Designer Gráfico'!D137</f>
        <v>11462.963499999998</v>
      </c>
      <c r="D40" s="228">
        <v>1</v>
      </c>
      <c r="E40" s="265">
        <f t="shared" si="44"/>
        <v>11462.963499999998</v>
      </c>
      <c r="F40" s="228">
        <v>1</v>
      </c>
      <c r="G40" s="289">
        <f t="shared" si="45"/>
        <v>229259.26999999996</v>
      </c>
      <c r="H40" s="303">
        <f>'Designer Gráfico'!E137</f>
        <v>11645.494898302868</v>
      </c>
      <c r="I40" s="279">
        <v>1</v>
      </c>
      <c r="J40" s="304">
        <f t="shared" ref="J40" si="66">H40*I40*20</f>
        <v>232909.89796605735</v>
      </c>
      <c r="K40" s="303">
        <f>'Designer Gráfico'!F137</f>
        <v>11632.113271903401</v>
      </c>
      <c r="L40" s="279">
        <v>1</v>
      </c>
      <c r="M40" s="304">
        <f t="shared" si="46"/>
        <v>232642.26543806802</v>
      </c>
      <c r="N40" s="303">
        <f>'Designer Gráfico'!G137</f>
        <v>11912.91214765417</v>
      </c>
      <c r="O40" s="279">
        <v>1</v>
      </c>
      <c r="P40" s="280">
        <f t="shared" si="47"/>
        <v>238258.24295308339</v>
      </c>
      <c r="Q40" s="72">
        <f>'Designer Gráfico'!H137</f>
        <v>11914.052342412926</v>
      </c>
      <c r="R40" s="66">
        <v>1</v>
      </c>
      <c r="S40" s="67">
        <f t="shared" si="48"/>
        <v>238281.04684825853</v>
      </c>
      <c r="T40" s="72">
        <f>'Designer Gráfico'!I137</f>
        <v>11909.980218274512</v>
      </c>
      <c r="U40" s="66">
        <v>1</v>
      </c>
      <c r="V40" s="67">
        <f t="shared" si="49"/>
        <v>238199.60436549023</v>
      </c>
      <c r="W40" s="72">
        <f>'Designer Gráfico'!J137</f>
        <v>11906.672400512844</v>
      </c>
      <c r="X40" s="66">
        <v>1</v>
      </c>
      <c r="Y40" s="67">
        <f t="shared" si="50"/>
        <v>238133.44801025686</v>
      </c>
      <c r="Z40" s="72">
        <f>'Designer Gráfico'!K137</f>
        <v>11922.008646498754</v>
      </c>
      <c r="AA40" s="66">
        <v>1</v>
      </c>
      <c r="AB40" s="67">
        <f t="shared" si="51"/>
        <v>238440.17292997509</v>
      </c>
      <c r="AC40" s="72">
        <f>'Designer Gráfico'!L137</f>
        <v>11950.901933462401</v>
      </c>
      <c r="AD40" s="66">
        <v>1</v>
      </c>
      <c r="AE40" s="67">
        <f t="shared" si="52"/>
        <v>239018.03866924802</v>
      </c>
      <c r="AF40" s="72">
        <f>'Designer Gráfico'!M137</f>
        <v>11984.030229530001</v>
      </c>
      <c r="AG40" s="66">
        <v>1</v>
      </c>
      <c r="AH40" s="67">
        <f t="shared" si="53"/>
        <v>239680.60459060001</v>
      </c>
      <c r="AI40" s="72">
        <f>'Designer Gráfico'!N137</f>
        <v>11968.819279671428</v>
      </c>
      <c r="AJ40" s="66">
        <v>1</v>
      </c>
      <c r="AK40" s="67">
        <f t="shared" si="54"/>
        <v>239376.38559342857</v>
      </c>
      <c r="AL40" s="72">
        <f>'Designer Gráfico'!O137</f>
        <v>11955.801012041233</v>
      </c>
      <c r="AM40" s="66">
        <v>1</v>
      </c>
      <c r="AN40" s="67">
        <f t="shared" si="55"/>
        <v>239116.02024082467</v>
      </c>
      <c r="AO40" s="72">
        <f>'Designer Gráfico'!Q137</f>
        <v>11957.334566923648</v>
      </c>
      <c r="AP40" s="66">
        <v>1</v>
      </c>
      <c r="AQ40" s="67">
        <f t="shared" si="56"/>
        <v>239146.69133847294</v>
      </c>
      <c r="AR40" s="72">
        <f>'Designer Gráfico'!R137</f>
        <v>11969.726353917164</v>
      </c>
      <c r="AS40" s="66">
        <v>1</v>
      </c>
      <c r="AT40" s="67">
        <f t="shared" si="57"/>
        <v>239394.52707834326</v>
      </c>
      <c r="AU40" s="72">
        <f>'Designer Gráfico'!T137</f>
        <v>11781.443852041508</v>
      </c>
      <c r="AV40" s="66">
        <v>1</v>
      </c>
      <c r="AW40" s="67">
        <f t="shared" si="58"/>
        <v>235628.87704083015</v>
      </c>
      <c r="AX40" s="72">
        <f>'Designer Gráfico'!U137</f>
        <v>11823.63105811549</v>
      </c>
      <c r="AY40" s="66">
        <v>1</v>
      </c>
      <c r="AZ40" s="67">
        <f t="shared" si="59"/>
        <v>236472.62116230981</v>
      </c>
      <c r="BA40" s="72">
        <f>'Designer Gráfico'!V137</f>
        <v>11869.86532910242</v>
      </c>
      <c r="BB40" s="66">
        <v>1</v>
      </c>
      <c r="BC40" s="67">
        <f t="shared" si="60"/>
        <v>237397.30658204842</v>
      </c>
      <c r="BD40" s="72">
        <f>'Designer Gráfico'!W137</f>
        <v>11813.218949933882</v>
      </c>
      <c r="BE40" s="66">
        <v>1</v>
      </c>
      <c r="BF40" s="67">
        <f t="shared" si="61"/>
        <v>236264.37899867765</v>
      </c>
      <c r="BG40" s="72">
        <f>'Designer Gráfico'!X137</f>
        <v>11815.749931706065</v>
      </c>
      <c r="BH40" s="66">
        <v>1</v>
      </c>
      <c r="BI40" s="67">
        <f t="shared" si="62"/>
        <v>236314.99863412129</v>
      </c>
      <c r="BJ40" s="72">
        <f>'Designer Gráfico'!Y137</f>
        <v>11822.728925998672</v>
      </c>
      <c r="BK40" s="66">
        <v>1</v>
      </c>
      <c r="BL40" s="67">
        <f t="shared" si="63"/>
        <v>236454.57851997344</v>
      </c>
      <c r="BM40" s="72">
        <f>'Designer Gráfico'!Z137</f>
        <v>11804.410632182171</v>
      </c>
      <c r="BN40" s="66">
        <v>1</v>
      </c>
      <c r="BO40" s="67">
        <f t="shared" si="64"/>
        <v>236088.21264364343</v>
      </c>
      <c r="BP40" s="303">
        <f>'Designer Gráfico'!AB137</f>
        <v>11711.960748305222</v>
      </c>
      <c r="BQ40" s="279">
        <v>1</v>
      </c>
      <c r="BR40" s="280">
        <f t="shared" si="65"/>
        <v>234239.21496610445</v>
      </c>
    </row>
    <row r="41" spans="1:70" ht="15.75" thickBot="1" x14ac:dyDescent="0.3">
      <c r="A41" s="407" t="s">
        <v>165</v>
      </c>
      <c r="B41" s="408"/>
      <c r="C41" s="408"/>
      <c r="D41" s="408"/>
      <c r="E41" s="409"/>
      <c r="F41" s="281">
        <f>SUM(F39:F40)</f>
        <v>2</v>
      </c>
      <c r="G41" s="282">
        <f>SUM(G39:G40)</f>
        <v>441669.66999999993</v>
      </c>
      <c r="H41" s="292"/>
      <c r="I41" s="305">
        <f>SUM(I39:I40)</f>
        <v>2</v>
      </c>
      <c r="J41" s="306">
        <f>SUM(J39:J40)</f>
        <v>448970.95135969517</v>
      </c>
      <c r="K41" s="292"/>
      <c r="L41" s="305">
        <f t="shared" ref="L41:M41" si="67">SUM(L39:L40)</f>
        <v>2</v>
      </c>
      <c r="M41" s="306">
        <f t="shared" si="67"/>
        <v>448435.68443958578</v>
      </c>
      <c r="N41" s="292"/>
      <c r="O41" s="305">
        <f t="shared" ref="O41:P41" si="68">SUM(O39:O40)</f>
        <v>2</v>
      </c>
      <c r="P41" s="307">
        <f t="shared" si="68"/>
        <v>459246.41691509937</v>
      </c>
      <c r="Q41" s="50"/>
      <c r="R41" s="68">
        <f t="shared" ref="R41:S41" si="69">SUM(R39:R40)</f>
        <v>2</v>
      </c>
      <c r="S41" s="69">
        <f t="shared" si="69"/>
        <v>459292.02486428467</v>
      </c>
      <c r="T41" s="50"/>
      <c r="U41" s="68">
        <f t="shared" ref="U41:V41" si="70">SUM(U39:U40)</f>
        <v>2</v>
      </c>
      <c r="V41" s="69">
        <f t="shared" si="70"/>
        <v>459129.13933147979</v>
      </c>
      <c r="W41" s="50"/>
      <c r="X41" s="68">
        <f t="shared" ref="X41:Y41" si="71">SUM(X39:X40)</f>
        <v>2</v>
      </c>
      <c r="Y41" s="69">
        <f t="shared" si="71"/>
        <v>458996.82616021682</v>
      </c>
      <c r="Z41" s="50"/>
      <c r="AA41" s="68">
        <f t="shared" ref="AA41:AB41" si="72">SUM(AA39:AA40)</f>
        <v>2</v>
      </c>
      <c r="AB41" s="69">
        <f t="shared" si="72"/>
        <v>459610.27813607262</v>
      </c>
      <c r="AC41" s="50"/>
      <c r="AD41" s="68">
        <f t="shared" ref="AD41:AE41" si="73">SUM(AD39:AD40)</f>
        <v>2</v>
      </c>
      <c r="AE41" s="69">
        <f t="shared" si="73"/>
        <v>460766.01363960479</v>
      </c>
      <c r="AF41" s="50"/>
      <c r="AG41" s="68">
        <f t="shared" ref="AG41:AH41" si="74">SUM(AG39:AG40)</f>
        <v>2</v>
      </c>
      <c r="AH41" s="69">
        <f t="shared" si="74"/>
        <v>462091.15009725408</v>
      </c>
      <c r="AI41" s="50"/>
      <c r="AJ41" s="68">
        <f t="shared" ref="AJ41:AK41" si="75">SUM(AJ39:AJ40)</f>
        <v>2</v>
      </c>
      <c r="AK41" s="69">
        <f t="shared" si="75"/>
        <v>461482.70998394612</v>
      </c>
      <c r="AL41" s="50"/>
      <c r="AM41" s="68">
        <f t="shared" ref="AM41:AN41" si="76">SUM(AM39:AM40)</f>
        <v>2</v>
      </c>
      <c r="AN41" s="69">
        <f t="shared" si="76"/>
        <v>460961.97746522544</v>
      </c>
      <c r="AO41" s="50"/>
      <c r="AP41" s="68">
        <f t="shared" ref="AP41:AQ41" si="77">SUM(AP39:AP40)</f>
        <v>2</v>
      </c>
      <c r="AQ41" s="69">
        <f t="shared" si="77"/>
        <v>461097.49937089026</v>
      </c>
      <c r="AR41" s="50"/>
      <c r="AS41" s="68">
        <f t="shared" ref="AS41:AT41" si="78">SUM(AS39:AS40)</f>
        <v>2</v>
      </c>
      <c r="AT41" s="69">
        <f t="shared" si="78"/>
        <v>461593.17257687182</v>
      </c>
      <c r="AU41" s="50"/>
      <c r="AV41" s="68">
        <f t="shared" ref="AV41:AW41" si="79">SUM(AV39:AV40)</f>
        <v>2</v>
      </c>
      <c r="AW41" s="69">
        <f t="shared" si="79"/>
        <v>454352.84343944507</v>
      </c>
      <c r="AX41" s="50"/>
      <c r="AY41" s="68">
        <f t="shared" ref="AY41:AZ41" si="80">SUM(AY39:AY40)</f>
        <v>2</v>
      </c>
      <c r="AZ41" s="69">
        <f t="shared" si="80"/>
        <v>456040.33755930327</v>
      </c>
      <c r="BA41" s="50"/>
      <c r="BB41" s="68">
        <f t="shared" ref="BB41:BC41" si="81">SUM(BB39:BB40)</f>
        <v>2</v>
      </c>
      <c r="BC41" s="69">
        <f t="shared" si="81"/>
        <v>457889.71483945678</v>
      </c>
      <c r="BD41" s="50"/>
      <c r="BE41" s="68">
        <f t="shared" ref="BE41:BF41" si="82">SUM(BE39:BE40)</f>
        <v>2</v>
      </c>
      <c r="BF41" s="69">
        <f t="shared" si="82"/>
        <v>455623.85178157769</v>
      </c>
      <c r="BG41" s="50"/>
      <c r="BH41" s="68">
        <f t="shared" ref="BH41:BI41" si="83">SUM(BH39:BH40)</f>
        <v>2</v>
      </c>
      <c r="BI41" s="69">
        <f t="shared" si="83"/>
        <v>455725.09140504408</v>
      </c>
      <c r="BJ41" s="50"/>
      <c r="BK41" s="68">
        <f t="shared" ref="BK41:BL41" si="84">SUM(BK39:BK40)</f>
        <v>2</v>
      </c>
      <c r="BL41" s="69">
        <f t="shared" si="84"/>
        <v>456004.2521489588</v>
      </c>
      <c r="BM41" s="50"/>
      <c r="BN41" s="68">
        <f t="shared" ref="BN41:BO41" si="85">SUM(BN39:BN40)</f>
        <v>2</v>
      </c>
      <c r="BO41" s="69">
        <f t="shared" si="85"/>
        <v>455271.51784446446</v>
      </c>
      <c r="BP41" s="292"/>
      <c r="BQ41" s="305">
        <f t="shared" ref="BQ41:BR41" si="86">SUM(BQ39:BQ40)</f>
        <v>2</v>
      </c>
      <c r="BR41" s="307">
        <f t="shared" si="86"/>
        <v>451716.39412708336</v>
      </c>
    </row>
    <row r="43" spans="1:70" x14ac:dyDescent="0.25">
      <c r="A43" s="308"/>
    </row>
    <row r="44" spans="1:70" x14ac:dyDescent="0.25">
      <c r="B44" s="309"/>
    </row>
    <row r="45" spans="1:70" x14ac:dyDescent="0.25">
      <c r="J45" s="310"/>
    </row>
    <row r="46" spans="1:70" x14ac:dyDescent="0.25">
      <c r="J46" s="311"/>
    </row>
  </sheetData>
  <mergeCells count="72">
    <mergeCell ref="AD6:AD7"/>
    <mergeCell ref="V6:V7"/>
    <mergeCell ref="W6:W7"/>
    <mergeCell ref="X6:X7"/>
    <mergeCell ref="Y6:Y7"/>
    <mergeCell ref="Z6:Z7"/>
    <mergeCell ref="AA6:AA7"/>
    <mergeCell ref="AB6:AB7"/>
    <mergeCell ref="AC6:AC7"/>
    <mergeCell ref="Q28:S28"/>
    <mergeCell ref="Q19:S19"/>
    <mergeCell ref="N28:P28"/>
    <mergeCell ref="N19:P19"/>
    <mergeCell ref="BJ36:BL36"/>
    <mergeCell ref="BG36:BI36"/>
    <mergeCell ref="Q36:S36"/>
    <mergeCell ref="T36:V36"/>
    <mergeCell ref="W36:Y36"/>
    <mergeCell ref="Z36:AB36"/>
    <mergeCell ref="AC36:AE36"/>
    <mergeCell ref="AU36:AW36"/>
    <mergeCell ref="AX36:AZ36"/>
    <mergeCell ref="T19:V19"/>
    <mergeCell ref="W19:Y19"/>
    <mergeCell ref="Q6:Q7"/>
    <mergeCell ref="R6:R7"/>
    <mergeCell ref="S6:S7"/>
    <mergeCell ref="T6:T7"/>
    <mergeCell ref="U6:U7"/>
    <mergeCell ref="A1:G1"/>
    <mergeCell ref="A7:B7"/>
    <mergeCell ref="A6:B6"/>
    <mergeCell ref="A3:G3"/>
    <mergeCell ref="A2:G2"/>
    <mergeCell ref="A4:G4"/>
    <mergeCell ref="A34:E34"/>
    <mergeCell ref="A37:B37"/>
    <mergeCell ref="A38:B38"/>
    <mergeCell ref="A41:E41"/>
    <mergeCell ref="A20:B20"/>
    <mergeCell ref="A21:B21"/>
    <mergeCell ref="A29:B29"/>
    <mergeCell ref="A30:B30"/>
    <mergeCell ref="A26:E26"/>
    <mergeCell ref="A17:E17"/>
    <mergeCell ref="K6:K7"/>
    <mergeCell ref="L6:L7"/>
    <mergeCell ref="M6:M7"/>
    <mergeCell ref="N6:N7"/>
    <mergeCell ref="H19:J19"/>
    <mergeCell ref="K19:M19"/>
    <mergeCell ref="O6:O7"/>
    <mergeCell ref="P6:P7"/>
    <mergeCell ref="H6:H7"/>
    <mergeCell ref="I6:I7"/>
    <mergeCell ref="J6:J7"/>
    <mergeCell ref="AE6:AE7"/>
    <mergeCell ref="BP36:BR36"/>
    <mergeCell ref="BM36:BO36"/>
    <mergeCell ref="A5:G5"/>
    <mergeCell ref="BA36:BC36"/>
    <mergeCell ref="BD36:BF36"/>
    <mergeCell ref="AF36:AH36"/>
    <mergeCell ref="AI36:AK36"/>
    <mergeCell ref="AL36:AN36"/>
    <mergeCell ref="AO36:AQ36"/>
    <mergeCell ref="AR36:AT36"/>
    <mergeCell ref="H28:J28"/>
    <mergeCell ref="K28:M28"/>
    <mergeCell ref="H36:J36"/>
    <mergeCell ref="K36:M36"/>
    <mergeCell ref="N36:P36"/>
  </mergeCells>
  <pageMargins left="0.511811024" right="0.511811024" top="0.78740157499999996" bottom="0.78740157499999996" header="0.31496062000000002" footer="0.31496062000000002"/>
  <pageSetup paperSize="9" scale="7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C2E7-5062-4E53-BB69-724AE44A6001}">
  <sheetPr>
    <pageSetUpPr fitToPage="1"/>
  </sheetPr>
  <dimension ref="A1:K138"/>
  <sheetViews>
    <sheetView workbookViewId="0">
      <selection activeCell="O18" sqref="O18"/>
    </sheetView>
  </sheetViews>
  <sheetFormatPr defaultRowHeight="15" x14ac:dyDescent="0.25"/>
  <cols>
    <col min="1" max="1" width="4.7109375" style="216" bestFit="1" customWidth="1"/>
    <col min="2" max="2" width="46.28515625" style="217" bestFit="1" customWidth="1"/>
    <col min="3" max="3" width="14.140625" style="217" bestFit="1" customWidth="1"/>
    <col min="4" max="4" width="9.7109375" style="216" bestFit="1" customWidth="1"/>
    <col min="5" max="5" width="20.7109375" style="216" customWidth="1"/>
    <col min="6" max="6" width="20.7109375" style="217" customWidth="1"/>
    <col min="7" max="7" width="20.7109375" style="216" customWidth="1"/>
    <col min="8" max="8" width="20.7109375" style="217" customWidth="1"/>
    <col min="9" max="9" width="20.7109375" style="216" customWidth="1"/>
    <col min="10" max="10" width="14.140625" bestFit="1" customWidth="1"/>
    <col min="11" max="11" width="20.5703125" bestFit="1" customWidth="1"/>
  </cols>
  <sheetData>
    <row r="1" spans="1:11" x14ac:dyDescent="0.25">
      <c r="A1" s="495" t="s">
        <v>98</v>
      </c>
      <c r="B1" s="496"/>
      <c r="C1" s="496"/>
      <c r="D1" s="496"/>
      <c r="E1" s="445" t="s">
        <v>225</v>
      </c>
      <c r="F1" s="451"/>
      <c r="G1" s="451"/>
      <c r="H1" s="451"/>
      <c r="I1" s="446"/>
      <c r="J1" s="445" t="s">
        <v>267</v>
      </c>
      <c r="K1" s="451"/>
    </row>
    <row r="2" spans="1:11" x14ac:dyDescent="0.25">
      <c r="A2" s="497"/>
      <c r="B2" s="498"/>
      <c r="C2" s="498"/>
      <c r="D2" s="498"/>
      <c r="E2" s="452"/>
      <c r="F2" s="453"/>
      <c r="G2" s="453"/>
      <c r="H2" s="453"/>
      <c r="I2" s="454"/>
      <c r="J2" s="452"/>
      <c r="K2" s="453"/>
    </row>
    <row r="3" spans="1:11" ht="15.75" thickBot="1" x14ac:dyDescent="0.3">
      <c r="A3" s="466" t="s">
        <v>0</v>
      </c>
      <c r="B3" s="467"/>
      <c r="C3" s="467"/>
      <c r="D3" s="503"/>
      <c r="E3" s="576"/>
      <c r="F3" s="577"/>
      <c r="G3" s="577"/>
      <c r="H3" s="577"/>
      <c r="I3" s="578"/>
      <c r="J3" s="576"/>
      <c r="K3" s="577"/>
    </row>
    <row r="4" spans="1:11" ht="30" x14ac:dyDescent="0.25">
      <c r="A4" s="161">
        <v>1</v>
      </c>
      <c r="B4" s="162" t="s">
        <v>1</v>
      </c>
      <c r="C4" s="512" t="s">
        <v>147</v>
      </c>
      <c r="D4" s="513"/>
      <c r="E4" s="114" t="s">
        <v>147</v>
      </c>
      <c r="F4" s="574" t="s">
        <v>147</v>
      </c>
      <c r="G4" s="575"/>
      <c r="H4" s="574" t="s">
        <v>147</v>
      </c>
      <c r="I4" s="575"/>
      <c r="J4" s="574" t="s">
        <v>147</v>
      </c>
      <c r="K4" s="575"/>
    </row>
    <row r="5" spans="1:11" x14ac:dyDescent="0.25">
      <c r="A5" s="159">
        <v>2</v>
      </c>
      <c r="B5" s="163" t="s">
        <v>2</v>
      </c>
      <c r="C5" s="491"/>
      <c r="D5" s="514"/>
      <c r="E5" s="115"/>
      <c r="F5" s="159"/>
      <c r="G5" s="160"/>
      <c r="H5" s="159"/>
      <c r="I5" s="160"/>
      <c r="J5" s="370"/>
      <c r="K5" s="371"/>
    </row>
    <row r="6" spans="1:11" x14ac:dyDescent="0.25">
      <c r="A6" s="159">
        <v>3</v>
      </c>
      <c r="B6" s="163" t="s">
        <v>100</v>
      </c>
      <c r="C6" s="492">
        <v>3470.3</v>
      </c>
      <c r="D6" s="515"/>
      <c r="E6" s="85">
        <f>C6*1.041</f>
        <v>3612.5823</v>
      </c>
      <c r="F6" s="152"/>
      <c r="G6" s="153">
        <f>E6*1.1</f>
        <v>3973.8405300000004</v>
      </c>
      <c r="H6" s="152"/>
      <c r="I6" s="153">
        <f>G6</f>
        <v>3973.8405300000004</v>
      </c>
      <c r="J6" s="374"/>
      <c r="K6" s="375">
        <f>I6*1.0579</f>
        <v>4203.9258966870011</v>
      </c>
    </row>
    <row r="7" spans="1:11" ht="30" x14ac:dyDescent="0.25">
      <c r="A7" s="159">
        <v>4</v>
      </c>
      <c r="B7" s="163" t="s">
        <v>101</v>
      </c>
      <c r="C7" s="493" t="s">
        <v>157</v>
      </c>
      <c r="D7" s="516"/>
      <c r="E7" s="104" t="s">
        <v>157</v>
      </c>
      <c r="F7" s="154"/>
      <c r="G7" s="155" t="s">
        <v>157</v>
      </c>
      <c r="H7" s="154"/>
      <c r="I7" s="155" t="s">
        <v>157</v>
      </c>
      <c r="J7" s="372"/>
      <c r="K7" s="373" t="s">
        <v>157</v>
      </c>
    </row>
    <row r="8" spans="1:11" x14ac:dyDescent="0.25">
      <c r="A8" s="159">
        <v>5</v>
      </c>
      <c r="B8" s="163" t="s">
        <v>3</v>
      </c>
      <c r="C8" s="494">
        <v>43831</v>
      </c>
      <c r="D8" s="514"/>
      <c r="E8" s="86">
        <v>44197</v>
      </c>
      <c r="F8" s="159"/>
      <c r="G8" s="150">
        <v>44562</v>
      </c>
      <c r="H8" s="159"/>
      <c r="I8" s="150">
        <v>44562</v>
      </c>
      <c r="J8" s="370"/>
      <c r="K8" s="376">
        <v>44927</v>
      </c>
    </row>
    <row r="9" spans="1:11" x14ac:dyDescent="0.25">
      <c r="A9" s="159">
        <v>6</v>
      </c>
      <c r="B9" s="163" t="s">
        <v>102</v>
      </c>
      <c r="C9" s="494" t="s">
        <v>156</v>
      </c>
      <c r="D9" s="514"/>
      <c r="E9" s="86" t="s">
        <v>169</v>
      </c>
      <c r="F9" s="159"/>
      <c r="G9" s="150" t="s">
        <v>170</v>
      </c>
      <c r="H9" s="159"/>
      <c r="I9" s="150" t="s">
        <v>170</v>
      </c>
      <c r="J9" s="370"/>
      <c r="K9" s="376" t="s">
        <v>265</v>
      </c>
    </row>
    <row r="10" spans="1:11" x14ac:dyDescent="0.25">
      <c r="A10" s="173"/>
      <c r="B10" s="174"/>
      <c r="C10" s="174"/>
      <c r="D10" s="175"/>
      <c r="E10" s="115"/>
      <c r="F10" s="159"/>
      <c r="G10" s="160"/>
      <c r="H10" s="159"/>
      <c r="I10" s="160"/>
      <c r="J10" s="370"/>
      <c r="K10" s="371"/>
    </row>
    <row r="11" spans="1:11" ht="105" x14ac:dyDescent="0.25">
      <c r="A11" s="415" t="s">
        <v>76</v>
      </c>
      <c r="B11" s="416"/>
      <c r="C11" s="416"/>
      <c r="D11" s="504"/>
      <c r="E11" s="240" t="s">
        <v>239</v>
      </c>
      <c r="F11" s="159"/>
      <c r="G11" s="224" t="s">
        <v>236</v>
      </c>
      <c r="H11" s="159"/>
      <c r="I11" s="224" t="s">
        <v>229</v>
      </c>
      <c r="J11" s="259"/>
      <c r="K11" s="260" t="s">
        <v>272</v>
      </c>
    </row>
    <row r="12" spans="1:11" ht="30" x14ac:dyDescent="0.25">
      <c r="A12" s="187">
        <v>1</v>
      </c>
      <c r="B12" s="476" t="s">
        <v>4</v>
      </c>
      <c r="C12" s="476"/>
      <c r="D12" s="168" t="s">
        <v>5</v>
      </c>
      <c r="E12" s="169" t="s">
        <v>171</v>
      </c>
      <c r="F12" s="159"/>
      <c r="G12" s="171" t="s">
        <v>210</v>
      </c>
      <c r="H12" s="159"/>
      <c r="I12" s="171" t="s">
        <v>215</v>
      </c>
      <c r="J12" s="370"/>
      <c r="K12" s="378" t="s">
        <v>266</v>
      </c>
    </row>
    <row r="13" spans="1:11" x14ac:dyDescent="0.25">
      <c r="A13" s="181" t="s">
        <v>6</v>
      </c>
      <c r="B13" s="475" t="s">
        <v>7</v>
      </c>
      <c r="C13" s="475"/>
      <c r="D13" s="172">
        <f>C6</f>
        <v>3470.3</v>
      </c>
      <c r="E13" s="83">
        <f>E6</f>
        <v>3612.5823</v>
      </c>
      <c r="F13" s="159"/>
      <c r="G13" s="92">
        <f>G6</f>
        <v>3973.8405300000004</v>
      </c>
      <c r="H13" s="159"/>
      <c r="I13" s="92">
        <f>I6</f>
        <v>3973.8405300000004</v>
      </c>
      <c r="J13" s="370"/>
      <c r="K13" s="92">
        <f>K6</f>
        <v>4203.9258966870011</v>
      </c>
    </row>
    <row r="14" spans="1:11" x14ac:dyDescent="0.25">
      <c r="A14" s="181" t="s">
        <v>8</v>
      </c>
      <c r="B14" s="475" t="s">
        <v>9</v>
      </c>
      <c r="C14" s="475"/>
      <c r="D14" s="172">
        <v>0</v>
      </c>
      <c r="E14" s="83">
        <v>0</v>
      </c>
      <c r="F14" s="159"/>
      <c r="G14" s="92">
        <v>0</v>
      </c>
      <c r="H14" s="159"/>
      <c r="I14" s="92">
        <v>0</v>
      </c>
      <c r="J14" s="370"/>
      <c r="K14" s="92">
        <v>0</v>
      </c>
    </row>
    <row r="15" spans="1:11" x14ac:dyDescent="0.25">
      <c r="A15" s="181" t="s">
        <v>10</v>
      </c>
      <c r="B15" s="475" t="s">
        <v>11</v>
      </c>
      <c r="C15" s="475"/>
      <c r="D15" s="172">
        <v>0</v>
      </c>
      <c r="E15" s="83">
        <v>0</v>
      </c>
      <c r="F15" s="159"/>
      <c r="G15" s="92">
        <v>0</v>
      </c>
      <c r="H15" s="159"/>
      <c r="I15" s="92">
        <v>0</v>
      </c>
      <c r="J15" s="370"/>
      <c r="K15" s="92">
        <v>0</v>
      </c>
    </row>
    <row r="16" spans="1:11" x14ac:dyDescent="0.25">
      <c r="A16" s="181" t="s">
        <v>12</v>
      </c>
      <c r="B16" s="475" t="s">
        <v>13</v>
      </c>
      <c r="C16" s="475"/>
      <c r="D16" s="172">
        <v>0</v>
      </c>
      <c r="E16" s="83">
        <v>0</v>
      </c>
      <c r="F16" s="159"/>
      <c r="G16" s="92">
        <v>0</v>
      </c>
      <c r="H16" s="159"/>
      <c r="I16" s="92">
        <v>0</v>
      </c>
      <c r="J16" s="370"/>
      <c r="K16" s="92">
        <v>0</v>
      </c>
    </row>
    <row r="17" spans="1:11" x14ac:dyDescent="0.25">
      <c r="A17" s="181" t="s">
        <v>14</v>
      </c>
      <c r="B17" s="475" t="s">
        <v>15</v>
      </c>
      <c r="C17" s="475"/>
      <c r="D17" s="172">
        <v>0</v>
      </c>
      <c r="E17" s="83">
        <v>0</v>
      </c>
      <c r="F17" s="159"/>
      <c r="G17" s="92">
        <v>0</v>
      </c>
      <c r="H17" s="159"/>
      <c r="I17" s="92">
        <v>0</v>
      </c>
      <c r="J17" s="370"/>
      <c r="K17" s="92">
        <v>0</v>
      </c>
    </row>
    <row r="18" spans="1:11" x14ac:dyDescent="0.25">
      <c r="A18" s="181" t="s">
        <v>16</v>
      </c>
      <c r="B18" s="475" t="s">
        <v>17</v>
      </c>
      <c r="C18" s="475"/>
      <c r="D18" s="172">
        <v>0</v>
      </c>
      <c r="E18" s="83">
        <v>0</v>
      </c>
      <c r="F18" s="159"/>
      <c r="G18" s="92">
        <v>0</v>
      </c>
      <c r="H18" s="159"/>
      <c r="I18" s="92">
        <v>0</v>
      </c>
      <c r="J18" s="370"/>
      <c r="K18" s="92">
        <v>0</v>
      </c>
    </row>
    <row r="19" spans="1:11" x14ac:dyDescent="0.25">
      <c r="A19" s="466" t="s">
        <v>18</v>
      </c>
      <c r="B19" s="467"/>
      <c r="C19" s="467"/>
      <c r="D19" s="172">
        <f>SUM(D13:D18)</f>
        <v>3470.3</v>
      </c>
      <c r="E19" s="83">
        <f t="shared" ref="E19" si="0">SUM(E13:E18)</f>
        <v>3612.5823</v>
      </c>
      <c r="F19" s="159"/>
      <c r="G19" s="92">
        <f t="shared" ref="G19" si="1">SUM(G13:G18)</f>
        <v>3973.8405300000004</v>
      </c>
      <c r="H19" s="159"/>
      <c r="I19" s="92">
        <f t="shared" ref="I19" si="2">SUM(I13:I18)</f>
        <v>3973.8405300000004</v>
      </c>
      <c r="J19" s="370"/>
      <c r="K19" s="92">
        <f t="shared" ref="K19" si="3">SUM(K13:K18)</f>
        <v>4203.9258966870011</v>
      </c>
    </row>
    <row r="20" spans="1:11" x14ac:dyDescent="0.25">
      <c r="A20" s="510" t="s">
        <v>19</v>
      </c>
      <c r="B20" s="511"/>
      <c r="C20" s="511"/>
      <c r="D20" s="511"/>
      <c r="E20" s="115"/>
      <c r="F20" s="159"/>
      <c r="G20" s="160"/>
      <c r="H20" s="159"/>
      <c r="I20" s="160"/>
      <c r="J20" s="370"/>
      <c r="K20" s="371"/>
    </row>
    <row r="21" spans="1:11" x14ac:dyDescent="0.25">
      <c r="A21" s="173"/>
      <c r="B21" s="174"/>
      <c r="C21" s="174"/>
      <c r="D21" s="175"/>
      <c r="E21" s="115"/>
      <c r="F21" s="159"/>
      <c r="G21" s="160"/>
      <c r="H21" s="159"/>
      <c r="I21" s="160"/>
      <c r="J21" s="370"/>
      <c r="K21" s="371"/>
    </row>
    <row r="22" spans="1:11" x14ac:dyDescent="0.25">
      <c r="A22" s="466" t="s">
        <v>20</v>
      </c>
      <c r="B22" s="467"/>
      <c r="C22" s="467"/>
      <c r="D22" s="503"/>
      <c r="E22" s="115"/>
      <c r="F22" s="159"/>
      <c r="G22" s="160"/>
      <c r="H22" s="159"/>
      <c r="I22" s="160"/>
      <c r="J22" s="370"/>
      <c r="K22" s="371"/>
    </row>
    <row r="23" spans="1:11" x14ac:dyDescent="0.25">
      <c r="A23" s="466" t="s">
        <v>164</v>
      </c>
      <c r="B23" s="467"/>
      <c r="C23" s="467"/>
      <c r="D23" s="503"/>
      <c r="E23" s="115"/>
      <c r="F23" s="159"/>
      <c r="G23" s="160"/>
      <c r="H23" s="159"/>
      <c r="I23" s="160"/>
      <c r="J23" s="370"/>
      <c r="K23" s="371"/>
    </row>
    <row r="24" spans="1:11" x14ac:dyDescent="0.25">
      <c r="A24" s="176" t="s">
        <v>21</v>
      </c>
      <c r="B24" s="177" t="s">
        <v>163</v>
      </c>
      <c r="C24" s="178" t="s">
        <v>26</v>
      </c>
      <c r="D24" s="179" t="s">
        <v>5</v>
      </c>
      <c r="E24" s="169" t="s">
        <v>5</v>
      </c>
      <c r="F24" s="245"/>
      <c r="G24" s="171" t="s">
        <v>5</v>
      </c>
      <c r="H24" s="245"/>
      <c r="I24" s="171" t="s">
        <v>5</v>
      </c>
      <c r="J24" s="245"/>
      <c r="K24" s="378" t="s">
        <v>5</v>
      </c>
    </row>
    <row r="25" spans="1:11" x14ac:dyDescent="0.25">
      <c r="A25" s="181" t="s">
        <v>6</v>
      </c>
      <c r="B25" s="182" t="s">
        <v>22</v>
      </c>
      <c r="C25" s="183">
        <f>(1/11)</f>
        <v>9.0909090909090912E-2</v>
      </c>
      <c r="D25" s="184">
        <f>$C25*D$19</f>
        <v>315.4818181818182</v>
      </c>
      <c r="E25" s="83">
        <f>$C25*E$19</f>
        <v>328.41657272727275</v>
      </c>
      <c r="F25" s="117"/>
      <c r="G25" s="92">
        <f>$C25*G$19</f>
        <v>361.25823000000003</v>
      </c>
      <c r="H25" s="117"/>
      <c r="I25" s="92">
        <f>$C25*I$19</f>
        <v>361.25823000000003</v>
      </c>
      <c r="J25" s="117"/>
      <c r="K25" s="92">
        <f>$C25*K$19</f>
        <v>382.17508151700014</v>
      </c>
    </row>
    <row r="26" spans="1:11" x14ac:dyDescent="0.25">
      <c r="A26" s="181" t="s">
        <v>8</v>
      </c>
      <c r="B26" s="182" t="s">
        <v>162</v>
      </c>
      <c r="C26" s="183">
        <f>((1/3)*(1/11))+1/11</f>
        <v>0.12121212121212122</v>
      </c>
      <c r="D26" s="184">
        <f>$C26*D$19</f>
        <v>420.64242424242428</v>
      </c>
      <c r="E26" s="83">
        <f>$C26*E$19</f>
        <v>437.88876363636365</v>
      </c>
      <c r="F26" s="117"/>
      <c r="G26" s="92">
        <f>$C26*G$19</f>
        <v>481.67764000000005</v>
      </c>
      <c r="H26" s="117"/>
      <c r="I26" s="92">
        <f>$C26*I$19</f>
        <v>481.67764000000005</v>
      </c>
      <c r="J26" s="117"/>
      <c r="K26" s="92">
        <f>$C26*K$19</f>
        <v>509.56677535600016</v>
      </c>
    </row>
    <row r="27" spans="1:11" x14ac:dyDescent="0.25">
      <c r="A27" s="466" t="s">
        <v>18</v>
      </c>
      <c r="B27" s="467"/>
      <c r="C27" s="186">
        <f>SUM(C25:C26)</f>
        <v>0.21212121212121213</v>
      </c>
      <c r="D27" s="184">
        <f>SUM(D25:D26)</f>
        <v>736.12424242424254</v>
      </c>
      <c r="E27" s="83">
        <f>SUM(E25:E26)</f>
        <v>766.30533636363634</v>
      </c>
      <c r="F27" s="117"/>
      <c r="G27" s="92">
        <f>SUM(G25:G26)</f>
        <v>842.93587000000002</v>
      </c>
      <c r="H27" s="117"/>
      <c r="I27" s="92">
        <f>SUM(I25:I26)</f>
        <v>842.93587000000002</v>
      </c>
      <c r="J27" s="117"/>
      <c r="K27" s="92">
        <f>SUM(K25:K26)</f>
        <v>891.7418568730003</v>
      </c>
    </row>
    <row r="28" spans="1:11" x14ac:dyDescent="0.25">
      <c r="A28" s="501" t="s">
        <v>103</v>
      </c>
      <c r="B28" s="502"/>
      <c r="C28" s="502"/>
      <c r="D28" s="502"/>
      <c r="E28" s="115"/>
      <c r="F28" s="159"/>
      <c r="G28" s="160"/>
      <c r="H28" s="159"/>
      <c r="I28" s="160"/>
      <c r="J28" s="370"/>
      <c r="K28" s="371"/>
    </row>
    <row r="29" spans="1:11" x14ac:dyDescent="0.25">
      <c r="A29" s="501" t="s">
        <v>104</v>
      </c>
      <c r="B29" s="502"/>
      <c r="C29" s="502"/>
      <c r="D29" s="502"/>
      <c r="E29" s="115"/>
      <c r="F29" s="159"/>
      <c r="G29" s="160"/>
      <c r="H29" s="159"/>
      <c r="I29" s="160"/>
      <c r="J29" s="370"/>
      <c r="K29" s="371"/>
    </row>
    <row r="30" spans="1:11" x14ac:dyDescent="0.25">
      <c r="A30" s="501" t="s">
        <v>105</v>
      </c>
      <c r="B30" s="502"/>
      <c r="C30" s="502"/>
      <c r="D30" s="502"/>
      <c r="E30" s="115"/>
      <c r="F30" s="159"/>
      <c r="G30" s="160"/>
      <c r="H30" s="159"/>
      <c r="I30" s="160"/>
      <c r="J30" s="370"/>
      <c r="K30" s="371"/>
    </row>
    <row r="31" spans="1:11" x14ac:dyDescent="0.25">
      <c r="A31" s="173"/>
      <c r="B31" s="174"/>
      <c r="C31" s="174"/>
      <c r="D31" s="175"/>
      <c r="E31" s="115"/>
      <c r="F31" s="159"/>
      <c r="G31" s="160"/>
      <c r="H31" s="159"/>
      <c r="I31" s="160"/>
      <c r="J31" s="370"/>
      <c r="K31" s="371"/>
    </row>
    <row r="32" spans="1:11" x14ac:dyDescent="0.25">
      <c r="A32" s="471" t="s">
        <v>23</v>
      </c>
      <c r="B32" s="472"/>
      <c r="C32" s="472"/>
      <c r="D32" s="506"/>
      <c r="E32" s="115"/>
      <c r="F32" s="159"/>
      <c r="G32" s="160"/>
      <c r="H32" s="159"/>
      <c r="I32" s="160"/>
      <c r="J32" s="370"/>
      <c r="K32" s="371"/>
    </row>
    <row r="33" spans="1:11" x14ac:dyDescent="0.25">
      <c r="A33" s="187" t="s">
        <v>24</v>
      </c>
      <c r="B33" s="178" t="s">
        <v>25</v>
      </c>
      <c r="C33" s="178" t="s">
        <v>26</v>
      </c>
      <c r="D33" s="188" t="s">
        <v>5</v>
      </c>
      <c r="E33" s="189" t="s">
        <v>5</v>
      </c>
      <c r="F33" s="197" t="s">
        <v>26</v>
      </c>
      <c r="G33" s="93" t="s">
        <v>5</v>
      </c>
      <c r="H33" s="245"/>
      <c r="I33" s="93" t="s">
        <v>5</v>
      </c>
      <c r="J33" s="245"/>
      <c r="K33" s="93" t="s">
        <v>5</v>
      </c>
    </row>
    <row r="34" spans="1:11" x14ac:dyDescent="0.25">
      <c r="A34" s="181" t="s">
        <v>6</v>
      </c>
      <c r="B34" s="182" t="s">
        <v>27</v>
      </c>
      <c r="C34" s="191">
        <v>0</v>
      </c>
      <c r="D34" s="192">
        <f t="shared" ref="D34:E41" si="4">$C34*(D$19+D$27)</f>
        <v>0</v>
      </c>
      <c r="E34" s="87">
        <f t="shared" si="4"/>
        <v>0</v>
      </c>
      <c r="F34" s="107">
        <v>0</v>
      </c>
      <c r="G34" s="101">
        <f>$C34*(G$19+G$27)</f>
        <v>0</v>
      </c>
      <c r="H34" s="241"/>
      <c r="I34" s="101">
        <f>$C34*(I$19+I$27)</f>
        <v>0</v>
      </c>
      <c r="J34" s="107">
        <v>0</v>
      </c>
      <c r="K34" s="101">
        <f>$J34*(K$19+K$27)</f>
        <v>0</v>
      </c>
    </row>
    <row r="35" spans="1:11" x14ac:dyDescent="0.25">
      <c r="A35" s="181" t="s">
        <v>8</v>
      </c>
      <c r="B35" s="182" t="s">
        <v>28</v>
      </c>
      <c r="C35" s="191">
        <v>2.5000000000000001E-2</v>
      </c>
      <c r="D35" s="192">
        <f t="shared" si="4"/>
        <v>105.16060606060609</v>
      </c>
      <c r="E35" s="87">
        <f t="shared" si="4"/>
        <v>109.47219090909091</v>
      </c>
      <c r="F35" s="107">
        <v>2.5000000000000001E-2</v>
      </c>
      <c r="G35" s="101">
        <f>$C35*(G$19+G$27)</f>
        <v>120.41941000000003</v>
      </c>
      <c r="H35" s="241"/>
      <c r="I35" s="101">
        <f>$C35*(I$19+I$27)</f>
        <v>120.41941000000003</v>
      </c>
      <c r="J35" s="107">
        <v>2.5000000000000001E-2</v>
      </c>
      <c r="K35" s="101">
        <f>$J35*(K$19+K$27)</f>
        <v>127.39169383900003</v>
      </c>
    </row>
    <row r="36" spans="1:11" x14ac:dyDescent="0.25">
      <c r="A36" s="181" t="s">
        <v>10</v>
      </c>
      <c r="B36" s="182" t="s">
        <v>106</v>
      </c>
      <c r="C36" s="191">
        <f>2%*1.2718</f>
        <v>2.5436E-2</v>
      </c>
      <c r="D36" s="192">
        <f t="shared" si="4"/>
        <v>106.99460703030304</v>
      </c>
      <c r="E36" s="87">
        <f t="shared" si="4"/>
        <v>111.38138591854546</v>
      </c>
      <c r="F36" s="107">
        <f>2%*1.0115</f>
        <v>2.0230000000000001E-2</v>
      </c>
      <c r="G36" s="101">
        <f>$F$36*(G$19+G$27)</f>
        <v>97.443386572000023</v>
      </c>
      <c r="H36" s="241"/>
      <c r="I36" s="101">
        <f>$F$36*(I$19+I$27)</f>
        <v>97.443386572000023</v>
      </c>
      <c r="J36" s="107">
        <f>2%*0.5</f>
        <v>0.01</v>
      </c>
      <c r="K36" s="101">
        <f>$J$36*(K$19+K$27)</f>
        <v>50.956677535600015</v>
      </c>
    </row>
    <row r="37" spans="1:11" x14ac:dyDescent="0.25">
      <c r="A37" s="181" t="s">
        <v>12</v>
      </c>
      <c r="B37" s="182" t="s">
        <v>29</v>
      </c>
      <c r="C37" s="191">
        <v>1.4999999999999999E-2</v>
      </c>
      <c r="D37" s="192">
        <f t="shared" si="4"/>
        <v>63.096363636363641</v>
      </c>
      <c r="E37" s="87">
        <f t="shared" si="4"/>
        <v>65.68331454545455</v>
      </c>
      <c r="F37" s="107">
        <v>1.4999999999999999E-2</v>
      </c>
      <c r="G37" s="101">
        <f>$C37*(G$19+G$27)</f>
        <v>72.251646000000008</v>
      </c>
      <c r="H37" s="241"/>
      <c r="I37" s="101">
        <f>$C37*(I$19+I$27)</f>
        <v>72.251646000000008</v>
      </c>
      <c r="J37" s="107">
        <v>1.4999999999999999E-2</v>
      </c>
      <c r="K37" s="101">
        <f>$J37*(K$19+K$27)</f>
        <v>76.435016303400019</v>
      </c>
    </row>
    <row r="38" spans="1:11" x14ac:dyDescent="0.25">
      <c r="A38" s="181" t="s">
        <v>14</v>
      </c>
      <c r="B38" s="182" t="s">
        <v>30</v>
      </c>
      <c r="C38" s="191">
        <v>0.01</v>
      </c>
      <c r="D38" s="192">
        <f t="shared" si="4"/>
        <v>42.06424242424243</v>
      </c>
      <c r="E38" s="87">
        <f t="shared" si="4"/>
        <v>43.788876363636362</v>
      </c>
      <c r="F38" s="107">
        <v>0.01</v>
      </c>
      <c r="G38" s="101">
        <f>$C38*(G$19+G$27)</f>
        <v>48.167764000000005</v>
      </c>
      <c r="H38" s="241"/>
      <c r="I38" s="101">
        <f>$C38*(I$19+I$27)</f>
        <v>48.167764000000005</v>
      </c>
      <c r="J38" s="107">
        <v>0.01</v>
      </c>
      <c r="K38" s="101">
        <f>$J38*(K$19+K$27)</f>
        <v>50.956677535600015</v>
      </c>
    </row>
    <row r="39" spans="1:11" x14ac:dyDescent="0.25">
      <c r="A39" s="181" t="s">
        <v>16</v>
      </c>
      <c r="B39" s="182" t="s">
        <v>31</v>
      </c>
      <c r="C39" s="191">
        <v>6.0000000000000001E-3</v>
      </c>
      <c r="D39" s="192">
        <f t="shared" si="4"/>
        <v>25.238545454545459</v>
      </c>
      <c r="E39" s="87">
        <f t="shared" si="4"/>
        <v>26.273325818181817</v>
      </c>
      <c r="F39" s="107">
        <v>6.0000000000000001E-3</v>
      </c>
      <c r="G39" s="101">
        <f>$C39*(G$19+G$27)</f>
        <v>28.900658400000005</v>
      </c>
      <c r="H39" s="241"/>
      <c r="I39" s="101">
        <f>$C39*(I$19+I$27)</f>
        <v>28.900658400000005</v>
      </c>
      <c r="J39" s="107">
        <v>6.0000000000000001E-3</v>
      </c>
      <c r="K39" s="101">
        <f>$J39*(K$19+K$27)</f>
        <v>30.574006521360008</v>
      </c>
    </row>
    <row r="40" spans="1:11" x14ac:dyDescent="0.25">
      <c r="A40" s="181" t="s">
        <v>32</v>
      </c>
      <c r="B40" s="182" t="s">
        <v>33</v>
      </c>
      <c r="C40" s="191">
        <v>2E-3</v>
      </c>
      <c r="D40" s="192">
        <f t="shared" si="4"/>
        <v>8.4128484848484852</v>
      </c>
      <c r="E40" s="87">
        <f t="shared" si="4"/>
        <v>8.7577752727272724</v>
      </c>
      <c r="F40" s="107">
        <v>2E-3</v>
      </c>
      <c r="G40" s="101">
        <f>$C40*(G$19+G$27)</f>
        <v>9.6335528000000021</v>
      </c>
      <c r="H40" s="241"/>
      <c r="I40" s="101">
        <f>$C40*(I$19+I$27)</f>
        <v>9.6335528000000021</v>
      </c>
      <c r="J40" s="107">
        <v>2E-3</v>
      </c>
      <c r="K40" s="101">
        <f>$J40*(K$19+K$27)</f>
        <v>10.191335507120002</v>
      </c>
    </row>
    <row r="41" spans="1:11" x14ac:dyDescent="0.25">
      <c r="A41" s="181" t="s">
        <v>34</v>
      </c>
      <c r="B41" s="182" t="s">
        <v>35</v>
      </c>
      <c r="C41" s="191">
        <v>0.08</v>
      </c>
      <c r="D41" s="192">
        <f t="shared" si="4"/>
        <v>336.51393939393944</v>
      </c>
      <c r="E41" s="87">
        <f t="shared" si="4"/>
        <v>350.3110109090909</v>
      </c>
      <c r="F41" s="107">
        <v>0.08</v>
      </c>
      <c r="G41" s="101">
        <f>$C41*(G$19+G$27)</f>
        <v>385.34211200000004</v>
      </c>
      <c r="H41" s="241"/>
      <c r="I41" s="101">
        <f>$C41*(I$19+I$27)</f>
        <v>385.34211200000004</v>
      </c>
      <c r="J41" s="107">
        <v>0.08</v>
      </c>
      <c r="K41" s="101">
        <f>$J41*(K$19+K$27)</f>
        <v>407.65342028480012</v>
      </c>
    </row>
    <row r="42" spans="1:11" x14ac:dyDescent="0.25">
      <c r="A42" s="499" t="s">
        <v>18</v>
      </c>
      <c r="B42" s="500"/>
      <c r="C42" s="193">
        <f>SUM(C34:C41)</f>
        <v>0.163436</v>
      </c>
      <c r="D42" s="192">
        <f>SUM(D34:D41)</f>
        <v>687.48115248484851</v>
      </c>
      <c r="E42" s="87">
        <f>SUM(E34:E41)</f>
        <v>715.66787973672729</v>
      </c>
      <c r="F42" s="194">
        <f t="shared" ref="F42" si="5">SUM(F34:F41)</f>
        <v>0.15823000000000001</v>
      </c>
      <c r="G42" s="101">
        <f>SUM(G34:G41)</f>
        <v>762.15852977200007</v>
      </c>
      <c r="H42" s="241"/>
      <c r="I42" s="101">
        <f>SUM(I34:I41)</f>
        <v>762.15852977200007</v>
      </c>
      <c r="J42" s="194">
        <f t="shared" ref="J42" si="6">SUM(J34:J41)</f>
        <v>0.14800000000000002</v>
      </c>
      <c r="K42" s="101">
        <f>SUM(K34:K41)</f>
        <v>754.15882752688026</v>
      </c>
    </row>
    <row r="43" spans="1:11" x14ac:dyDescent="0.25">
      <c r="A43" s="501" t="s">
        <v>109</v>
      </c>
      <c r="B43" s="502"/>
      <c r="C43" s="502"/>
      <c r="D43" s="502"/>
      <c r="E43" s="115"/>
      <c r="F43" s="159"/>
      <c r="G43" s="160"/>
      <c r="H43" s="159"/>
      <c r="I43" s="160"/>
      <c r="J43" s="370"/>
      <c r="K43" s="371"/>
    </row>
    <row r="44" spans="1:11" x14ac:dyDescent="0.25">
      <c r="A44" s="501" t="s">
        <v>107</v>
      </c>
      <c r="B44" s="502"/>
      <c r="C44" s="502"/>
      <c r="D44" s="502"/>
      <c r="E44" s="115"/>
      <c r="F44" s="159"/>
      <c r="G44" s="160"/>
      <c r="H44" s="159"/>
      <c r="I44" s="160"/>
      <c r="J44" s="370"/>
      <c r="K44" s="371"/>
    </row>
    <row r="45" spans="1:11" x14ac:dyDescent="0.25">
      <c r="A45" s="501" t="s">
        <v>108</v>
      </c>
      <c r="B45" s="502"/>
      <c r="C45" s="502"/>
      <c r="D45" s="502"/>
      <c r="E45" s="115"/>
      <c r="F45" s="159"/>
      <c r="G45" s="160"/>
      <c r="H45" s="159"/>
      <c r="I45" s="160"/>
      <c r="J45" s="370"/>
      <c r="K45" s="371"/>
    </row>
    <row r="46" spans="1:11" x14ac:dyDescent="0.25">
      <c r="A46" s="501" t="s">
        <v>113</v>
      </c>
      <c r="B46" s="502"/>
      <c r="C46" s="502"/>
      <c r="D46" s="502"/>
      <c r="E46" s="115"/>
      <c r="F46" s="159"/>
      <c r="G46" s="160"/>
      <c r="H46" s="159"/>
      <c r="I46" s="160"/>
      <c r="J46" s="370"/>
      <c r="K46" s="371"/>
    </row>
    <row r="47" spans="1:11" x14ac:dyDescent="0.25">
      <c r="A47" s="501" t="s">
        <v>118</v>
      </c>
      <c r="B47" s="502"/>
      <c r="C47" s="502"/>
      <c r="D47" s="502"/>
      <c r="E47" s="115"/>
      <c r="F47" s="159"/>
      <c r="G47" s="160"/>
      <c r="H47" s="159"/>
      <c r="I47" s="160"/>
      <c r="J47" s="370"/>
      <c r="K47" s="371"/>
    </row>
    <row r="48" spans="1:11" x14ac:dyDescent="0.25">
      <c r="A48" s="173"/>
      <c r="B48" s="174"/>
      <c r="C48" s="174"/>
      <c r="D48" s="175"/>
      <c r="E48" s="115"/>
      <c r="F48" s="159"/>
      <c r="G48" s="160"/>
      <c r="H48" s="159"/>
      <c r="I48" s="160"/>
      <c r="J48" s="370"/>
      <c r="K48" s="371"/>
    </row>
    <row r="49" spans="1:11" x14ac:dyDescent="0.25">
      <c r="A49" s="471" t="s">
        <v>36</v>
      </c>
      <c r="B49" s="472"/>
      <c r="C49" s="472"/>
      <c r="D49" s="506"/>
      <c r="E49" s="115"/>
      <c r="F49" s="159"/>
      <c r="G49" s="160"/>
      <c r="H49" s="159"/>
      <c r="I49" s="160"/>
      <c r="J49" s="370"/>
      <c r="K49" s="371"/>
    </row>
    <row r="50" spans="1:11" x14ac:dyDescent="0.25">
      <c r="A50" s="187" t="s">
        <v>37</v>
      </c>
      <c r="B50" s="178" t="s">
        <v>38</v>
      </c>
      <c r="C50" s="167" t="s">
        <v>96</v>
      </c>
      <c r="D50" s="168" t="s">
        <v>5</v>
      </c>
      <c r="E50" s="189" t="s">
        <v>5</v>
      </c>
      <c r="F50" s="245"/>
      <c r="G50" s="93" t="s">
        <v>5</v>
      </c>
      <c r="H50" s="245"/>
      <c r="I50" s="93" t="s">
        <v>5</v>
      </c>
      <c r="J50" s="245"/>
      <c r="K50" s="93" t="s">
        <v>5</v>
      </c>
    </row>
    <row r="51" spans="1:11" x14ac:dyDescent="0.25">
      <c r="A51" s="181" t="s">
        <v>6</v>
      </c>
      <c r="B51" s="182" t="s">
        <v>39</v>
      </c>
      <c r="C51" s="195">
        <v>22</v>
      </c>
      <c r="D51" s="184">
        <f>IF(((5.5*2*$C51)-D$19*6%)&lt;0,0,((5.5*2*$C51)-D$19*6%))</f>
        <v>33.782000000000011</v>
      </c>
      <c r="E51" s="83">
        <f>IF(((5.5*2*$C51)-E$19*6%)&lt;0,0,((5.5*2*$C51)-E$19*6%))</f>
        <v>25.245062000000019</v>
      </c>
      <c r="F51" s="247"/>
      <c r="G51" s="92">
        <f>IF(((5.5*2*$C51)-G$19*6%)&lt;0,0,((5.5*2*$C51)-G$19*6%))</f>
        <v>3.569568199999992</v>
      </c>
      <c r="H51" s="247"/>
      <c r="I51" s="92">
        <f>IF(((5.5*2*$C51)-I$19*6%)&lt;0,0,((5.5*2*$C51)-I$19*6%))</f>
        <v>3.569568199999992</v>
      </c>
      <c r="J51" s="247"/>
      <c r="K51" s="92">
        <f>IF(((5.5*2*$C51)-K$19*6%)&lt;0,0,((5.5*2*$C51)-K$19*6%))</f>
        <v>0</v>
      </c>
    </row>
    <row r="52" spans="1:11" x14ac:dyDescent="0.25">
      <c r="A52" s="181" t="s">
        <v>8</v>
      </c>
      <c r="B52" s="182" t="s">
        <v>40</v>
      </c>
      <c r="C52" s="195">
        <v>22</v>
      </c>
      <c r="D52" s="184">
        <f>($C52*34.44)-($C52*0.3)</f>
        <v>751.07999999999993</v>
      </c>
      <c r="E52" s="83">
        <f>($C52*35.85)-($C52*0.3)</f>
        <v>782.1</v>
      </c>
      <c r="F52" s="247"/>
      <c r="G52" s="92">
        <f>($C52*38.72)-($C52*0.3)</f>
        <v>845.2399999999999</v>
      </c>
      <c r="H52" s="247"/>
      <c r="I52" s="92">
        <f>($C52*38.72)-($C52*0.3)</f>
        <v>845.2399999999999</v>
      </c>
      <c r="J52" s="247"/>
      <c r="K52" s="92">
        <f>($C52*40.96)-($C52*0.3)</f>
        <v>894.52</v>
      </c>
    </row>
    <row r="53" spans="1:11" x14ac:dyDescent="0.25">
      <c r="A53" s="181" t="s">
        <v>10</v>
      </c>
      <c r="B53" s="182" t="s">
        <v>41</v>
      </c>
      <c r="C53" s="195"/>
      <c r="D53" s="184">
        <v>221.88</v>
      </c>
      <c r="E53" s="83">
        <v>221.88</v>
      </c>
      <c r="F53" s="247"/>
      <c r="G53" s="92">
        <v>221.88</v>
      </c>
      <c r="H53" s="247"/>
      <c r="I53" s="92">
        <v>221.88</v>
      </c>
      <c r="J53" s="247"/>
      <c r="K53" s="92">
        <v>234.73</v>
      </c>
    </row>
    <row r="54" spans="1:11" x14ac:dyDescent="0.25">
      <c r="A54" s="181" t="s">
        <v>12</v>
      </c>
      <c r="B54" s="182" t="s">
        <v>97</v>
      </c>
      <c r="C54" s="195"/>
      <c r="D54" s="184">
        <v>0</v>
      </c>
      <c r="E54" s="83">
        <v>0</v>
      </c>
      <c r="F54" s="247"/>
      <c r="G54" s="92">
        <v>0</v>
      </c>
      <c r="H54" s="247"/>
      <c r="I54" s="92">
        <v>0</v>
      </c>
      <c r="J54" s="247"/>
      <c r="K54" s="92">
        <v>0</v>
      </c>
    </row>
    <row r="55" spans="1:11" x14ac:dyDescent="0.25">
      <c r="A55" s="181" t="s">
        <v>14</v>
      </c>
      <c r="B55" s="182" t="s">
        <v>158</v>
      </c>
      <c r="C55" s="195">
        <v>1</v>
      </c>
      <c r="D55" s="184">
        <v>1.41</v>
      </c>
      <c r="E55" s="83">
        <v>1.41</v>
      </c>
      <c r="F55" s="247"/>
      <c r="G55" s="92">
        <v>1.41</v>
      </c>
      <c r="H55" s="247"/>
      <c r="I55" s="92">
        <v>1.41</v>
      </c>
      <c r="J55" s="247"/>
      <c r="K55" s="92">
        <v>1.41</v>
      </c>
    </row>
    <row r="56" spans="1:11" x14ac:dyDescent="0.25">
      <c r="A56" s="466" t="s">
        <v>18</v>
      </c>
      <c r="B56" s="467"/>
      <c r="C56" s="467"/>
      <c r="D56" s="184">
        <f>SUM(D51:D55)</f>
        <v>1008.1519999999999</v>
      </c>
      <c r="E56" s="83">
        <f t="shared" ref="E56" si="7">SUM(E51:E55)</f>
        <v>1030.6350620000001</v>
      </c>
      <c r="F56" s="247"/>
      <c r="G56" s="92">
        <f t="shared" ref="G56" si="8">SUM(G51:G55)</f>
        <v>1072.0995682</v>
      </c>
      <c r="H56" s="247"/>
      <c r="I56" s="92">
        <f t="shared" ref="I56" si="9">SUM(I51:I55)</f>
        <v>1072.0995682</v>
      </c>
      <c r="J56" s="247"/>
      <c r="K56" s="92">
        <f t="shared" ref="K56" si="10">SUM(K51:K55)</f>
        <v>1130.6600000000001</v>
      </c>
    </row>
    <row r="57" spans="1:11" x14ac:dyDescent="0.25">
      <c r="A57" s="501" t="s">
        <v>44</v>
      </c>
      <c r="B57" s="502"/>
      <c r="C57" s="502"/>
      <c r="D57" s="502"/>
      <c r="E57" s="115"/>
      <c r="F57" s="159"/>
      <c r="G57" s="160"/>
      <c r="H57" s="159"/>
      <c r="I57" s="160"/>
      <c r="J57" s="370"/>
      <c r="K57" s="371"/>
    </row>
    <row r="58" spans="1:11" x14ac:dyDescent="0.25">
      <c r="A58" s="501" t="s">
        <v>110</v>
      </c>
      <c r="B58" s="502"/>
      <c r="C58" s="502"/>
      <c r="D58" s="502"/>
      <c r="E58" s="115"/>
      <c r="F58" s="159"/>
      <c r="G58" s="160"/>
      <c r="H58" s="159"/>
      <c r="I58" s="160"/>
      <c r="J58" s="370"/>
      <c r="K58" s="371"/>
    </row>
    <row r="59" spans="1:11" x14ac:dyDescent="0.25">
      <c r="A59" s="173"/>
      <c r="B59" s="174"/>
      <c r="C59" s="174"/>
      <c r="D59" s="175"/>
      <c r="E59" s="115"/>
      <c r="F59" s="159"/>
      <c r="G59" s="160"/>
      <c r="H59" s="159"/>
      <c r="I59" s="160"/>
      <c r="J59" s="370"/>
      <c r="K59" s="371"/>
    </row>
    <row r="60" spans="1:11" x14ac:dyDescent="0.25">
      <c r="A60" s="471" t="s">
        <v>42</v>
      </c>
      <c r="B60" s="472"/>
      <c r="C60" s="472"/>
      <c r="D60" s="506"/>
      <c r="E60" s="115"/>
      <c r="F60" s="159"/>
      <c r="G60" s="160"/>
      <c r="H60" s="159"/>
      <c r="I60" s="160"/>
      <c r="J60" s="370"/>
      <c r="K60" s="371"/>
    </row>
    <row r="61" spans="1:11" x14ac:dyDescent="0.25">
      <c r="A61" s="197">
        <v>2</v>
      </c>
      <c r="B61" s="476" t="s">
        <v>43</v>
      </c>
      <c r="C61" s="476"/>
      <c r="D61" s="168" t="s">
        <v>5</v>
      </c>
      <c r="E61" s="189" t="s">
        <v>5</v>
      </c>
      <c r="F61" s="159"/>
      <c r="G61" s="93" t="s">
        <v>5</v>
      </c>
      <c r="H61" s="159"/>
      <c r="I61" s="93" t="s">
        <v>5</v>
      </c>
      <c r="J61" s="370"/>
      <c r="K61" s="93" t="s">
        <v>5</v>
      </c>
    </row>
    <row r="62" spans="1:11" x14ac:dyDescent="0.25">
      <c r="A62" s="161" t="s">
        <v>21</v>
      </c>
      <c r="B62" s="474" t="s">
        <v>163</v>
      </c>
      <c r="C62" s="474"/>
      <c r="D62" s="184">
        <f>D27</f>
        <v>736.12424242424254</v>
      </c>
      <c r="E62" s="83">
        <f t="shared" ref="E62" si="11">E27</f>
        <v>766.30533636363634</v>
      </c>
      <c r="F62" s="159"/>
      <c r="G62" s="92">
        <f t="shared" ref="G62" si="12">G27</f>
        <v>842.93587000000002</v>
      </c>
      <c r="H62" s="159"/>
      <c r="I62" s="92">
        <f t="shared" ref="I62" si="13">I27</f>
        <v>842.93587000000002</v>
      </c>
      <c r="J62" s="370"/>
      <c r="K62" s="92">
        <f t="shared" ref="K62" si="14">K27</f>
        <v>891.7418568730003</v>
      </c>
    </row>
    <row r="63" spans="1:11" x14ac:dyDescent="0.25">
      <c r="A63" s="161" t="s">
        <v>24</v>
      </c>
      <c r="B63" s="475" t="s">
        <v>25</v>
      </c>
      <c r="C63" s="475"/>
      <c r="D63" s="184">
        <f>D42</f>
        <v>687.48115248484851</v>
      </c>
      <c r="E63" s="83">
        <f t="shared" ref="E63" si="15">E42</f>
        <v>715.66787973672729</v>
      </c>
      <c r="F63" s="159"/>
      <c r="G63" s="92">
        <f t="shared" ref="G63" si="16">G42</f>
        <v>762.15852977200007</v>
      </c>
      <c r="H63" s="159"/>
      <c r="I63" s="92">
        <f t="shared" ref="I63" si="17">I42</f>
        <v>762.15852977200007</v>
      </c>
      <c r="J63" s="370"/>
      <c r="K63" s="92">
        <f t="shared" ref="K63" si="18">K42</f>
        <v>754.15882752688026</v>
      </c>
    </row>
    <row r="64" spans="1:11" x14ac:dyDescent="0.25">
      <c r="A64" s="161" t="s">
        <v>37</v>
      </c>
      <c r="B64" s="475" t="s">
        <v>38</v>
      </c>
      <c r="C64" s="475"/>
      <c r="D64" s="184">
        <f>D56</f>
        <v>1008.1519999999999</v>
      </c>
      <c r="E64" s="83">
        <f t="shared" ref="E64" si="19">E56</f>
        <v>1030.6350620000001</v>
      </c>
      <c r="F64" s="159"/>
      <c r="G64" s="92">
        <f t="shared" ref="G64" si="20">G56</f>
        <v>1072.0995682</v>
      </c>
      <c r="H64" s="159"/>
      <c r="I64" s="92">
        <f t="shared" ref="I64" si="21">I56</f>
        <v>1072.0995682</v>
      </c>
      <c r="J64" s="370"/>
      <c r="K64" s="92">
        <f t="shared" ref="K64" si="22">K56</f>
        <v>1130.6600000000001</v>
      </c>
    </row>
    <row r="65" spans="1:11" x14ac:dyDescent="0.25">
      <c r="A65" s="499" t="s">
        <v>18</v>
      </c>
      <c r="B65" s="507"/>
      <c r="C65" s="500"/>
      <c r="D65" s="184">
        <f>SUM(D62:D64)</f>
        <v>2431.7573949090911</v>
      </c>
      <c r="E65" s="83">
        <f t="shared" ref="E65" si="23">SUM(E62:E64)</f>
        <v>2512.6082781003633</v>
      </c>
      <c r="F65" s="159"/>
      <c r="G65" s="92">
        <f t="shared" ref="G65" si="24">SUM(G62:G64)</f>
        <v>2677.1939679719999</v>
      </c>
      <c r="H65" s="159"/>
      <c r="I65" s="92">
        <f t="shared" ref="I65" si="25">SUM(I62:I64)</f>
        <v>2677.1939679719999</v>
      </c>
      <c r="J65" s="370"/>
      <c r="K65" s="92">
        <f t="shared" ref="K65" si="26">SUM(K62:K64)</f>
        <v>2776.5606843998803</v>
      </c>
    </row>
    <row r="66" spans="1:11" x14ac:dyDescent="0.25">
      <c r="A66" s="173"/>
      <c r="B66" s="174"/>
      <c r="C66" s="174"/>
      <c r="D66" s="175"/>
      <c r="E66" s="115"/>
      <c r="F66" s="159"/>
      <c r="G66" s="160"/>
      <c r="H66" s="159"/>
      <c r="I66" s="160"/>
      <c r="J66" s="370"/>
      <c r="K66" s="371"/>
    </row>
    <row r="67" spans="1:11" x14ac:dyDescent="0.25">
      <c r="A67" s="471" t="s">
        <v>77</v>
      </c>
      <c r="B67" s="472"/>
      <c r="C67" s="472"/>
      <c r="D67" s="506"/>
      <c r="E67" s="115"/>
      <c r="F67" s="159"/>
      <c r="G67" s="160"/>
      <c r="H67" s="159"/>
      <c r="I67" s="160"/>
      <c r="J67" s="370"/>
      <c r="K67" s="371"/>
    </row>
    <row r="68" spans="1:11" x14ac:dyDescent="0.25">
      <c r="A68" s="197">
        <v>3</v>
      </c>
      <c r="B68" s="178" t="s">
        <v>45</v>
      </c>
      <c r="C68" s="178" t="s">
        <v>26</v>
      </c>
      <c r="D68" s="168" t="s">
        <v>5</v>
      </c>
      <c r="E68" s="189" t="s">
        <v>5</v>
      </c>
      <c r="F68" s="197" t="s">
        <v>26</v>
      </c>
      <c r="G68" s="93" t="s">
        <v>5</v>
      </c>
      <c r="H68" s="197" t="s">
        <v>26</v>
      </c>
      <c r="I68" s="93" t="s">
        <v>5</v>
      </c>
      <c r="J68" s="197" t="s">
        <v>26</v>
      </c>
      <c r="K68" s="93" t="s">
        <v>5</v>
      </c>
    </row>
    <row r="69" spans="1:11" x14ac:dyDescent="0.25">
      <c r="A69" s="161" t="s">
        <v>6</v>
      </c>
      <c r="B69" s="163" t="s">
        <v>46</v>
      </c>
      <c r="C69" s="191">
        <f>(1/12)*5%</f>
        <v>4.1666666666666666E-3</v>
      </c>
      <c r="D69" s="202">
        <f t="shared" ref="D69:E75" si="27">$C69*(D$19+D$27)</f>
        <v>17.52676767676768</v>
      </c>
      <c r="E69" s="83">
        <f t="shared" si="27"/>
        <v>18.245365151515152</v>
      </c>
      <c r="F69" s="107">
        <f>(1/12)*5%</f>
        <v>4.1666666666666666E-3</v>
      </c>
      <c r="G69" s="92">
        <f>F69*($G$19+$G$27)</f>
        <v>20.06990166666667</v>
      </c>
      <c r="H69" s="107">
        <f>(1/12)*5%</f>
        <v>4.1666666666666666E-3</v>
      </c>
      <c r="I69" s="92">
        <f>H69*($G$19+$G$27)</f>
        <v>20.06990166666667</v>
      </c>
      <c r="J69" s="107">
        <f>(1/12)*5%</f>
        <v>4.1666666666666666E-3</v>
      </c>
      <c r="K69" s="92">
        <f t="shared" ref="K69:K75" si="28">J69*(K$19+K$27)</f>
        <v>21.23194897316667</v>
      </c>
    </row>
    <row r="70" spans="1:11" ht="30" x14ac:dyDescent="0.25">
      <c r="A70" s="161" t="s">
        <v>8</v>
      </c>
      <c r="B70" s="163" t="s">
        <v>47</v>
      </c>
      <c r="C70" s="191">
        <f>C69*C41</f>
        <v>3.3333333333333332E-4</v>
      </c>
      <c r="D70" s="202">
        <f t="shared" si="27"/>
        <v>1.4021414141414144</v>
      </c>
      <c r="E70" s="83">
        <f t="shared" si="27"/>
        <v>1.459629212121212</v>
      </c>
      <c r="F70" s="107">
        <f>F69*F41</f>
        <v>3.3333333333333332E-4</v>
      </c>
      <c r="G70" s="92">
        <f t="shared" ref="G70:G75" si="29">F70*($G$19+$G$27)</f>
        <v>1.6055921333333334</v>
      </c>
      <c r="H70" s="107">
        <f>H69*F41</f>
        <v>3.3333333333333332E-4</v>
      </c>
      <c r="I70" s="92">
        <f t="shared" ref="I70:I75" si="30">H70*($G$19+$G$27)</f>
        <v>1.6055921333333334</v>
      </c>
      <c r="J70" s="107">
        <f>J69*F41</f>
        <v>3.3333333333333332E-4</v>
      </c>
      <c r="K70" s="92">
        <f t="shared" si="28"/>
        <v>1.6985559178533336</v>
      </c>
    </row>
    <row r="71" spans="1:11" ht="30" x14ac:dyDescent="0.25">
      <c r="A71" s="161" t="s">
        <v>10</v>
      </c>
      <c r="B71" s="163" t="s">
        <v>48</v>
      </c>
      <c r="C71" s="191">
        <f>C69*8%*40%</f>
        <v>1.3333333333333334E-4</v>
      </c>
      <c r="D71" s="202">
        <f t="shared" si="27"/>
        <v>0.56085656565656572</v>
      </c>
      <c r="E71" s="83">
        <f t="shared" si="27"/>
        <v>0.58385168484848493</v>
      </c>
      <c r="F71" s="107">
        <f>F69*8%*40%</f>
        <v>1.3333333333333334E-4</v>
      </c>
      <c r="G71" s="92">
        <f t="shared" si="29"/>
        <v>0.64223685333333347</v>
      </c>
      <c r="H71" s="107">
        <f>H69*8%*40%</f>
        <v>1.3333333333333334E-4</v>
      </c>
      <c r="I71" s="92">
        <f t="shared" si="30"/>
        <v>0.64223685333333347</v>
      </c>
      <c r="J71" s="107">
        <f>J69*8%*40%</f>
        <v>1.3333333333333334E-4</v>
      </c>
      <c r="K71" s="92">
        <f t="shared" si="28"/>
        <v>0.67942236714133353</v>
      </c>
    </row>
    <row r="72" spans="1:11" x14ac:dyDescent="0.25">
      <c r="A72" s="161" t="s">
        <v>12</v>
      </c>
      <c r="B72" s="163" t="s">
        <v>49</v>
      </c>
      <c r="C72" s="191">
        <f>(7/30/12)*100%</f>
        <v>1.9444444444444445E-2</v>
      </c>
      <c r="D72" s="202">
        <f t="shared" si="27"/>
        <v>81.791582491582503</v>
      </c>
      <c r="E72" s="83">
        <f t="shared" si="27"/>
        <v>85.145037373737381</v>
      </c>
      <c r="F72" s="107">
        <f>(7/30/12)*100%</f>
        <v>1.9444444444444445E-2</v>
      </c>
      <c r="G72" s="92">
        <f t="shared" si="29"/>
        <v>93.659541111111125</v>
      </c>
      <c r="H72" s="107">
        <v>1.9400000000000001E-3</v>
      </c>
      <c r="I72" s="92">
        <f t="shared" si="30"/>
        <v>9.3445462160000012</v>
      </c>
      <c r="J72" s="107">
        <v>1.9400000000000001E-3</v>
      </c>
      <c r="K72" s="92">
        <f t="shared" si="28"/>
        <v>9.8855954419064034</v>
      </c>
    </row>
    <row r="73" spans="1:11" ht="30" x14ac:dyDescent="0.25">
      <c r="A73" s="161" t="s">
        <v>14</v>
      </c>
      <c r="B73" s="163" t="s">
        <v>50</v>
      </c>
      <c r="C73" s="191">
        <f>C72*C42</f>
        <v>3.1779222222222221E-3</v>
      </c>
      <c r="D73" s="202">
        <f t="shared" si="27"/>
        <v>13.367689076094278</v>
      </c>
      <c r="E73" s="83">
        <f t="shared" si="27"/>
        <v>13.915764328214141</v>
      </c>
      <c r="F73" s="107">
        <f t="shared" ref="F73" si="31">F72*F42</f>
        <v>3.0766944444444448E-3</v>
      </c>
      <c r="G73" s="92">
        <f t="shared" si="29"/>
        <v>14.819749190011114</v>
      </c>
      <c r="H73" s="107">
        <f>H72*F42</f>
        <v>3.0696620000000006E-4</v>
      </c>
      <c r="I73" s="92">
        <f t="shared" si="30"/>
        <v>1.4785875477576804</v>
      </c>
      <c r="J73" s="107">
        <f>J72*F42</f>
        <v>3.0696620000000006E-4</v>
      </c>
      <c r="K73" s="92">
        <f t="shared" si="28"/>
        <v>1.5641977667728504</v>
      </c>
    </row>
    <row r="74" spans="1:11" ht="30" x14ac:dyDescent="0.25">
      <c r="A74" s="161" t="s">
        <v>16</v>
      </c>
      <c r="B74" s="163" t="s">
        <v>51</v>
      </c>
      <c r="C74" s="191">
        <f>C72*8%*40%</f>
        <v>6.2222222222222236E-4</v>
      </c>
      <c r="D74" s="202">
        <f t="shared" si="27"/>
        <v>2.6173306397306408</v>
      </c>
      <c r="E74" s="83">
        <f t="shared" si="27"/>
        <v>2.7246411959595966</v>
      </c>
      <c r="F74" s="107">
        <f>F72*8%*40%</f>
        <v>6.2222222222222236E-4</v>
      </c>
      <c r="G74" s="92">
        <f t="shared" si="29"/>
        <v>2.9971053155555567</v>
      </c>
      <c r="H74" s="107">
        <f>H72*8%*40%</f>
        <v>6.2080000000000002E-5</v>
      </c>
      <c r="I74" s="92">
        <f t="shared" si="30"/>
        <v>0.29902547891200004</v>
      </c>
      <c r="J74" s="107">
        <f>J72*8%*40%</f>
        <v>6.2080000000000002E-5</v>
      </c>
      <c r="K74" s="92">
        <f t="shared" si="28"/>
        <v>0.31633905414100488</v>
      </c>
    </row>
    <row r="75" spans="1:11" x14ac:dyDescent="0.25">
      <c r="A75" s="199" t="s">
        <v>32</v>
      </c>
      <c r="B75" s="200" t="s">
        <v>133</v>
      </c>
      <c r="C75" s="191">
        <v>3.49E-2</v>
      </c>
      <c r="D75" s="202">
        <f t="shared" si="27"/>
        <v>146.80420606060608</v>
      </c>
      <c r="E75" s="83">
        <f t="shared" si="27"/>
        <v>152.82317850909092</v>
      </c>
      <c r="F75" s="107">
        <v>3.49E-2</v>
      </c>
      <c r="G75" s="92">
        <f t="shared" si="29"/>
        <v>168.10549636000002</v>
      </c>
      <c r="H75" s="107">
        <v>3.49E-2</v>
      </c>
      <c r="I75" s="92">
        <f t="shared" si="30"/>
        <v>168.10549636000002</v>
      </c>
      <c r="J75" s="107">
        <v>3.49E-2</v>
      </c>
      <c r="K75" s="92">
        <f t="shared" si="28"/>
        <v>177.83880459924404</v>
      </c>
    </row>
    <row r="76" spans="1:11" x14ac:dyDescent="0.25">
      <c r="A76" s="499" t="s">
        <v>161</v>
      </c>
      <c r="B76" s="500"/>
      <c r="C76" s="186">
        <f>SUM(C69:C75)</f>
        <v>6.2777922222222227E-2</v>
      </c>
      <c r="D76" s="184">
        <f>SUM(D69:D75)</f>
        <v>264.07057392457915</v>
      </c>
      <c r="E76" s="83">
        <f t="shared" ref="E76:K76" si="32">SUM(E69:E75)</f>
        <v>274.89746745548689</v>
      </c>
      <c r="F76" s="108">
        <f t="shared" si="32"/>
        <v>6.2676694444444445E-2</v>
      </c>
      <c r="G76" s="92">
        <f t="shared" si="32"/>
        <v>301.89962263001115</v>
      </c>
      <c r="H76" s="108">
        <f t="shared" si="32"/>
        <v>4.1842379533333335E-2</v>
      </c>
      <c r="I76" s="92">
        <f t="shared" si="32"/>
        <v>201.54538625600304</v>
      </c>
      <c r="J76" s="108">
        <f t="shared" si="32"/>
        <v>4.1842379533333335E-2</v>
      </c>
      <c r="K76" s="92">
        <f t="shared" si="32"/>
        <v>213.21486412022563</v>
      </c>
    </row>
    <row r="77" spans="1:11" x14ac:dyDescent="0.25">
      <c r="A77" s="501" t="s">
        <v>111</v>
      </c>
      <c r="B77" s="502"/>
      <c r="C77" s="502"/>
      <c r="D77" s="502"/>
      <c r="E77" s="115"/>
      <c r="F77" s="159"/>
      <c r="G77" s="160"/>
      <c r="H77" s="170"/>
      <c r="I77" s="160"/>
      <c r="J77" s="170"/>
      <c r="K77" s="371"/>
    </row>
    <row r="78" spans="1:11" x14ac:dyDescent="0.25">
      <c r="A78" s="501" t="s">
        <v>119</v>
      </c>
      <c r="B78" s="502"/>
      <c r="C78" s="502"/>
      <c r="D78" s="502"/>
      <c r="E78" s="115"/>
      <c r="F78" s="159"/>
      <c r="G78" s="160"/>
      <c r="H78" s="159"/>
      <c r="I78" s="160"/>
      <c r="J78" s="370"/>
      <c r="K78" s="371"/>
    </row>
    <row r="79" spans="1:11" x14ac:dyDescent="0.25">
      <c r="A79" s="173"/>
      <c r="B79" s="174"/>
      <c r="C79" s="174"/>
      <c r="D79" s="175"/>
      <c r="E79" s="115"/>
      <c r="F79" s="159"/>
      <c r="G79" s="160"/>
      <c r="H79" s="159"/>
      <c r="I79" s="160"/>
      <c r="J79" s="370"/>
      <c r="K79" s="371"/>
    </row>
    <row r="80" spans="1:11" x14ac:dyDescent="0.25">
      <c r="A80" s="471" t="s">
        <v>52</v>
      </c>
      <c r="B80" s="472"/>
      <c r="C80" s="472"/>
      <c r="D80" s="506"/>
      <c r="E80" s="115"/>
      <c r="F80" s="159"/>
      <c r="G80" s="160"/>
      <c r="H80" s="159"/>
      <c r="I80" s="160"/>
      <c r="J80" s="370"/>
      <c r="K80" s="371"/>
    </row>
    <row r="81" spans="1:11" x14ac:dyDescent="0.25">
      <c r="A81" s="468" t="s">
        <v>112</v>
      </c>
      <c r="B81" s="469"/>
      <c r="C81" s="469"/>
      <c r="D81" s="509"/>
      <c r="E81" s="115"/>
      <c r="F81" s="159"/>
      <c r="G81" s="160"/>
      <c r="H81" s="159"/>
      <c r="I81" s="160"/>
      <c r="J81" s="370"/>
      <c r="K81" s="371"/>
    </row>
    <row r="82" spans="1:11" x14ac:dyDescent="0.25">
      <c r="A82" s="173"/>
      <c r="B82" s="174"/>
      <c r="C82" s="174"/>
      <c r="D82" s="175"/>
      <c r="E82" s="115"/>
      <c r="F82" s="159"/>
      <c r="G82" s="160"/>
      <c r="H82" s="159"/>
      <c r="I82" s="160"/>
      <c r="J82" s="370"/>
      <c r="K82" s="371"/>
    </row>
    <row r="83" spans="1:11" x14ac:dyDescent="0.25">
      <c r="A83" s="471" t="s">
        <v>114</v>
      </c>
      <c r="B83" s="472"/>
      <c r="C83" s="472"/>
      <c r="D83" s="506"/>
      <c r="E83" s="115"/>
      <c r="F83" s="159"/>
      <c r="G83" s="251"/>
      <c r="H83" s="164"/>
      <c r="I83" s="251"/>
      <c r="J83" s="164"/>
      <c r="K83" s="251"/>
    </row>
    <row r="84" spans="1:11" x14ac:dyDescent="0.25">
      <c r="A84" s="187" t="s">
        <v>53</v>
      </c>
      <c r="B84" s="178" t="s">
        <v>54</v>
      </c>
      <c r="C84" s="178" t="s">
        <v>26</v>
      </c>
      <c r="D84" s="168" t="s">
        <v>5</v>
      </c>
      <c r="E84" s="189" t="s">
        <v>5</v>
      </c>
      <c r="F84" s="197" t="s">
        <v>26</v>
      </c>
      <c r="G84" s="93" t="s">
        <v>5</v>
      </c>
      <c r="H84" s="245"/>
      <c r="I84" s="93" t="s">
        <v>5</v>
      </c>
      <c r="J84" s="245"/>
      <c r="K84" s="93" t="s">
        <v>5</v>
      </c>
    </row>
    <row r="85" spans="1:11" x14ac:dyDescent="0.25">
      <c r="A85" s="161" t="s">
        <v>6</v>
      </c>
      <c r="B85" s="163" t="s">
        <v>55</v>
      </c>
      <c r="C85" s="191">
        <v>6.8999999999999999E-3</v>
      </c>
      <c r="D85" s="202">
        <f t="shared" ref="D85:E90" si="33">$C85*(D$19+D$27)</f>
        <v>29.024327272727277</v>
      </c>
      <c r="E85" s="83">
        <f t="shared" si="33"/>
        <v>30.214324690909091</v>
      </c>
      <c r="F85" s="107">
        <v>6.8999999999999999E-3</v>
      </c>
      <c r="G85" s="92">
        <f t="shared" ref="G85:G90" si="34">$C85*(G$19+G$27)</f>
        <v>33.235757160000006</v>
      </c>
      <c r="H85" s="106"/>
      <c r="I85" s="92">
        <f t="shared" ref="I85:I90" si="35">$C85*(I$19+I$27)</f>
        <v>33.235757160000006</v>
      </c>
      <c r="J85" s="106"/>
      <c r="K85" s="92">
        <f t="shared" ref="K85:K90" si="36">$C85*(K$19+K$27)</f>
        <v>35.160107499564006</v>
      </c>
    </row>
    <row r="86" spans="1:11" x14ac:dyDescent="0.25">
      <c r="A86" s="161" t="s">
        <v>8</v>
      </c>
      <c r="B86" s="163" t="s">
        <v>56</v>
      </c>
      <c r="C86" s="191">
        <f>(1/30)*(1/12)</f>
        <v>2.7777777777777775E-3</v>
      </c>
      <c r="D86" s="202">
        <f t="shared" si="33"/>
        <v>11.684511784511784</v>
      </c>
      <c r="E86" s="83">
        <f t="shared" si="33"/>
        <v>12.163576767676766</v>
      </c>
      <c r="F86" s="107">
        <f>(1/30)*(1/12)</f>
        <v>2.7777777777777775E-3</v>
      </c>
      <c r="G86" s="92">
        <f t="shared" si="34"/>
        <v>13.379934444444444</v>
      </c>
      <c r="H86" s="106"/>
      <c r="I86" s="92">
        <f t="shared" si="35"/>
        <v>13.379934444444444</v>
      </c>
      <c r="J86" s="106"/>
      <c r="K86" s="92">
        <f t="shared" si="36"/>
        <v>14.154632648777779</v>
      </c>
    </row>
    <row r="87" spans="1:11" x14ac:dyDescent="0.25">
      <c r="A87" s="161" t="s">
        <v>10</v>
      </c>
      <c r="B87" s="163" t="s">
        <v>57</v>
      </c>
      <c r="C87" s="191">
        <f>(5/30/12)*1.5%</f>
        <v>2.0833333333333332E-4</v>
      </c>
      <c r="D87" s="202">
        <f t="shared" si="33"/>
        <v>0.87633838383838392</v>
      </c>
      <c r="E87" s="83">
        <f t="shared" si="33"/>
        <v>0.91226825757575747</v>
      </c>
      <c r="F87" s="107">
        <f>(5/30/12)*1.5%</f>
        <v>2.0833333333333332E-4</v>
      </c>
      <c r="G87" s="92">
        <f t="shared" si="34"/>
        <v>1.0034950833333334</v>
      </c>
      <c r="H87" s="106"/>
      <c r="I87" s="92">
        <f t="shared" si="35"/>
        <v>1.0034950833333334</v>
      </c>
      <c r="J87" s="106"/>
      <c r="K87" s="92">
        <f t="shared" si="36"/>
        <v>1.0615974486583335</v>
      </c>
    </row>
    <row r="88" spans="1:11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02">
        <f t="shared" si="33"/>
        <v>1.3670878787878789</v>
      </c>
      <c r="E88" s="83">
        <f t="shared" si="33"/>
        <v>1.4231384818181818</v>
      </c>
      <c r="F88" s="107">
        <f>(15/30/12)*0.78%</f>
        <v>3.2499999999999999E-4</v>
      </c>
      <c r="G88" s="92">
        <f t="shared" si="34"/>
        <v>1.5654523300000001</v>
      </c>
      <c r="H88" s="106"/>
      <c r="I88" s="92">
        <f t="shared" si="35"/>
        <v>1.5654523300000001</v>
      </c>
      <c r="J88" s="106"/>
      <c r="K88" s="92">
        <f t="shared" si="36"/>
        <v>1.6560920199070002</v>
      </c>
    </row>
    <row r="89" spans="1:11" ht="30" x14ac:dyDescent="0.25">
      <c r="A89" s="161" t="s">
        <v>14</v>
      </c>
      <c r="B89" s="163" t="s">
        <v>59</v>
      </c>
      <c r="C89" s="191">
        <f>(1.44%*10%*($C34+$C36+$C25+$C41+$C75)*6/12)</f>
        <v>1.6649646545454546E-4</v>
      </c>
      <c r="D89" s="202">
        <f t="shared" si="33"/>
        <v>0.70035476856595047</v>
      </c>
      <c r="E89" s="83">
        <f t="shared" si="33"/>
        <v>0.72906931407715436</v>
      </c>
      <c r="F89" s="107">
        <f>(1.44%*10%*(F34+F36+C25+F41+F75)*6/12)</f>
        <v>1.6274814545454546E-4</v>
      </c>
      <c r="G89" s="92">
        <f t="shared" si="34"/>
        <v>0.8019762454848699</v>
      </c>
      <c r="H89" s="106"/>
      <c r="I89" s="92">
        <f t="shared" si="35"/>
        <v>0.8019762454848699</v>
      </c>
      <c r="J89" s="106"/>
      <c r="K89" s="92">
        <f t="shared" si="36"/>
        <v>0.84841067009844395</v>
      </c>
    </row>
    <row r="90" spans="1:11" ht="30" x14ac:dyDescent="0.25">
      <c r="A90" s="161" t="s">
        <v>16</v>
      </c>
      <c r="B90" s="163" t="s">
        <v>60</v>
      </c>
      <c r="C90" s="191">
        <v>0</v>
      </c>
      <c r="D90" s="202">
        <f t="shared" si="33"/>
        <v>0</v>
      </c>
      <c r="E90" s="83">
        <f t="shared" si="33"/>
        <v>0</v>
      </c>
      <c r="F90" s="107">
        <v>0</v>
      </c>
      <c r="G90" s="92">
        <f t="shared" si="34"/>
        <v>0</v>
      </c>
      <c r="H90" s="106"/>
      <c r="I90" s="92">
        <f t="shared" si="35"/>
        <v>0</v>
      </c>
      <c r="J90" s="106"/>
      <c r="K90" s="92">
        <f t="shared" si="36"/>
        <v>0</v>
      </c>
    </row>
    <row r="91" spans="1:11" x14ac:dyDescent="0.25">
      <c r="A91" s="499" t="s">
        <v>18</v>
      </c>
      <c r="B91" s="500"/>
      <c r="C91" s="186">
        <f>SUM(C85:C90)</f>
        <v>1.0377607576565657E-2</v>
      </c>
      <c r="D91" s="184">
        <f>SUM(D85:D90)</f>
        <v>43.652620088431277</v>
      </c>
      <c r="E91" s="83">
        <f t="shared" ref="E91:I91" si="37">SUM(E85:E90)</f>
        <v>45.44237751205695</v>
      </c>
      <c r="F91" s="108">
        <f t="shared" si="37"/>
        <v>1.0373859256565657E-2</v>
      </c>
      <c r="G91" s="92">
        <f t="shared" si="37"/>
        <v>49.986615263262657</v>
      </c>
      <c r="H91" s="185"/>
      <c r="I91" s="92">
        <f t="shared" si="37"/>
        <v>49.986615263262657</v>
      </c>
      <c r="J91" s="185"/>
      <c r="K91" s="92">
        <f t="shared" ref="K91" si="38">SUM(K85:K90)</f>
        <v>52.880840287005562</v>
      </c>
    </row>
    <row r="92" spans="1:11" x14ac:dyDescent="0.25">
      <c r="A92" s="501" t="s">
        <v>120</v>
      </c>
      <c r="B92" s="502"/>
      <c r="C92" s="502"/>
      <c r="D92" s="502"/>
      <c r="E92" s="115"/>
      <c r="F92" s="159"/>
      <c r="G92" s="252"/>
      <c r="H92" s="253"/>
      <c r="I92" s="252"/>
      <c r="J92" s="253"/>
      <c r="K92" s="252"/>
    </row>
    <row r="93" spans="1:11" x14ac:dyDescent="0.25">
      <c r="A93" s="173"/>
      <c r="B93" s="174"/>
      <c r="C93" s="174"/>
      <c r="D93" s="175"/>
      <c r="E93" s="115"/>
      <c r="F93" s="159"/>
      <c r="G93" s="160"/>
      <c r="H93" s="159"/>
      <c r="I93" s="160"/>
      <c r="J93" s="370"/>
      <c r="K93" s="371"/>
    </row>
    <row r="94" spans="1:11" x14ac:dyDescent="0.25">
      <c r="A94" s="466" t="s">
        <v>115</v>
      </c>
      <c r="B94" s="467"/>
      <c r="C94" s="467"/>
      <c r="D94" s="503"/>
      <c r="E94" s="115"/>
      <c r="F94" s="159"/>
      <c r="G94" s="160"/>
      <c r="H94" s="159"/>
      <c r="I94" s="160"/>
      <c r="J94" s="370"/>
      <c r="K94" s="371"/>
    </row>
    <row r="95" spans="1:11" x14ac:dyDescent="0.25">
      <c r="A95" s="187" t="s">
        <v>61</v>
      </c>
      <c r="B95" s="178" t="s">
        <v>62</v>
      </c>
      <c r="C95" s="178" t="s">
        <v>5</v>
      </c>
      <c r="D95" s="188"/>
      <c r="E95" s="189"/>
      <c r="F95" s="197" t="s">
        <v>5</v>
      </c>
      <c r="G95" s="93"/>
      <c r="H95" s="197" t="s">
        <v>5</v>
      </c>
      <c r="I95" s="93"/>
      <c r="J95" s="197" t="s">
        <v>5</v>
      </c>
      <c r="K95" s="93"/>
    </row>
    <row r="96" spans="1:11" ht="30" x14ac:dyDescent="0.25">
      <c r="A96" s="161" t="s">
        <v>6</v>
      </c>
      <c r="B96" s="163" t="s">
        <v>63</v>
      </c>
      <c r="C96" s="203"/>
      <c r="D96" s="204"/>
      <c r="E96" s="254"/>
      <c r="F96" s="239"/>
      <c r="G96" s="255"/>
      <c r="H96" s="239"/>
      <c r="I96" s="255"/>
      <c r="J96" s="239"/>
      <c r="K96" s="255"/>
    </row>
    <row r="97" spans="1:11" x14ac:dyDescent="0.25">
      <c r="A97" s="499" t="s">
        <v>18</v>
      </c>
      <c r="B97" s="500"/>
      <c r="C97" s="205">
        <f>SUM(C96)</f>
        <v>0</v>
      </c>
      <c r="D97" s="204"/>
      <c r="E97" s="254"/>
      <c r="F97" s="238">
        <f t="shared" ref="F97" si="39">SUM(F96)</f>
        <v>0</v>
      </c>
      <c r="G97" s="255"/>
      <c r="H97" s="238">
        <f t="shared" ref="H97" si="40">SUM(H96)</f>
        <v>0</v>
      </c>
      <c r="I97" s="255"/>
      <c r="J97" s="238">
        <f t="shared" ref="J97" si="41">SUM(J96)</f>
        <v>0</v>
      </c>
      <c r="K97" s="255"/>
    </row>
    <row r="98" spans="1:11" x14ac:dyDescent="0.25">
      <c r="A98" s="173"/>
      <c r="B98" s="174"/>
      <c r="C98" s="174"/>
      <c r="D98" s="175"/>
      <c r="E98" s="115"/>
      <c r="F98" s="159"/>
      <c r="G98" s="160"/>
      <c r="H98" s="159"/>
      <c r="I98" s="160"/>
      <c r="J98" s="370"/>
      <c r="K98" s="371"/>
    </row>
    <row r="99" spans="1:11" x14ac:dyDescent="0.25">
      <c r="A99" s="415" t="s">
        <v>116</v>
      </c>
      <c r="B99" s="416"/>
      <c r="C99" s="416"/>
      <c r="D99" s="504"/>
      <c r="E99" s="115"/>
      <c r="F99" s="159"/>
      <c r="G99" s="160"/>
      <c r="H99" s="159"/>
      <c r="I99" s="160"/>
      <c r="J99" s="370"/>
      <c r="K99" s="371"/>
    </row>
    <row r="100" spans="1:11" x14ac:dyDescent="0.25">
      <c r="A100" s="187">
        <v>4</v>
      </c>
      <c r="B100" s="476" t="s">
        <v>64</v>
      </c>
      <c r="C100" s="476"/>
      <c r="D100" s="168" t="s">
        <v>5</v>
      </c>
      <c r="E100" s="189" t="s">
        <v>5</v>
      </c>
      <c r="F100" s="159"/>
      <c r="G100" s="93" t="s">
        <v>5</v>
      </c>
      <c r="H100" s="159"/>
      <c r="I100" s="93" t="s">
        <v>5</v>
      </c>
      <c r="J100" s="370"/>
      <c r="K100" s="93" t="s">
        <v>5</v>
      </c>
    </row>
    <row r="101" spans="1:11" x14ac:dyDescent="0.25">
      <c r="A101" s="181" t="s">
        <v>53</v>
      </c>
      <c r="B101" s="475" t="s">
        <v>54</v>
      </c>
      <c r="C101" s="475"/>
      <c r="D101" s="184">
        <f>D91</f>
        <v>43.652620088431277</v>
      </c>
      <c r="E101" s="83">
        <f>E91</f>
        <v>45.44237751205695</v>
      </c>
      <c r="F101" s="159"/>
      <c r="G101" s="92">
        <f>G91</f>
        <v>49.986615263262657</v>
      </c>
      <c r="H101" s="159"/>
      <c r="I101" s="92">
        <f>I91</f>
        <v>49.986615263262657</v>
      </c>
      <c r="J101" s="370"/>
      <c r="K101" s="92">
        <f>K91</f>
        <v>52.880840287005562</v>
      </c>
    </row>
    <row r="102" spans="1:11" x14ac:dyDescent="0.25">
      <c r="A102" s="181" t="s">
        <v>61</v>
      </c>
      <c r="B102" s="182" t="s">
        <v>65</v>
      </c>
      <c r="C102" s="182"/>
      <c r="D102" s="206">
        <f>C97</f>
        <v>0</v>
      </c>
      <c r="E102" s="207">
        <f>D97</f>
        <v>0</v>
      </c>
      <c r="F102" s="159"/>
      <c r="G102" s="97">
        <f>F97</f>
        <v>0</v>
      </c>
      <c r="H102" s="159"/>
      <c r="I102" s="97">
        <f>H97</f>
        <v>0</v>
      </c>
      <c r="J102" s="370"/>
      <c r="K102" s="97">
        <f>J97</f>
        <v>0</v>
      </c>
    </row>
    <row r="103" spans="1:11" x14ac:dyDescent="0.25">
      <c r="A103" s="466" t="s">
        <v>18</v>
      </c>
      <c r="B103" s="467"/>
      <c r="C103" s="467"/>
      <c r="D103" s="184">
        <f>SUM(D101:D102)</f>
        <v>43.652620088431277</v>
      </c>
      <c r="E103" s="83">
        <f>SUM(E101:E102)</f>
        <v>45.44237751205695</v>
      </c>
      <c r="F103" s="159"/>
      <c r="G103" s="92">
        <f>SUM(G101:G102)</f>
        <v>49.986615263262657</v>
      </c>
      <c r="H103" s="159"/>
      <c r="I103" s="92">
        <f>SUM(I101:I102)</f>
        <v>49.986615263262657</v>
      </c>
      <c r="J103" s="370"/>
      <c r="K103" s="92">
        <f>SUM(K101:K102)</f>
        <v>52.880840287005562</v>
      </c>
    </row>
    <row r="104" spans="1:11" x14ac:dyDescent="0.25">
      <c r="A104" s="173"/>
      <c r="B104" s="174"/>
      <c r="C104" s="174"/>
      <c r="D104" s="175"/>
      <c r="E104" s="115"/>
      <c r="F104" s="159"/>
      <c r="G104" s="160"/>
      <c r="H104" s="159"/>
      <c r="I104" s="160"/>
      <c r="J104" s="370"/>
      <c r="K104" s="371"/>
    </row>
    <row r="105" spans="1:11" x14ac:dyDescent="0.25">
      <c r="A105" s="481" t="s">
        <v>66</v>
      </c>
      <c r="B105" s="482"/>
      <c r="C105" s="482"/>
      <c r="D105" s="505"/>
      <c r="E105" s="115"/>
      <c r="F105" s="159"/>
      <c r="G105" s="160"/>
      <c r="H105" s="159"/>
      <c r="I105" s="160"/>
      <c r="J105" s="370"/>
      <c r="K105" s="371"/>
    </row>
    <row r="106" spans="1:11" x14ac:dyDescent="0.25">
      <c r="A106" s="187">
        <v>5</v>
      </c>
      <c r="B106" s="476" t="s">
        <v>67</v>
      </c>
      <c r="C106" s="476"/>
      <c r="D106" s="168" t="s">
        <v>5</v>
      </c>
      <c r="E106" s="189" t="s">
        <v>5</v>
      </c>
      <c r="F106" s="159"/>
      <c r="G106" s="93" t="s">
        <v>5</v>
      </c>
      <c r="H106" s="159"/>
      <c r="I106" s="93" t="s">
        <v>5</v>
      </c>
      <c r="J106" s="370"/>
      <c r="K106" s="93" t="s">
        <v>5</v>
      </c>
    </row>
    <row r="107" spans="1:11" x14ac:dyDescent="0.25">
      <c r="A107" s="181" t="s">
        <v>6</v>
      </c>
      <c r="B107" s="475" t="s">
        <v>68</v>
      </c>
      <c r="C107" s="475"/>
      <c r="D107" s="184">
        <v>0</v>
      </c>
      <c r="E107" s="83">
        <v>0</v>
      </c>
      <c r="F107" s="159"/>
      <c r="G107" s="92">
        <v>0</v>
      </c>
      <c r="H107" s="159"/>
      <c r="I107" s="92">
        <v>0</v>
      </c>
      <c r="J107" s="370"/>
      <c r="K107" s="92">
        <v>0</v>
      </c>
    </row>
    <row r="108" spans="1:11" x14ac:dyDescent="0.25">
      <c r="A108" s="181" t="s">
        <v>8</v>
      </c>
      <c r="B108" s="475" t="s">
        <v>69</v>
      </c>
      <c r="C108" s="475"/>
      <c r="D108" s="184">
        <v>0</v>
      </c>
      <c r="E108" s="83">
        <v>0</v>
      </c>
      <c r="F108" s="159"/>
      <c r="G108" s="92">
        <v>0</v>
      </c>
      <c r="H108" s="159"/>
      <c r="I108" s="92">
        <v>0</v>
      </c>
      <c r="J108" s="370"/>
      <c r="K108" s="92">
        <v>0</v>
      </c>
    </row>
    <row r="109" spans="1:11" x14ac:dyDescent="0.25">
      <c r="A109" s="181" t="s">
        <v>10</v>
      </c>
      <c r="B109" s="475" t="s">
        <v>70</v>
      </c>
      <c r="C109" s="475"/>
      <c r="D109" s="184">
        <v>0</v>
      </c>
      <c r="E109" s="83">
        <v>0</v>
      </c>
      <c r="F109" s="159"/>
      <c r="G109" s="92">
        <v>0</v>
      </c>
      <c r="H109" s="159"/>
      <c r="I109" s="92">
        <v>0</v>
      </c>
      <c r="J109" s="370"/>
      <c r="K109" s="92">
        <v>0</v>
      </c>
    </row>
    <row r="110" spans="1:11" x14ac:dyDescent="0.25">
      <c r="A110" s="181" t="s">
        <v>12</v>
      </c>
      <c r="B110" s="475" t="s">
        <v>17</v>
      </c>
      <c r="C110" s="475"/>
      <c r="D110" s="184">
        <v>0</v>
      </c>
      <c r="E110" s="83">
        <v>0</v>
      </c>
      <c r="F110" s="159"/>
      <c r="G110" s="92">
        <v>0</v>
      </c>
      <c r="H110" s="159"/>
      <c r="I110" s="92">
        <v>0</v>
      </c>
      <c r="J110" s="370"/>
      <c r="K110" s="92">
        <v>0</v>
      </c>
    </row>
    <row r="111" spans="1:11" x14ac:dyDescent="0.25">
      <c r="A111" s="466" t="s">
        <v>18</v>
      </c>
      <c r="B111" s="467"/>
      <c r="C111" s="467"/>
      <c r="D111" s="184">
        <f>SUM(D107:D110)</f>
        <v>0</v>
      </c>
      <c r="E111" s="83">
        <f t="shared" ref="E111" si="42">SUM(E107:E110)</f>
        <v>0</v>
      </c>
      <c r="F111" s="159"/>
      <c r="G111" s="92">
        <f t="shared" ref="G111" si="43">SUM(G107:G110)</f>
        <v>0</v>
      </c>
      <c r="H111" s="159"/>
      <c r="I111" s="92">
        <f t="shared" ref="I111" si="44">SUM(I107:I110)</f>
        <v>0</v>
      </c>
      <c r="J111" s="370"/>
      <c r="K111" s="92">
        <f t="shared" ref="K111" si="45">SUM(K107:K110)</f>
        <v>0</v>
      </c>
    </row>
    <row r="112" spans="1:11" x14ac:dyDescent="0.25">
      <c r="A112" s="501" t="s">
        <v>80</v>
      </c>
      <c r="B112" s="502"/>
      <c r="C112" s="502"/>
      <c r="D112" s="502"/>
      <c r="E112" s="115"/>
      <c r="F112" s="159"/>
      <c r="G112" s="160"/>
      <c r="H112" s="159"/>
      <c r="I112" s="160"/>
      <c r="J112" s="370"/>
      <c r="K112" s="371"/>
    </row>
    <row r="113" spans="1:11" x14ac:dyDescent="0.25">
      <c r="A113" s="173"/>
      <c r="B113" s="174"/>
      <c r="C113" s="174"/>
      <c r="D113" s="175"/>
      <c r="E113" s="115"/>
      <c r="F113" s="159"/>
      <c r="G113" s="160"/>
      <c r="H113" s="159"/>
      <c r="I113" s="160"/>
      <c r="J113" s="370"/>
      <c r="K113" s="371"/>
    </row>
    <row r="114" spans="1:11" x14ac:dyDescent="0.25">
      <c r="A114" s="481" t="s">
        <v>71</v>
      </c>
      <c r="B114" s="482"/>
      <c r="C114" s="482"/>
      <c r="D114" s="505"/>
      <c r="E114" s="115"/>
      <c r="F114" s="159"/>
      <c r="G114" s="160"/>
      <c r="H114" s="159"/>
      <c r="I114" s="160"/>
      <c r="J114" s="370"/>
      <c r="K114" s="371"/>
    </row>
    <row r="115" spans="1:11" x14ac:dyDescent="0.25">
      <c r="A115" s="477" t="s">
        <v>121</v>
      </c>
      <c r="B115" s="478"/>
      <c r="C115" s="479" t="s">
        <v>122</v>
      </c>
      <c r="D115" s="508"/>
      <c r="E115" s="208"/>
      <c r="F115" s="159"/>
      <c r="G115" s="210" t="s">
        <v>122</v>
      </c>
      <c r="H115" s="159"/>
      <c r="I115" s="210" t="s">
        <v>122</v>
      </c>
      <c r="J115" s="370"/>
      <c r="K115" s="377" t="s">
        <v>122</v>
      </c>
    </row>
    <row r="116" spans="1:11" x14ac:dyDescent="0.25">
      <c r="A116" s="187">
        <v>6</v>
      </c>
      <c r="B116" s="178" t="s">
        <v>72</v>
      </c>
      <c r="C116" s="178" t="s">
        <v>26</v>
      </c>
      <c r="D116" s="188" t="s">
        <v>5</v>
      </c>
      <c r="E116" s="189" t="s">
        <v>5</v>
      </c>
      <c r="F116" s="245"/>
      <c r="G116" s="93" t="s">
        <v>5</v>
      </c>
      <c r="H116" s="245"/>
      <c r="I116" s="93" t="s">
        <v>5</v>
      </c>
      <c r="J116" s="245"/>
      <c r="K116" s="93" t="s">
        <v>5</v>
      </c>
    </row>
    <row r="117" spans="1:11" x14ac:dyDescent="0.25">
      <c r="A117" s="181" t="s">
        <v>6</v>
      </c>
      <c r="B117" s="182" t="s">
        <v>73</v>
      </c>
      <c r="C117" s="191">
        <v>3.95E-2</v>
      </c>
      <c r="D117" s="202">
        <f>$C117*D$135</f>
        <v>245.28633326242303</v>
      </c>
      <c r="E117" s="83">
        <f>$C117*E$135</f>
        <v>254.59845171118232</v>
      </c>
      <c r="F117" s="241"/>
      <c r="G117" s="92">
        <f>$C117*G$135</f>
        <v>276.61536906667834</v>
      </c>
      <c r="H117" s="241"/>
      <c r="I117" s="92">
        <f>$C117*I$135</f>
        <v>272.65137672990505</v>
      </c>
      <c r="J117" s="241"/>
      <c r="K117" s="92">
        <f>$C117*K$135</f>
        <v>286.24000027701743</v>
      </c>
    </row>
    <row r="118" spans="1:11" x14ac:dyDescent="0.25">
      <c r="A118" s="181" t="s">
        <v>8</v>
      </c>
      <c r="B118" s="182" t="s">
        <v>74</v>
      </c>
      <c r="C118" s="191">
        <v>1.0223857511254927E-2</v>
      </c>
      <c r="D118" s="202">
        <f>$C118*D$135</f>
        <v>63.487911917296273</v>
      </c>
      <c r="E118" s="83">
        <f>$C118*E$135</f>
        <v>65.898184629904961</v>
      </c>
      <c r="F118" s="241"/>
      <c r="G118" s="92">
        <f>$C118*G$135</f>
        <v>71.596863766099062</v>
      </c>
      <c r="H118" s="241"/>
      <c r="I118" s="92">
        <f>$C118*I$135</f>
        <v>70.570856352760416</v>
      </c>
      <c r="J118" s="241"/>
      <c r="K118" s="92">
        <f>$C118*K$135</f>
        <v>74.08802473047588</v>
      </c>
    </row>
    <row r="119" spans="1:11" x14ac:dyDescent="0.25">
      <c r="A119" s="181" t="s">
        <v>10</v>
      </c>
      <c r="B119" s="182" t="s">
        <v>130</v>
      </c>
      <c r="C119" s="191">
        <f>SUM(C120:C122)</f>
        <v>8.6499999999999994E-2</v>
      </c>
      <c r="D119" s="202">
        <f>(D$135+D$118+D$117)*($C119/IF($C115="Lucro presumido",91.45%,85.75%))</f>
        <v>616.57188972094866</v>
      </c>
      <c r="E119" s="83">
        <f>(E$135+E$118+E$117)*($C119/IF($C115="Lucro presumido",91.45%,85.75%))</f>
        <v>639.97959610593546</v>
      </c>
      <c r="F119" s="241"/>
      <c r="G119" s="92">
        <f>(G$135+G$118+G$117)*($C119/IF($C115="Lucro presumido",91.45%,85.75%))</f>
        <v>695.32312935197535</v>
      </c>
      <c r="H119" s="241"/>
      <c r="I119" s="92">
        <f>(I$135+I$118+I$117)*($C119/IF($C115="Lucro presumido",91.45%,85.75%))</f>
        <v>685.3589123757738</v>
      </c>
      <c r="J119" s="241"/>
      <c r="K119" s="92">
        <f>(K$135+K$118+K$117)*($C119/IF($C115="Lucro presumido",91.45%,85.75%))</f>
        <v>719.51639350288565</v>
      </c>
    </row>
    <row r="120" spans="1:11" x14ac:dyDescent="0.25">
      <c r="A120" s="181" t="s">
        <v>125</v>
      </c>
      <c r="B120" s="182" t="s">
        <v>124</v>
      </c>
      <c r="C120" s="191">
        <f>IF(C115="Lucro presumido",0.65%,1.65%)</f>
        <v>6.5000000000000006E-3</v>
      </c>
      <c r="D120" s="211" t="s">
        <v>123</v>
      </c>
      <c r="E120" s="83" t="s">
        <v>123</v>
      </c>
      <c r="F120" s="241"/>
      <c r="G120" s="92" t="s">
        <v>123</v>
      </c>
      <c r="H120" s="241"/>
      <c r="I120" s="92" t="s">
        <v>123</v>
      </c>
      <c r="J120" s="241"/>
      <c r="K120" s="92" t="s">
        <v>123</v>
      </c>
    </row>
    <row r="121" spans="1:11" x14ac:dyDescent="0.25">
      <c r="A121" s="181" t="s">
        <v>127</v>
      </c>
      <c r="B121" s="182" t="s">
        <v>126</v>
      </c>
      <c r="C121" s="191">
        <f>IF(C115="Lucro presumido",3%,7.6%)</f>
        <v>0.03</v>
      </c>
      <c r="D121" s="211" t="s">
        <v>123</v>
      </c>
      <c r="E121" s="83" t="s">
        <v>123</v>
      </c>
      <c r="F121" s="241"/>
      <c r="G121" s="92" t="s">
        <v>123</v>
      </c>
      <c r="H121" s="241"/>
      <c r="I121" s="92" t="s">
        <v>123</v>
      </c>
      <c r="J121" s="241"/>
      <c r="K121" s="92" t="s">
        <v>123</v>
      </c>
    </row>
    <row r="122" spans="1:11" x14ac:dyDescent="0.25">
      <c r="A122" s="181" t="s">
        <v>129</v>
      </c>
      <c r="B122" s="182" t="s">
        <v>128</v>
      </c>
      <c r="C122" s="191">
        <v>0.05</v>
      </c>
      <c r="D122" s="211" t="s">
        <v>123</v>
      </c>
      <c r="E122" s="83" t="s">
        <v>123</v>
      </c>
      <c r="F122" s="241"/>
      <c r="G122" s="92" t="s">
        <v>123</v>
      </c>
      <c r="H122" s="241"/>
      <c r="I122" s="92" t="s">
        <v>123</v>
      </c>
      <c r="J122" s="241"/>
      <c r="K122" s="92" t="s">
        <v>123</v>
      </c>
    </row>
    <row r="123" spans="1:11" ht="30" x14ac:dyDescent="0.25">
      <c r="A123" s="161" t="s">
        <v>12</v>
      </c>
      <c r="B123" s="163" t="s">
        <v>132</v>
      </c>
      <c r="C123" s="243">
        <v>4.4999999999999998E-2</v>
      </c>
      <c r="D123" s="202">
        <f>(D$135+D$118+D$117)*($C123/IF($C115="Lucro presumido",91.45%,85.75%))</f>
        <v>320.75994262939525</v>
      </c>
      <c r="E123" s="83">
        <f>(E$135+E$118+E$117)*($C123/IF($C115="Lucro presumido",91.45%,85.75%))</f>
        <v>332.9373621360358</v>
      </c>
      <c r="F123" s="241"/>
      <c r="G123" s="92">
        <f>(G$135+G$118+G$117)*($C123/IF($C115="Lucro presumido",91.45%,85.75%))</f>
        <v>361.72879561663461</v>
      </c>
      <c r="H123" s="241"/>
      <c r="I123" s="92">
        <f>(I$135+I$118+I$117)*($C123/IF($C115="Lucro presumido",91.45%,85.75%))</f>
        <v>356.54509892381299</v>
      </c>
      <c r="J123" s="241"/>
      <c r="K123" s="92">
        <f>(K$135+K$118+K$117)*($C123/IF($C115="Lucro presumido",91.45%,85.75%))</f>
        <v>374.31488679340873</v>
      </c>
    </row>
    <row r="124" spans="1:11" x14ac:dyDescent="0.25">
      <c r="A124" s="466" t="s">
        <v>18</v>
      </c>
      <c r="B124" s="467"/>
      <c r="C124" s="193">
        <f>SUM(C117:C119)+(C123)</f>
        <v>0.18122385751125492</v>
      </c>
      <c r="D124" s="202">
        <f>SUM(D117:D119)+D123</f>
        <v>1246.1060775300632</v>
      </c>
      <c r="E124" s="83">
        <f t="shared" ref="E124" si="46">SUM(E117:E119)+E123</f>
        <v>1293.4135945830585</v>
      </c>
      <c r="F124" s="241"/>
      <c r="G124" s="92">
        <f t="shared" ref="G124" si="47">SUM(G117:G119)+G123</f>
        <v>1405.2641578013875</v>
      </c>
      <c r="H124" s="241"/>
      <c r="I124" s="92">
        <f t="shared" ref="I124" si="48">SUM(I117:I119)+I123</f>
        <v>1385.1262443822523</v>
      </c>
      <c r="J124" s="241"/>
      <c r="K124" s="92">
        <f t="shared" ref="K124" si="49">SUM(K117:K119)+K123</f>
        <v>1454.1593053037877</v>
      </c>
    </row>
    <row r="125" spans="1:11" x14ac:dyDescent="0.25">
      <c r="A125" s="501" t="s">
        <v>81</v>
      </c>
      <c r="B125" s="502"/>
      <c r="C125" s="502"/>
      <c r="D125" s="502"/>
      <c r="E125" s="115"/>
      <c r="F125" s="159"/>
      <c r="G125" s="160"/>
      <c r="H125" s="159"/>
      <c r="I125" s="160"/>
      <c r="J125" s="370"/>
      <c r="K125" s="371"/>
    </row>
    <row r="126" spans="1:11" x14ac:dyDescent="0.25">
      <c r="A126" s="501" t="s">
        <v>131</v>
      </c>
      <c r="B126" s="502"/>
      <c r="C126" s="502"/>
      <c r="D126" s="502"/>
      <c r="E126" s="115"/>
      <c r="F126" s="159"/>
      <c r="G126" s="160"/>
      <c r="H126" s="159"/>
      <c r="I126" s="160"/>
      <c r="J126" s="370"/>
      <c r="K126" s="371"/>
    </row>
    <row r="127" spans="1:11" x14ac:dyDescent="0.25">
      <c r="A127" s="173"/>
      <c r="B127" s="174"/>
      <c r="C127" s="174"/>
      <c r="D127" s="175"/>
      <c r="E127" s="115"/>
      <c r="F127" s="159"/>
      <c r="G127" s="160"/>
      <c r="H127" s="159"/>
      <c r="I127" s="160"/>
      <c r="J127" s="370"/>
      <c r="K127" s="371"/>
    </row>
    <row r="128" spans="1:11" x14ac:dyDescent="0.25">
      <c r="A128" s="481" t="s">
        <v>117</v>
      </c>
      <c r="B128" s="482"/>
      <c r="C128" s="482"/>
      <c r="D128" s="505"/>
      <c r="E128" s="115"/>
      <c r="F128" s="159"/>
      <c r="G128" s="160"/>
      <c r="H128" s="159"/>
      <c r="I128" s="160"/>
      <c r="J128" s="370"/>
      <c r="K128" s="371"/>
    </row>
    <row r="129" spans="1:11" ht="30" x14ac:dyDescent="0.25">
      <c r="A129" s="499" t="s">
        <v>82</v>
      </c>
      <c r="B129" s="507"/>
      <c r="C129" s="500"/>
      <c r="D129" s="168" t="s">
        <v>75</v>
      </c>
      <c r="E129" s="169" t="s">
        <v>171</v>
      </c>
      <c r="F129" s="159"/>
      <c r="G129" s="171" t="s">
        <v>210</v>
      </c>
      <c r="H129" s="159"/>
      <c r="I129" s="171" t="s">
        <v>215</v>
      </c>
      <c r="J129" s="370"/>
      <c r="K129" s="378" t="s">
        <v>215</v>
      </c>
    </row>
    <row r="130" spans="1:11" x14ac:dyDescent="0.25">
      <c r="A130" s="161" t="s">
        <v>6</v>
      </c>
      <c r="B130" s="474" t="s">
        <v>76</v>
      </c>
      <c r="C130" s="474"/>
      <c r="D130" s="184">
        <f>D19</f>
        <v>3470.3</v>
      </c>
      <c r="E130" s="83">
        <f t="shared" ref="E130" si="50">E19</f>
        <v>3612.5823</v>
      </c>
      <c r="F130" s="159"/>
      <c r="G130" s="92">
        <f t="shared" ref="G130" si="51">G19</f>
        <v>3973.8405300000004</v>
      </c>
      <c r="H130" s="159"/>
      <c r="I130" s="92">
        <f t="shared" ref="I130" si="52">I19</f>
        <v>3973.8405300000004</v>
      </c>
      <c r="J130" s="370"/>
      <c r="K130" s="92">
        <f t="shared" ref="K130" si="53">K19</f>
        <v>4203.9258966870011</v>
      </c>
    </row>
    <row r="131" spans="1:11" x14ac:dyDescent="0.25">
      <c r="A131" s="161" t="s">
        <v>8</v>
      </c>
      <c r="B131" s="474" t="s">
        <v>20</v>
      </c>
      <c r="C131" s="474"/>
      <c r="D131" s="184">
        <f>D65</f>
        <v>2431.7573949090911</v>
      </c>
      <c r="E131" s="83">
        <f t="shared" ref="E131" si="54">E65</f>
        <v>2512.6082781003633</v>
      </c>
      <c r="F131" s="159"/>
      <c r="G131" s="92">
        <f t="shared" ref="G131" si="55">G65</f>
        <v>2677.1939679719999</v>
      </c>
      <c r="H131" s="159"/>
      <c r="I131" s="92">
        <f t="shared" ref="I131" si="56">I65</f>
        <v>2677.1939679719999</v>
      </c>
      <c r="J131" s="370"/>
      <c r="K131" s="92">
        <f t="shared" ref="K131" si="57">K65</f>
        <v>2776.5606843998803</v>
      </c>
    </row>
    <row r="132" spans="1:11" x14ac:dyDescent="0.25">
      <c r="A132" s="161" t="s">
        <v>10</v>
      </c>
      <c r="B132" s="474" t="s">
        <v>77</v>
      </c>
      <c r="C132" s="474"/>
      <c r="D132" s="184">
        <f>D76</f>
        <v>264.07057392457915</v>
      </c>
      <c r="E132" s="83">
        <f t="shared" ref="E132" si="58">E76</f>
        <v>274.89746745548689</v>
      </c>
      <c r="F132" s="159"/>
      <c r="G132" s="92">
        <f t="shared" ref="G132" si="59">G76</f>
        <v>301.89962263001115</v>
      </c>
      <c r="H132" s="159"/>
      <c r="I132" s="92">
        <f t="shared" ref="I132" si="60">I76</f>
        <v>201.54538625600304</v>
      </c>
      <c r="J132" s="370"/>
      <c r="K132" s="92">
        <f t="shared" ref="K132" si="61">K76</f>
        <v>213.21486412022563</v>
      </c>
    </row>
    <row r="133" spans="1:11" x14ac:dyDescent="0.25">
      <c r="A133" s="161" t="s">
        <v>12</v>
      </c>
      <c r="B133" s="474" t="s">
        <v>52</v>
      </c>
      <c r="C133" s="474"/>
      <c r="D133" s="184">
        <f>D103</f>
        <v>43.652620088431277</v>
      </c>
      <c r="E133" s="83">
        <f t="shared" ref="E133" si="62">E103</f>
        <v>45.44237751205695</v>
      </c>
      <c r="F133" s="159"/>
      <c r="G133" s="92">
        <f t="shared" ref="G133" si="63">G103</f>
        <v>49.986615263262657</v>
      </c>
      <c r="H133" s="159"/>
      <c r="I133" s="92">
        <f t="shared" ref="I133" si="64">I103</f>
        <v>49.986615263262657</v>
      </c>
      <c r="J133" s="370"/>
      <c r="K133" s="92">
        <f t="shared" ref="K133" si="65">K103</f>
        <v>52.880840287005562</v>
      </c>
    </row>
    <row r="134" spans="1:11" x14ac:dyDescent="0.25">
      <c r="A134" s="161" t="s">
        <v>14</v>
      </c>
      <c r="B134" s="474" t="s">
        <v>66</v>
      </c>
      <c r="C134" s="474"/>
      <c r="D134" s="184">
        <f>D111</f>
        <v>0</v>
      </c>
      <c r="E134" s="83">
        <f t="shared" ref="E134" si="66">E111</f>
        <v>0</v>
      </c>
      <c r="F134" s="159"/>
      <c r="G134" s="92">
        <f t="shared" ref="G134" si="67">G111</f>
        <v>0</v>
      </c>
      <c r="H134" s="159"/>
      <c r="I134" s="92">
        <f t="shared" ref="I134" si="68">I111</f>
        <v>0</v>
      </c>
      <c r="J134" s="370"/>
      <c r="K134" s="92">
        <f t="shared" ref="K134" si="69">K111</f>
        <v>0</v>
      </c>
    </row>
    <row r="135" spans="1:11" x14ac:dyDescent="0.25">
      <c r="A135" s="466" t="s">
        <v>78</v>
      </c>
      <c r="B135" s="467"/>
      <c r="C135" s="467"/>
      <c r="D135" s="184">
        <f>SUM(D130:D134)</f>
        <v>6209.7805889221017</v>
      </c>
      <c r="E135" s="83">
        <f t="shared" ref="E135" si="70">SUM(E130:E134)</f>
        <v>6445.5304230679067</v>
      </c>
      <c r="F135" s="159"/>
      <c r="G135" s="92">
        <f t="shared" ref="G135" si="71">SUM(G130:G134)</f>
        <v>7002.9207358652748</v>
      </c>
      <c r="H135" s="159"/>
      <c r="I135" s="92">
        <f t="shared" ref="I135" si="72">SUM(I130:I134)</f>
        <v>6902.5664994912668</v>
      </c>
      <c r="J135" s="370"/>
      <c r="K135" s="92">
        <f t="shared" ref="K135" si="73">SUM(K130:K134)</f>
        <v>7246.5822854941125</v>
      </c>
    </row>
    <row r="136" spans="1:11" x14ac:dyDescent="0.25">
      <c r="A136" s="181" t="s">
        <v>16</v>
      </c>
      <c r="B136" s="475" t="s">
        <v>71</v>
      </c>
      <c r="C136" s="475"/>
      <c r="D136" s="184">
        <f>D124</f>
        <v>1246.1060775300632</v>
      </c>
      <c r="E136" s="83">
        <f t="shared" ref="E136" si="74">E124</f>
        <v>1293.4135945830585</v>
      </c>
      <c r="F136" s="159"/>
      <c r="G136" s="92">
        <f t="shared" ref="G136" si="75">G124</f>
        <v>1405.2641578013875</v>
      </c>
      <c r="H136" s="159"/>
      <c r="I136" s="92">
        <f t="shared" ref="I136" si="76">I124</f>
        <v>1385.1262443822523</v>
      </c>
      <c r="J136" s="370"/>
      <c r="K136" s="92">
        <f t="shared" ref="K136" si="77">K124</f>
        <v>1454.1593053037877</v>
      </c>
    </row>
    <row r="137" spans="1:11" ht="15.75" thickBot="1" x14ac:dyDescent="0.3">
      <c r="A137" s="485" t="s">
        <v>79</v>
      </c>
      <c r="B137" s="486"/>
      <c r="C137" s="486"/>
      <c r="D137" s="212">
        <f>SUM(D135:D136)</f>
        <v>7455.8866664521647</v>
      </c>
      <c r="E137" s="213">
        <f t="shared" ref="E137" si="78">SUM(E135:E136)</f>
        <v>7738.9440176509652</v>
      </c>
      <c r="F137" s="248"/>
      <c r="G137" s="215">
        <f t="shared" ref="G137" si="79">SUM(G135:G136)</f>
        <v>8408.1848936666629</v>
      </c>
      <c r="H137" s="248"/>
      <c r="I137" s="215">
        <f t="shared" ref="I137" si="80">SUM(I135:I136)</f>
        <v>8287.6927438735183</v>
      </c>
      <c r="J137" s="248"/>
      <c r="K137" s="215">
        <f t="shared" ref="K137" si="81">SUM(K135:K136)</f>
        <v>8700.7415907979012</v>
      </c>
    </row>
    <row r="138" spans="1:11" x14ac:dyDescent="0.25">
      <c r="D138" s="264"/>
      <c r="E138" s="264"/>
      <c r="G138" s="264"/>
    </row>
  </sheetData>
  <mergeCells count="85">
    <mergeCell ref="J1:K3"/>
    <mergeCell ref="J4:K4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A1:D2"/>
    <mergeCell ref="F4:G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H4:I4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35ECE690-D283-4DA5-A7E0-705B2F68EDA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9602-2425-4842-A772-B94EFBDEB4C2}">
  <dimension ref="A1:AB137"/>
  <sheetViews>
    <sheetView topLeftCell="N1" zoomScale="70" zoomScaleNormal="70" workbookViewId="0">
      <selection activeCell="AG37" sqref="AG37"/>
    </sheetView>
  </sheetViews>
  <sheetFormatPr defaultRowHeight="15" x14ac:dyDescent="0.25"/>
  <cols>
    <col min="2" max="2" width="46.42578125" style="1" customWidth="1"/>
    <col min="3" max="3" width="17.7109375" style="1" customWidth="1"/>
    <col min="4" max="4" width="17" customWidth="1"/>
    <col min="5" max="5" width="20.7109375" style="1" customWidth="1"/>
    <col min="6" max="6" width="20.7109375" customWidth="1"/>
    <col min="7" max="7" width="20.7109375" style="1" customWidth="1"/>
    <col min="8" max="8" width="20.7109375" customWidth="1"/>
    <col min="9" max="9" width="20.7109375" style="1" customWidth="1"/>
    <col min="10" max="10" width="20.7109375" customWidth="1"/>
    <col min="11" max="11" width="20.7109375" style="1" customWidth="1"/>
    <col min="12" max="15" width="20.7109375" customWidth="1"/>
    <col min="16" max="16" width="20.7109375" style="1" customWidth="1"/>
    <col min="17" max="18" width="20.7109375" customWidth="1"/>
    <col min="19" max="19" width="20.7109375" style="1" customWidth="1"/>
    <col min="20" max="26" width="20.7109375" customWidth="1"/>
    <col min="27" max="27" width="20.7109375" style="1" customWidth="1"/>
    <col min="28" max="28" width="20.7109375" customWidth="1"/>
  </cols>
  <sheetData>
    <row r="1" spans="1:28" x14ac:dyDescent="0.25">
      <c r="A1" s="596" t="s">
        <v>98</v>
      </c>
      <c r="B1" s="597"/>
      <c r="C1" s="597"/>
      <c r="D1" s="598"/>
      <c r="E1" s="581" t="s">
        <v>224</v>
      </c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81" t="s">
        <v>248</v>
      </c>
      <c r="AB1" s="582"/>
    </row>
    <row r="2" spans="1:28" x14ac:dyDescent="0.25">
      <c r="A2" s="599"/>
      <c r="B2" s="600"/>
      <c r="C2" s="600"/>
      <c r="D2" s="601"/>
      <c r="E2" s="583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83"/>
      <c r="AB2" s="584"/>
    </row>
    <row r="3" spans="1:28" ht="15.75" thickBot="1" x14ac:dyDescent="0.3">
      <c r="A3" s="530" t="s">
        <v>0</v>
      </c>
      <c r="B3" s="531"/>
      <c r="C3" s="531"/>
      <c r="D3" s="612"/>
      <c r="E3" s="58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5"/>
      <c r="Y3" s="595"/>
      <c r="Z3" s="595"/>
      <c r="AA3" s="585"/>
      <c r="AB3" s="586"/>
    </row>
    <row r="4" spans="1:28" ht="30" x14ac:dyDescent="0.25">
      <c r="A4" s="36">
        <v>1</v>
      </c>
      <c r="B4" s="10" t="s">
        <v>1</v>
      </c>
      <c r="C4" s="557" t="s">
        <v>232</v>
      </c>
      <c r="D4" s="618"/>
      <c r="E4" s="116" t="s">
        <v>232</v>
      </c>
      <c r="F4" s="116" t="s">
        <v>232</v>
      </c>
      <c r="G4" s="116" t="s">
        <v>232</v>
      </c>
      <c r="H4" s="116" t="s">
        <v>232</v>
      </c>
      <c r="I4" s="116" t="s">
        <v>232</v>
      </c>
      <c r="J4" s="116" t="s">
        <v>232</v>
      </c>
      <c r="K4" s="116" t="s">
        <v>232</v>
      </c>
      <c r="L4" s="116" t="s">
        <v>232</v>
      </c>
      <c r="M4" s="116" t="s">
        <v>232</v>
      </c>
      <c r="N4" s="116" t="s">
        <v>232</v>
      </c>
      <c r="O4" s="116" t="s">
        <v>232</v>
      </c>
      <c r="P4" s="602" t="s">
        <v>232</v>
      </c>
      <c r="Q4" s="603"/>
      <c r="R4" s="116" t="s">
        <v>232</v>
      </c>
      <c r="S4" s="602" t="s">
        <v>232</v>
      </c>
      <c r="T4" s="603"/>
      <c r="U4" s="116" t="s">
        <v>232</v>
      </c>
      <c r="V4" s="116" t="s">
        <v>232</v>
      </c>
      <c r="W4" s="116" t="s">
        <v>232</v>
      </c>
      <c r="X4" s="116" t="s">
        <v>232</v>
      </c>
      <c r="Y4" s="118" t="s">
        <v>232</v>
      </c>
      <c r="Z4" s="116" t="s">
        <v>232</v>
      </c>
      <c r="AA4" s="574" t="s">
        <v>232</v>
      </c>
      <c r="AB4" s="575"/>
    </row>
    <row r="5" spans="1:28" x14ac:dyDescent="0.25">
      <c r="A5" s="37">
        <v>2</v>
      </c>
      <c r="B5" s="2" t="s">
        <v>2</v>
      </c>
      <c r="C5" s="619" t="s">
        <v>123</v>
      </c>
      <c r="D5" s="620"/>
      <c r="E5" s="115" t="s">
        <v>123</v>
      </c>
      <c r="F5" s="115" t="s">
        <v>123</v>
      </c>
      <c r="G5" s="115" t="s">
        <v>123</v>
      </c>
      <c r="H5" s="115" t="s">
        <v>123</v>
      </c>
      <c r="I5" s="115" t="s">
        <v>123</v>
      </c>
      <c r="J5" s="115" t="s">
        <v>123</v>
      </c>
      <c r="K5" s="115" t="s">
        <v>123</v>
      </c>
      <c r="L5" s="115" t="s">
        <v>123</v>
      </c>
      <c r="M5" s="115" t="s">
        <v>123</v>
      </c>
      <c r="N5" s="115" t="s">
        <v>123</v>
      </c>
      <c r="O5" s="115" t="s">
        <v>123</v>
      </c>
      <c r="P5" s="432" t="s">
        <v>123</v>
      </c>
      <c r="Q5" s="433"/>
      <c r="R5" s="115" t="s">
        <v>123</v>
      </c>
      <c r="S5" s="432" t="s">
        <v>123</v>
      </c>
      <c r="T5" s="433"/>
      <c r="U5" s="115" t="s">
        <v>123</v>
      </c>
      <c r="V5" s="115" t="s">
        <v>123</v>
      </c>
      <c r="W5" s="115" t="s">
        <v>123</v>
      </c>
      <c r="X5" s="115" t="s">
        <v>123</v>
      </c>
      <c r="Y5" s="119" t="s">
        <v>123</v>
      </c>
      <c r="Z5" s="115" t="s">
        <v>123</v>
      </c>
      <c r="AA5" s="587" t="s">
        <v>123</v>
      </c>
      <c r="AB5" s="588"/>
    </row>
    <row r="6" spans="1:28" x14ac:dyDescent="0.25">
      <c r="A6" s="37">
        <v>3</v>
      </c>
      <c r="B6" s="2" t="s">
        <v>100</v>
      </c>
      <c r="C6" s="561">
        <v>5356.67</v>
      </c>
      <c r="D6" s="621"/>
      <c r="E6" s="85">
        <f>C6</f>
        <v>5356.67</v>
      </c>
      <c r="F6" s="85">
        <f>E6</f>
        <v>5356.67</v>
      </c>
      <c r="G6" s="85">
        <f>F6*1.025</f>
        <v>5490.5867499999995</v>
      </c>
      <c r="H6" s="85">
        <f t="shared" ref="H6:P6" si="0">G6</f>
        <v>5490.5867499999995</v>
      </c>
      <c r="I6" s="85">
        <f t="shared" si="0"/>
        <v>5490.5867499999995</v>
      </c>
      <c r="J6" s="85">
        <f t="shared" si="0"/>
        <v>5490.5867499999995</v>
      </c>
      <c r="K6" s="85">
        <f t="shared" si="0"/>
        <v>5490.5867499999995</v>
      </c>
      <c r="L6" s="85">
        <f t="shared" si="0"/>
        <v>5490.5867499999995</v>
      </c>
      <c r="M6" s="85">
        <f t="shared" si="0"/>
        <v>5490.5867499999995</v>
      </c>
      <c r="N6" s="85">
        <f t="shared" si="0"/>
        <v>5490.5867499999995</v>
      </c>
      <c r="O6" s="85">
        <f t="shared" si="0"/>
        <v>5490.5867499999995</v>
      </c>
      <c r="P6" s="447">
        <f t="shared" si="0"/>
        <v>5490.5867499999995</v>
      </c>
      <c r="Q6" s="448"/>
      <c r="R6" s="85">
        <f>P6</f>
        <v>5490.5867499999995</v>
      </c>
      <c r="S6" s="447">
        <f>R6</f>
        <v>5490.5867499999995</v>
      </c>
      <c r="T6" s="448"/>
      <c r="U6" s="85">
        <f>S6</f>
        <v>5490.5867499999995</v>
      </c>
      <c r="V6" s="85">
        <f t="shared" ref="V6:AA6" si="1">U6</f>
        <v>5490.5867499999995</v>
      </c>
      <c r="W6" s="85">
        <f t="shared" si="1"/>
        <v>5490.5867499999995</v>
      </c>
      <c r="X6" s="85">
        <f t="shared" si="1"/>
        <v>5490.5867499999995</v>
      </c>
      <c r="Y6" s="120">
        <f t="shared" si="1"/>
        <v>5490.5867499999995</v>
      </c>
      <c r="Z6" s="85">
        <f t="shared" si="1"/>
        <v>5490.5867499999995</v>
      </c>
      <c r="AA6" s="589">
        <f t="shared" si="1"/>
        <v>5490.5867499999995</v>
      </c>
      <c r="AB6" s="590"/>
    </row>
    <row r="7" spans="1:28" ht="30" x14ac:dyDescent="0.25">
      <c r="A7" s="37">
        <v>4</v>
      </c>
      <c r="B7" s="2" t="s">
        <v>101</v>
      </c>
      <c r="C7" s="563" t="s">
        <v>155</v>
      </c>
      <c r="D7" s="622"/>
      <c r="E7" s="104" t="s">
        <v>155</v>
      </c>
      <c r="F7" s="104" t="s">
        <v>155</v>
      </c>
      <c r="G7" s="104" t="s">
        <v>155</v>
      </c>
      <c r="H7" s="104" t="s">
        <v>155</v>
      </c>
      <c r="I7" s="104" t="s">
        <v>155</v>
      </c>
      <c r="J7" s="104" t="s">
        <v>155</v>
      </c>
      <c r="K7" s="104" t="s">
        <v>155</v>
      </c>
      <c r="L7" s="104" t="s">
        <v>155</v>
      </c>
      <c r="M7" s="104" t="s">
        <v>155</v>
      </c>
      <c r="N7" s="104" t="s">
        <v>155</v>
      </c>
      <c r="O7" s="104" t="s">
        <v>155</v>
      </c>
      <c r="P7" s="449" t="s">
        <v>155</v>
      </c>
      <c r="Q7" s="450"/>
      <c r="R7" s="104" t="s">
        <v>155</v>
      </c>
      <c r="S7" s="449" t="s">
        <v>155</v>
      </c>
      <c r="T7" s="450"/>
      <c r="U7" s="104" t="s">
        <v>155</v>
      </c>
      <c r="V7" s="104" t="s">
        <v>155</v>
      </c>
      <c r="W7" s="104" t="s">
        <v>155</v>
      </c>
      <c r="X7" s="104" t="s">
        <v>155</v>
      </c>
      <c r="Y7" s="121" t="s">
        <v>155</v>
      </c>
      <c r="Z7" s="104" t="s">
        <v>155</v>
      </c>
      <c r="AA7" s="591" t="s">
        <v>155</v>
      </c>
      <c r="AB7" s="592"/>
    </row>
    <row r="8" spans="1:28" x14ac:dyDescent="0.25">
      <c r="A8" s="37">
        <v>5</v>
      </c>
      <c r="B8" s="2" t="s">
        <v>3</v>
      </c>
      <c r="C8" s="565">
        <v>43922</v>
      </c>
      <c r="D8" s="620"/>
      <c r="E8" s="86">
        <v>44287</v>
      </c>
      <c r="F8" s="86">
        <v>44287</v>
      </c>
      <c r="G8" s="86">
        <v>44287</v>
      </c>
      <c r="H8" s="86">
        <v>44287</v>
      </c>
      <c r="I8" s="86">
        <v>44287</v>
      </c>
      <c r="J8" s="86">
        <v>44287</v>
      </c>
      <c r="K8" s="86">
        <v>44287</v>
      </c>
      <c r="L8" s="86">
        <v>44287</v>
      </c>
      <c r="M8" s="86">
        <v>44287</v>
      </c>
      <c r="N8" s="86">
        <v>44287</v>
      </c>
      <c r="O8" s="86">
        <v>44287</v>
      </c>
      <c r="P8" s="443">
        <v>44287</v>
      </c>
      <c r="Q8" s="444"/>
      <c r="R8" s="86">
        <v>44287</v>
      </c>
      <c r="S8" s="443">
        <v>44287</v>
      </c>
      <c r="T8" s="444"/>
      <c r="U8" s="86">
        <v>44287</v>
      </c>
      <c r="V8" s="86">
        <v>44287</v>
      </c>
      <c r="W8" s="86">
        <v>44287</v>
      </c>
      <c r="X8" s="86">
        <v>44287</v>
      </c>
      <c r="Y8" s="122">
        <v>44287</v>
      </c>
      <c r="Z8" s="86">
        <v>44287</v>
      </c>
      <c r="AA8" s="579">
        <v>44287</v>
      </c>
      <c r="AB8" s="580"/>
    </row>
    <row r="9" spans="1:28" x14ac:dyDescent="0.25">
      <c r="A9" s="37">
        <v>6</v>
      </c>
      <c r="B9" s="2" t="s">
        <v>102</v>
      </c>
      <c r="C9" s="565" t="s">
        <v>154</v>
      </c>
      <c r="D9" s="620"/>
      <c r="E9" s="86" t="s">
        <v>222</v>
      </c>
      <c r="F9" s="86" t="s">
        <v>222</v>
      </c>
      <c r="G9" s="86" t="s">
        <v>222</v>
      </c>
      <c r="H9" s="86" t="s">
        <v>222</v>
      </c>
      <c r="I9" s="86" t="s">
        <v>222</v>
      </c>
      <c r="J9" s="86" t="s">
        <v>222</v>
      </c>
      <c r="K9" s="86" t="s">
        <v>222</v>
      </c>
      <c r="L9" s="86" t="s">
        <v>222</v>
      </c>
      <c r="M9" s="86" t="s">
        <v>222</v>
      </c>
      <c r="N9" s="86" t="s">
        <v>222</v>
      </c>
      <c r="O9" s="86" t="s">
        <v>222</v>
      </c>
      <c r="P9" s="443" t="s">
        <v>222</v>
      </c>
      <c r="Q9" s="444"/>
      <c r="R9" s="86" t="s">
        <v>222</v>
      </c>
      <c r="S9" s="443" t="s">
        <v>222</v>
      </c>
      <c r="T9" s="444"/>
      <c r="U9" s="86" t="s">
        <v>222</v>
      </c>
      <c r="V9" s="86" t="s">
        <v>222</v>
      </c>
      <c r="W9" s="86" t="s">
        <v>222</v>
      </c>
      <c r="X9" s="86" t="s">
        <v>222</v>
      </c>
      <c r="Y9" s="122" t="s">
        <v>222</v>
      </c>
      <c r="Z9" s="86" t="s">
        <v>222</v>
      </c>
      <c r="AA9" s="579" t="s">
        <v>222</v>
      </c>
      <c r="AB9" s="580"/>
    </row>
    <row r="10" spans="1:28" x14ac:dyDescent="0.25">
      <c r="A10" s="34"/>
      <c r="B10" s="35"/>
      <c r="C10" s="35"/>
      <c r="D10" s="84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328"/>
      <c r="Q10" s="329"/>
      <c r="R10" s="115"/>
      <c r="S10" s="328"/>
      <c r="T10" s="329"/>
      <c r="U10" s="115"/>
      <c r="V10" s="115"/>
      <c r="W10" s="115"/>
      <c r="X10" s="115"/>
      <c r="Y10" s="119"/>
      <c r="Z10" s="115"/>
      <c r="AA10" s="370"/>
      <c r="AB10" s="115"/>
    </row>
    <row r="11" spans="1:28" ht="45" x14ac:dyDescent="0.25">
      <c r="A11" s="543" t="s">
        <v>76</v>
      </c>
      <c r="B11" s="544"/>
      <c r="C11" s="544"/>
      <c r="D11" s="613"/>
      <c r="E11" s="240" t="s">
        <v>227</v>
      </c>
      <c r="F11" s="240" t="s">
        <v>227</v>
      </c>
      <c r="G11" s="240" t="s">
        <v>240</v>
      </c>
      <c r="H11" s="240" t="s">
        <v>227</v>
      </c>
      <c r="I11" s="240" t="s">
        <v>227</v>
      </c>
      <c r="J11" s="240" t="s">
        <v>227</v>
      </c>
      <c r="K11" s="240" t="s">
        <v>227</v>
      </c>
      <c r="L11" s="240" t="s">
        <v>227</v>
      </c>
      <c r="M11" s="240" t="s">
        <v>227</v>
      </c>
      <c r="N11" s="240" t="s">
        <v>227</v>
      </c>
      <c r="O11" s="240" t="s">
        <v>227</v>
      </c>
      <c r="P11" s="328"/>
      <c r="Q11" s="224" t="s">
        <v>228</v>
      </c>
      <c r="R11" s="240" t="s">
        <v>227</v>
      </c>
      <c r="S11" s="328"/>
      <c r="T11" s="224" t="s">
        <v>229</v>
      </c>
      <c r="U11" s="240" t="s">
        <v>227</v>
      </c>
      <c r="V11" s="240" t="s">
        <v>227</v>
      </c>
      <c r="W11" s="240" t="s">
        <v>227</v>
      </c>
      <c r="X11" s="240" t="s">
        <v>227</v>
      </c>
      <c r="Y11" s="345" t="s">
        <v>227</v>
      </c>
      <c r="Z11" s="240" t="s">
        <v>227</v>
      </c>
      <c r="AA11" s="370"/>
      <c r="AB11" s="240" t="s">
        <v>284</v>
      </c>
    </row>
    <row r="12" spans="1:28" ht="49.5" customHeight="1" x14ac:dyDescent="0.25">
      <c r="A12" s="38">
        <v>1</v>
      </c>
      <c r="B12" s="546" t="s">
        <v>4</v>
      </c>
      <c r="C12" s="546"/>
      <c r="D12" s="88" t="s">
        <v>5</v>
      </c>
      <c r="E12" s="169" t="s">
        <v>172</v>
      </c>
      <c r="F12" s="169" t="s">
        <v>173</v>
      </c>
      <c r="G12" s="169" t="s">
        <v>174</v>
      </c>
      <c r="H12" s="169" t="s">
        <v>175</v>
      </c>
      <c r="I12" s="169" t="s">
        <v>176</v>
      </c>
      <c r="J12" s="169" t="s">
        <v>177</v>
      </c>
      <c r="K12" s="169" t="s">
        <v>178</v>
      </c>
      <c r="L12" s="169" t="s">
        <v>167</v>
      </c>
      <c r="M12" s="169" t="s">
        <v>179</v>
      </c>
      <c r="N12" s="169" t="s">
        <v>180</v>
      </c>
      <c r="O12" s="169" t="s">
        <v>181</v>
      </c>
      <c r="P12" s="328"/>
      <c r="Q12" s="334" t="s">
        <v>182</v>
      </c>
      <c r="R12" s="169" t="s">
        <v>220</v>
      </c>
      <c r="S12" s="328"/>
      <c r="T12" s="334" t="s">
        <v>221</v>
      </c>
      <c r="U12" s="169" t="s">
        <v>183</v>
      </c>
      <c r="V12" s="169" t="s">
        <v>184</v>
      </c>
      <c r="W12" s="169" t="s">
        <v>185</v>
      </c>
      <c r="X12" s="169" t="s">
        <v>186</v>
      </c>
      <c r="Y12" s="337" t="s">
        <v>223</v>
      </c>
      <c r="Z12" s="169" t="s">
        <v>231</v>
      </c>
      <c r="AA12" s="370"/>
      <c r="AB12" s="169" t="s">
        <v>285</v>
      </c>
    </row>
    <row r="13" spans="1:28" x14ac:dyDescent="0.25">
      <c r="A13" s="40" t="s">
        <v>6</v>
      </c>
      <c r="B13" s="532" t="s">
        <v>7</v>
      </c>
      <c r="C13" s="532"/>
      <c r="D13" s="89">
        <f>C6</f>
        <v>5356.67</v>
      </c>
      <c r="E13" s="105">
        <f t="shared" ref="E13:O13" si="2">E6</f>
        <v>5356.67</v>
      </c>
      <c r="F13" s="83">
        <f t="shared" si="2"/>
        <v>5356.67</v>
      </c>
      <c r="G13" s="83">
        <f t="shared" si="2"/>
        <v>5490.5867499999995</v>
      </c>
      <c r="H13" s="83">
        <f t="shared" si="2"/>
        <v>5490.5867499999995</v>
      </c>
      <c r="I13" s="83">
        <f t="shared" si="2"/>
        <v>5490.5867499999995</v>
      </c>
      <c r="J13" s="83">
        <f t="shared" si="2"/>
        <v>5490.5867499999995</v>
      </c>
      <c r="K13" s="83">
        <f t="shared" si="2"/>
        <v>5490.5867499999995</v>
      </c>
      <c r="L13" s="83">
        <f t="shared" si="2"/>
        <v>5490.5867499999995</v>
      </c>
      <c r="M13" s="83">
        <f t="shared" si="2"/>
        <v>5490.5867499999995</v>
      </c>
      <c r="N13" s="83">
        <f t="shared" si="2"/>
        <v>5490.5867499999995</v>
      </c>
      <c r="O13" s="83">
        <f t="shared" si="2"/>
        <v>5490.5867499999995</v>
      </c>
      <c r="P13" s="328"/>
      <c r="Q13" s="92">
        <f t="shared" ref="Q13:T13" si="3">P6</f>
        <v>5490.5867499999995</v>
      </c>
      <c r="R13" s="105">
        <f>R6</f>
        <v>5490.5867499999995</v>
      </c>
      <c r="S13" s="328"/>
      <c r="T13" s="92">
        <f t="shared" si="3"/>
        <v>5490.5867499999995</v>
      </c>
      <c r="U13" s="105">
        <f t="shared" ref="U13:Z13" si="4">U6</f>
        <v>5490.5867499999995</v>
      </c>
      <c r="V13" s="105">
        <f t="shared" si="4"/>
        <v>5490.5867499999995</v>
      </c>
      <c r="W13" s="105">
        <f t="shared" si="4"/>
        <v>5490.5867499999995</v>
      </c>
      <c r="X13" s="105">
        <f t="shared" si="4"/>
        <v>5490.5867499999995</v>
      </c>
      <c r="Y13" s="123">
        <f t="shared" si="4"/>
        <v>5490.5867499999995</v>
      </c>
      <c r="Z13" s="105">
        <f t="shared" si="4"/>
        <v>5490.5867499999995</v>
      </c>
      <c r="AA13" s="370"/>
      <c r="AB13" s="105">
        <f>AA6</f>
        <v>5490.5867499999995</v>
      </c>
    </row>
    <row r="14" spans="1:28" x14ac:dyDescent="0.25">
      <c r="A14" s="40" t="s">
        <v>8</v>
      </c>
      <c r="B14" s="532" t="s">
        <v>9</v>
      </c>
      <c r="C14" s="532"/>
      <c r="D14" s="89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328"/>
      <c r="Q14" s="92">
        <v>0</v>
      </c>
      <c r="R14" s="83">
        <v>0</v>
      </c>
      <c r="S14" s="328"/>
      <c r="T14" s="92">
        <v>0</v>
      </c>
      <c r="U14" s="83">
        <v>0</v>
      </c>
      <c r="V14" s="83">
        <v>0</v>
      </c>
      <c r="W14" s="83">
        <v>0</v>
      </c>
      <c r="X14" s="83">
        <v>0</v>
      </c>
      <c r="Y14" s="91">
        <v>0</v>
      </c>
      <c r="Z14" s="83">
        <v>0</v>
      </c>
      <c r="AA14" s="370"/>
      <c r="AB14" s="83">
        <v>0</v>
      </c>
    </row>
    <row r="15" spans="1:28" x14ac:dyDescent="0.25">
      <c r="A15" s="40" t="s">
        <v>10</v>
      </c>
      <c r="B15" s="532" t="s">
        <v>11</v>
      </c>
      <c r="C15" s="532"/>
      <c r="D15" s="89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328"/>
      <c r="Q15" s="92">
        <v>0</v>
      </c>
      <c r="R15" s="83">
        <v>0</v>
      </c>
      <c r="S15" s="328"/>
      <c r="T15" s="92">
        <v>0</v>
      </c>
      <c r="U15" s="83">
        <v>0</v>
      </c>
      <c r="V15" s="83">
        <v>0</v>
      </c>
      <c r="W15" s="83">
        <v>0</v>
      </c>
      <c r="X15" s="83">
        <v>0</v>
      </c>
      <c r="Y15" s="91">
        <v>0</v>
      </c>
      <c r="Z15" s="83">
        <v>0</v>
      </c>
      <c r="AA15" s="370"/>
      <c r="AB15" s="83">
        <v>0</v>
      </c>
    </row>
    <row r="16" spans="1:28" x14ac:dyDescent="0.25">
      <c r="A16" s="40" t="s">
        <v>12</v>
      </c>
      <c r="B16" s="532" t="s">
        <v>13</v>
      </c>
      <c r="C16" s="532"/>
      <c r="D16" s="89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328"/>
      <c r="Q16" s="92">
        <v>0</v>
      </c>
      <c r="R16" s="83">
        <v>0</v>
      </c>
      <c r="S16" s="328"/>
      <c r="T16" s="92">
        <v>0</v>
      </c>
      <c r="U16" s="83">
        <v>0</v>
      </c>
      <c r="V16" s="83">
        <v>0</v>
      </c>
      <c r="W16" s="83">
        <v>0</v>
      </c>
      <c r="X16" s="83">
        <v>0</v>
      </c>
      <c r="Y16" s="91">
        <v>0</v>
      </c>
      <c r="Z16" s="83">
        <v>0</v>
      </c>
      <c r="AA16" s="370"/>
      <c r="AB16" s="83">
        <v>0</v>
      </c>
    </row>
    <row r="17" spans="1:28" x14ac:dyDescent="0.25">
      <c r="A17" s="40" t="s">
        <v>14</v>
      </c>
      <c r="B17" s="532" t="s">
        <v>15</v>
      </c>
      <c r="C17" s="532"/>
      <c r="D17" s="89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83">
        <v>0</v>
      </c>
      <c r="P17" s="328"/>
      <c r="Q17" s="92">
        <v>0</v>
      </c>
      <c r="R17" s="83">
        <v>0</v>
      </c>
      <c r="S17" s="328"/>
      <c r="T17" s="92">
        <v>0</v>
      </c>
      <c r="U17" s="83">
        <v>0</v>
      </c>
      <c r="V17" s="83">
        <v>0</v>
      </c>
      <c r="W17" s="83">
        <v>0</v>
      </c>
      <c r="X17" s="83">
        <v>0</v>
      </c>
      <c r="Y17" s="91">
        <v>0</v>
      </c>
      <c r="Z17" s="83">
        <v>0</v>
      </c>
      <c r="AA17" s="370"/>
      <c r="AB17" s="83">
        <v>0</v>
      </c>
    </row>
    <row r="18" spans="1:28" x14ac:dyDescent="0.25">
      <c r="A18" s="40" t="s">
        <v>16</v>
      </c>
      <c r="B18" s="532" t="s">
        <v>17</v>
      </c>
      <c r="C18" s="532"/>
      <c r="D18" s="89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328"/>
      <c r="Q18" s="92">
        <v>0</v>
      </c>
      <c r="R18" s="83">
        <v>0</v>
      </c>
      <c r="S18" s="328"/>
      <c r="T18" s="92">
        <v>0</v>
      </c>
      <c r="U18" s="83">
        <v>0</v>
      </c>
      <c r="V18" s="83">
        <v>0</v>
      </c>
      <c r="W18" s="83">
        <v>0</v>
      </c>
      <c r="X18" s="83">
        <v>0</v>
      </c>
      <c r="Y18" s="91">
        <v>0</v>
      </c>
      <c r="Z18" s="83">
        <v>0</v>
      </c>
      <c r="AA18" s="370"/>
      <c r="AB18" s="83">
        <v>0</v>
      </c>
    </row>
    <row r="19" spans="1:28" x14ac:dyDescent="0.25">
      <c r="A19" s="530" t="s">
        <v>18</v>
      </c>
      <c r="B19" s="531"/>
      <c r="C19" s="531"/>
      <c r="D19" s="89">
        <f>SUM(D13:D18)</f>
        <v>5356.67</v>
      </c>
      <c r="E19" s="83">
        <f>SUM(E13:E18)</f>
        <v>5356.67</v>
      </c>
      <c r="F19" s="83">
        <f t="shared" ref="F19" si="5">SUM(F13:F18)</f>
        <v>5356.67</v>
      </c>
      <c r="G19" s="83">
        <f t="shared" ref="G19" si="6">SUM(G13:G18)</f>
        <v>5490.5867499999995</v>
      </c>
      <c r="H19" s="83">
        <f>SUM(H13:H18)</f>
        <v>5490.5867499999995</v>
      </c>
      <c r="I19" s="83">
        <f>SUM(I13:I18)</f>
        <v>5490.5867499999995</v>
      </c>
      <c r="J19" s="83">
        <f t="shared" ref="J19" si="7">SUM(J13:J18)</f>
        <v>5490.5867499999995</v>
      </c>
      <c r="K19" s="83">
        <f t="shared" ref="K19" si="8">SUM(K13:K18)</f>
        <v>5490.5867499999995</v>
      </c>
      <c r="L19" s="83">
        <f t="shared" ref="L19" si="9">SUM(L13:L18)</f>
        <v>5490.5867499999995</v>
      </c>
      <c r="M19" s="83">
        <f t="shared" ref="M19" si="10">SUM(M13:M18)</f>
        <v>5490.5867499999995</v>
      </c>
      <c r="N19" s="83">
        <f t="shared" ref="N19" si="11">SUM(N13:N18)</f>
        <v>5490.5867499999995</v>
      </c>
      <c r="O19" s="83">
        <f t="shared" ref="O19" si="12">SUM(O13:O18)</f>
        <v>5490.5867499999995</v>
      </c>
      <c r="P19" s="328"/>
      <c r="Q19" s="92">
        <f t="shared" ref="Q19:R19" si="13">SUM(Q13:Q18)</f>
        <v>5490.5867499999995</v>
      </c>
      <c r="R19" s="83">
        <f t="shared" si="13"/>
        <v>5490.5867499999995</v>
      </c>
      <c r="S19" s="328"/>
      <c r="T19" s="92">
        <f t="shared" ref="T19:Z19" si="14">SUM(T13:T18)</f>
        <v>5490.5867499999995</v>
      </c>
      <c r="U19" s="83">
        <f t="shared" si="14"/>
        <v>5490.5867499999995</v>
      </c>
      <c r="V19" s="83">
        <f t="shared" si="14"/>
        <v>5490.5867499999995</v>
      </c>
      <c r="W19" s="83">
        <f t="shared" si="14"/>
        <v>5490.5867499999995</v>
      </c>
      <c r="X19" s="83">
        <f t="shared" si="14"/>
        <v>5490.5867499999995</v>
      </c>
      <c r="Y19" s="91">
        <f t="shared" si="14"/>
        <v>5490.5867499999995</v>
      </c>
      <c r="Z19" s="83">
        <f t="shared" si="14"/>
        <v>5490.5867499999995</v>
      </c>
      <c r="AA19" s="370"/>
      <c r="AB19" s="83">
        <f t="shared" ref="AB19" si="15">SUM(AB13:AB18)</f>
        <v>5490.5867499999995</v>
      </c>
    </row>
    <row r="20" spans="1:28" x14ac:dyDescent="0.25">
      <c r="A20" s="616" t="s">
        <v>19</v>
      </c>
      <c r="B20" s="617"/>
      <c r="C20" s="617"/>
      <c r="D20" s="617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28"/>
      <c r="Q20" s="329"/>
      <c r="R20" s="115"/>
      <c r="S20" s="328"/>
      <c r="T20" s="329"/>
      <c r="U20" s="115"/>
      <c r="V20" s="115"/>
      <c r="W20" s="115"/>
      <c r="X20" s="115"/>
      <c r="Y20" s="119"/>
      <c r="Z20" s="115"/>
      <c r="AA20" s="370"/>
      <c r="AB20" s="115"/>
    </row>
    <row r="21" spans="1:28" x14ac:dyDescent="0.25">
      <c r="A21" s="34"/>
      <c r="B21" s="35"/>
      <c r="C21" s="35"/>
      <c r="D21" s="84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328"/>
      <c r="Q21" s="329"/>
      <c r="R21" s="115"/>
      <c r="S21" s="328"/>
      <c r="T21" s="329"/>
      <c r="U21" s="115"/>
      <c r="V21" s="115"/>
      <c r="W21" s="115"/>
      <c r="X21" s="115"/>
      <c r="Y21" s="119"/>
      <c r="Z21" s="115"/>
      <c r="AA21" s="370"/>
      <c r="AB21" s="115"/>
    </row>
    <row r="22" spans="1:28" x14ac:dyDescent="0.25">
      <c r="A22" s="530" t="s">
        <v>20</v>
      </c>
      <c r="B22" s="531"/>
      <c r="C22" s="531"/>
      <c r="D22" s="612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247"/>
      <c r="Q22" s="329"/>
      <c r="R22" s="115"/>
      <c r="S22" s="328"/>
      <c r="T22" s="329"/>
      <c r="U22" s="115"/>
      <c r="V22" s="115"/>
      <c r="W22" s="115"/>
      <c r="X22" s="115"/>
      <c r="Y22" s="119"/>
      <c r="Z22" s="115"/>
      <c r="AA22" s="370"/>
      <c r="AB22" s="115"/>
    </row>
    <row r="23" spans="1:28" x14ac:dyDescent="0.25">
      <c r="A23" s="530" t="s">
        <v>164</v>
      </c>
      <c r="B23" s="531"/>
      <c r="C23" s="531"/>
      <c r="D23" s="612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247"/>
      <c r="Q23" s="329"/>
      <c r="R23" s="115"/>
      <c r="S23" s="328"/>
      <c r="T23" s="329"/>
      <c r="U23" s="115"/>
      <c r="V23" s="115"/>
      <c r="W23" s="115"/>
      <c r="X23" s="115"/>
      <c r="Y23" s="119"/>
      <c r="Z23" s="115"/>
      <c r="AA23" s="370"/>
      <c r="AB23" s="115"/>
    </row>
    <row r="24" spans="1:28" x14ac:dyDescent="0.25">
      <c r="A24" s="42" t="s">
        <v>21</v>
      </c>
      <c r="B24" s="32" t="s">
        <v>163</v>
      </c>
      <c r="C24" s="33" t="s">
        <v>26</v>
      </c>
      <c r="D24" s="99" t="s">
        <v>5</v>
      </c>
      <c r="E24" s="169" t="s">
        <v>5</v>
      </c>
      <c r="F24" s="169" t="s">
        <v>5</v>
      </c>
      <c r="G24" s="169" t="s">
        <v>5</v>
      </c>
      <c r="H24" s="169" t="s">
        <v>5</v>
      </c>
      <c r="I24" s="169" t="s">
        <v>5</v>
      </c>
      <c r="J24" s="169" t="s">
        <v>5</v>
      </c>
      <c r="K24" s="169" t="s">
        <v>5</v>
      </c>
      <c r="L24" s="169" t="s">
        <v>5</v>
      </c>
      <c r="M24" s="169" t="s">
        <v>5</v>
      </c>
      <c r="N24" s="169" t="s">
        <v>5</v>
      </c>
      <c r="O24" s="169" t="s">
        <v>5</v>
      </c>
      <c r="P24" s="245"/>
      <c r="Q24" s="334" t="s">
        <v>5</v>
      </c>
      <c r="R24" s="169" t="s">
        <v>5</v>
      </c>
      <c r="S24" s="245"/>
      <c r="T24" s="334" t="s">
        <v>5</v>
      </c>
      <c r="U24" s="169" t="s">
        <v>5</v>
      </c>
      <c r="V24" s="169" t="s">
        <v>5</v>
      </c>
      <c r="W24" s="169" t="s">
        <v>5</v>
      </c>
      <c r="X24" s="169" t="s">
        <v>5</v>
      </c>
      <c r="Y24" s="337" t="s">
        <v>5</v>
      </c>
      <c r="Z24" s="169" t="s">
        <v>5</v>
      </c>
      <c r="AA24" s="245"/>
      <c r="AB24" s="169" t="s">
        <v>5</v>
      </c>
    </row>
    <row r="25" spans="1:28" x14ac:dyDescent="0.25">
      <c r="A25" s="40" t="s">
        <v>6</v>
      </c>
      <c r="B25" s="3" t="s">
        <v>22</v>
      </c>
      <c r="C25" s="113">
        <f>(1/11)</f>
        <v>9.0909090909090912E-2</v>
      </c>
      <c r="D25" s="89">
        <f t="shared" ref="D25:O26" si="16">$C25*D$19</f>
        <v>486.97</v>
      </c>
      <c r="E25" s="83">
        <f t="shared" si="16"/>
        <v>486.97</v>
      </c>
      <c r="F25" s="83">
        <f t="shared" si="16"/>
        <v>486.97</v>
      </c>
      <c r="G25" s="83">
        <f t="shared" si="16"/>
        <v>499.14424999999994</v>
      </c>
      <c r="H25" s="83">
        <f t="shared" si="16"/>
        <v>499.14424999999994</v>
      </c>
      <c r="I25" s="83">
        <f t="shared" si="16"/>
        <v>499.14424999999994</v>
      </c>
      <c r="J25" s="83">
        <f t="shared" si="16"/>
        <v>499.14424999999994</v>
      </c>
      <c r="K25" s="83">
        <f t="shared" si="16"/>
        <v>499.14424999999994</v>
      </c>
      <c r="L25" s="83">
        <f t="shared" si="16"/>
        <v>499.14424999999994</v>
      </c>
      <c r="M25" s="83">
        <f t="shared" si="16"/>
        <v>499.14424999999994</v>
      </c>
      <c r="N25" s="83">
        <f t="shared" si="16"/>
        <v>499.14424999999994</v>
      </c>
      <c r="O25" s="83">
        <f t="shared" si="16"/>
        <v>499.14424999999994</v>
      </c>
      <c r="P25" s="117"/>
      <c r="Q25" s="92">
        <f>$C25*Q$19</f>
        <v>499.14424999999994</v>
      </c>
      <c r="R25" s="83">
        <f>$C25*R$19</f>
        <v>499.14424999999994</v>
      </c>
      <c r="S25" s="117"/>
      <c r="T25" s="92">
        <f t="shared" ref="T25:AB26" si="17">$C25*T$19</f>
        <v>499.14424999999994</v>
      </c>
      <c r="U25" s="83">
        <f t="shared" si="17"/>
        <v>499.14424999999994</v>
      </c>
      <c r="V25" s="83">
        <f t="shared" si="17"/>
        <v>499.14424999999994</v>
      </c>
      <c r="W25" s="83">
        <f t="shared" si="17"/>
        <v>499.14424999999994</v>
      </c>
      <c r="X25" s="83">
        <f t="shared" si="17"/>
        <v>499.14424999999994</v>
      </c>
      <c r="Y25" s="91">
        <f t="shared" si="17"/>
        <v>499.14424999999994</v>
      </c>
      <c r="Z25" s="83">
        <f t="shared" si="17"/>
        <v>499.14424999999994</v>
      </c>
      <c r="AA25" s="117"/>
      <c r="AB25" s="83">
        <f t="shared" si="17"/>
        <v>499.14424999999994</v>
      </c>
    </row>
    <row r="26" spans="1:28" x14ac:dyDescent="0.25">
      <c r="A26" s="40" t="s">
        <v>8</v>
      </c>
      <c r="B26" s="3" t="s">
        <v>162</v>
      </c>
      <c r="C26" s="113">
        <f>((1/3)*(1/11))+1/11</f>
        <v>0.12121212121212122</v>
      </c>
      <c r="D26" s="89">
        <f t="shared" si="16"/>
        <v>649.29333333333341</v>
      </c>
      <c r="E26" s="83">
        <f t="shared" si="16"/>
        <v>649.29333333333341</v>
      </c>
      <c r="F26" s="83">
        <f t="shared" si="16"/>
        <v>649.29333333333341</v>
      </c>
      <c r="G26" s="83">
        <f t="shared" si="16"/>
        <v>665.52566666666667</v>
      </c>
      <c r="H26" s="83">
        <f t="shared" si="16"/>
        <v>665.52566666666667</v>
      </c>
      <c r="I26" s="83">
        <f t="shared" si="16"/>
        <v>665.52566666666667</v>
      </c>
      <c r="J26" s="83">
        <f t="shared" si="16"/>
        <v>665.52566666666667</v>
      </c>
      <c r="K26" s="83">
        <f t="shared" si="16"/>
        <v>665.52566666666667</v>
      </c>
      <c r="L26" s="83">
        <f t="shared" si="16"/>
        <v>665.52566666666667</v>
      </c>
      <c r="M26" s="83">
        <f t="shared" si="16"/>
        <v>665.52566666666667</v>
      </c>
      <c r="N26" s="83">
        <f t="shared" si="16"/>
        <v>665.52566666666667</v>
      </c>
      <c r="O26" s="83">
        <f t="shared" si="16"/>
        <v>665.52566666666667</v>
      </c>
      <c r="P26" s="117"/>
      <c r="Q26" s="92">
        <f>$C26*Q$19</f>
        <v>665.52566666666667</v>
      </c>
      <c r="R26" s="83">
        <f>$C26*R$19</f>
        <v>665.52566666666667</v>
      </c>
      <c r="S26" s="117"/>
      <c r="T26" s="92">
        <f t="shared" si="17"/>
        <v>665.52566666666667</v>
      </c>
      <c r="U26" s="83">
        <f t="shared" si="17"/>
        <v>665.52566666666667</v>
      </c>
      <c r="V26" s="83">
        <f t="shared" si="17"/>
        <v>665.52566666666667</v>
      </c>
      <c r="W26" s="83">
        <f t="shared" si="17"/>
        <v>665.52566666666667</v>
      </c>
      <c r="X26" s="83">
        <f t="shared" si="17"/>
        <v>665.52566666666667</v>
      </c>
      <c r="Y26" s="91">
        <f t="shared" si="17"/>
        <v>665.52566666666667</v>
      </c>
      <c r="Z26" s="83">
        <f t="shared" si="17"/>
        <v>665.52566666666667</v>
      </c>
      <c r="AA26" s="117"/>
      <c r="AB26" s="83">
        <f>$C26*AB$19</f>
        <v>665.52566666666667</v>
      </c>
    </row>
    <row r="27" spans="1:28" x14ac:dyDescent="0.25">
      <c r="A27" s="530" t="s">
        <v>18</v>
      </c>
      <c r="B27" s="531"/>
      <c r="C27" s="96">
        <f t="shared" ref="C27:O27" si="18">SUM(C25:C26)</f>
        <v>0.21212121212121213</v>
      </c>
      <c r="D27" s="89">
        <f t="shared" si="18"/>
        <v>1136.2633333333333</v>
      </c>
      <c r="E27" s="83">
        <f t="shared" si="18"/>
        <v>1136.2633333333333</v>
      </c>
      <c r="F27" s="83">
        <f t="shared" si="18"/>
        <v>1136.2633333333333</v>
      </c>
      <c r="G27" s="83">
        <f t="shared" si="18"/>
        <v>1164.6699166666667</v>
      </c>
      <c r="H27" s="83">
        <f t="shared" si="18"/>
        <v>1164.6699166666667</v>
      </c>
      <c r="I27" s="83">
        <f t="shared" si="18"/>
        <v>1164.6699166666667</v>
      </c>
      <c r="J27" s="83">
        <f t="shared" si="18"/>
        <v>1164.6699166666667</v>
      </c>
      <c r="K27" s="83">
        <f t="shared" si="18"/>
        <v>1164.6699166666667</v>
      </c>
      <c r="L27" s="83">
        <f t="shared" si="18"/>
        <v>1164.6699166666667</v>
      </c>
      <c r="M27" s="83">
        <f t="shared" si="18"/>
        <v>1164.6699166666667</v>
      </c>
      <c r="N27" s="83">
        <f t="shared" si="18"/>
        <v>1164.6699166666667</v>
      </c>
      <c r="O27" s="83">
        <f t="shared" si="18"/>
        <v>1164.6699166666667</v>
      </c>
      <c r="P27" s="117"/>
      <c r="Q27" s="92">
        <f>SUM(Q25:Q26)</f>
        <v>1164.6699166666667</v>
      </c>
      <c r="R27" s="83">
        <f>SUM(R25:R26)</f>
        <v>1164.6699166666667</v>
      </c>
      <c r="S27" s="117"/>
      <c r="T27" s="92">
        <f t="shared" ref="T27:Z27" si="19">SUM(T25:T26)</f>
        <v>1164.6699166666667</v>
      </c>
      <c r="U27" s="83">
        <f t="shared" si="19"/>
        <v>1164.6699166666667</v>
      </c>
      <c r="V27" s="83">
        <f t="shared" si="19"/>
        <v>1164.6699166666667</v>
      </c>
      <c r="W27" s="83">
        <f t="shared" si="19"/>
        <v>1164.6699166666667</v>
      </c>
      <c r="X27" s="83">
        <f t="shared" si="19"/>
        <v>1164.6699166666667</v>
      </c>
      <c r="Y27" s="91">
        <f t="shared" si="19"/>
        <v>1164.6699166666667</v>
      </c>
      <c r="Z27" s="83">
        <f t="shared" si="19"/>
        <v>1164.6699166666667</v>
      </c>
      <c r="AA27" s="117"/>
      <c r="AB27" s="83">
        <f>SUM(AB25:AB26)</f>
        <v>1164.6699166666667</v>
      </c>
    </row>
    <row r="28" spans="1:28" x14ac:dyDescent="0.25">
      <c r="A28" s="604" t="s">
        <v>103</v>
      </c>
      <c r="B28" s="605"/>
      <c r="C28" s="605"/>
      <c r="D28" s="60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247"/>
      <c r="Q28" s="329"/>
      <c r="R28" s="115"/>
      <c r="S28" s="328"/>
      <c r="T28" s="329"/>
      <c r="U28" s="115"/>
      <c r="V28" s="115"/>
      <c r="W28" s="115"/>
      <c r="X28" s="115"/>
      <c r="Y28" s="119"/>
      <c r="Z28" s="115"/>
      <c r="AA28" s="370"/>
      <c r="AB28" s="115"/>
    </row>
    <row r="29" spans="1:28" x14ac:dyDescent="0.25">
      <c r="A29" s="604" t="s">
        <v>104</v>
      </c>
      <c r="B29" s="605"/>
      <c r="C29" s="605"/>
      <c r="D29" s="60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247"/>
      <c r="Q29" s="329"/>
      <c r="R29" s="115"/>
      <c r="S29" s="328"/>
      <c r="T29" s="329"/>
      <c r="U29" s="115"/>
      <c r="V29" s="115"/>
      <c r="W29" s="115"/>
      <c r="X29" s="115"/>
      <c r="Y29" s="119"/>
      <c r="Z29" s="115"/>
      <c r="AA29" s="370"/>
      <c r="AB29" s="115"/>
    </row>
    <row r="30" spans="1:28" x14ac:dyDescent="0.25">
      <c r="A30" s="604" t="s">
        <v>105</v>
      </c>
      <c r="B30" s="605"/>
      <c r="C30" s="605"/>
      <c r="D30" s="60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328"/>
      <c r="Q30" s="329"/>
      <c r="R30" s="115"/>
      <c r="S30" s="328"/>
      <c r="T30" s="329"/>
      <c r="U30" s="115"/>
      <c r="V30" s="115"/>
      <c r="W30" s="115"/>
      <c r="X30" s="115"/>
      <c r="Y30" s="119"/>
      <c r="Z30" s="115"/>
      <c r="AA30" s="370"/>
      <c r="AB30" s="115"/>
    </row>
    <row r="31" spans="1:28" x14ac:dyDescent="0.25">
      <c r="A31" s="34"/>
      <c r="B31" s="35"/>
      <c r="C31" s="35"/>
      <c r="D31" s="84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328"/>
      <c r="Q31" s="329"/>
      <c r="R31" s="115"/>
      <c r="S31" s="328"/>
      <c r="T31" s="329"/>
      <c r="U31" s="115"/>
      <c r="V31" s="115"/>
      <c r="W31" s="115"/>
      <c r="X31" s="115"/>
      <c r="Y31" s="119"/>
      <c r="Z31" s="115"/>
      <c r="AA31" s="370"/>
      <c r="AB31" s="115"/>
    </row>
    <row r="32" spans="1:28" x14ac:dyDescent="0.25">
      <c r="A32" s="550" t="s">
        <v>23</v>
      </c>
      <c r="B32" s="551"/>
      <c r="C32" s="551"/>
      <c r="D32" s="614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70"/>
      <c r="Q32" s="329"/>
      <c r="R32" s="115"/>
      <c r="S32" s="328"/>
      <c r="T32" s="329"/>
      <c r="U32" s="115"/>
      <c r="V32" s="115"/>
      <c r="W32" s="115"/>
      <c r="X32" s="115"/>
      <c r="Y32" s="119"/>
      <c r="Z32" s="115"/>
      <c r="AA32" s="370"/>
      <c r="AB32" s="115"/>
    </row>
    <row r="33" spans="1:28" x14ac:dyDescent="0.25">
      <c r="A33" s="38" t="s">
        <v>24</v>
      </c>
      <c r="B33" s="33" t="s">
        <v>25</v>
      </c>
      <c r="C33" s="33" t="s">
        <v>26</v>
      </c>
      <c r="D33" s="82" t="s">
        <v>5</v>
      </c>
      <c r="E33" s="189" t="s">
        <v>5</v>
      </c>
      <c r="F33" s="189" t="s">
        <v>5</v>
      </c>
      <c r="G33" s="189" t="s">
        <v>5</v>
      </c>
      <c r="H33" s="189" t="s">
        <v>5</v>
      </c>
      <c r="I33" s="189" t="s">
        <v>5</v>
      </c>
      <c r="J33" s="189" t="s">
        <v>5</v>
      </c>
      <c r="K33" s="189" t="s">
        <v>5</v>
      </c>
      <c r="L33" s="189" t="s">
        <v>5</v>
      </c>
      <c r="M33" s="189" t="s">
        <v>5</v>
      </c>
      <c r="N33" s="189" t="s">
        <v>5</v>
      </c>
      <c r="O33" s="189" t="s">
        <v>5</v>
      </c>
      <c r="P33" s="197" t="s">
        <v>26</v>
      </c>
      <c r="Q33" s="93" t="s">
        <v>5</v>
      </c>
      <c r="R33" s="189" t="s">
        <v>5</v>
      </c>
      <c r="S33" s="245"/>
      <c r="T33" s="93" t="s">
        <v>5</v>
      </c>
      <c r="U33" s="189" t="s">
        <v>5</v>
      </c>
      <c r="V33" s="189" t="s">
        <v>5</v>
      </c>
      <c r="W33" s="189" t="s">
        <v>5</v>
      </c>
      <c r="X33" s="189" t="s">
        <v>5</v>
      </c>
      <c r="Y33" s="338" t="s">
        <v>5</v>
      </c>
      <c r="Z33" s="189" t="s">
        <v>5</v>
      </c>
      <c r="AA33" s="197" t="s">
        <v>26</v>
      </c>
      <c r="AB33" s="189" t="s">
        <v>5</v>
      </c>
    </row>
    <row r="34" spans="1:28" x14ac:dyDescent="0.25">
      <c r="A34" s="40" t="s">
        <v>6</v>
      </c>
      <c r="B34" s="3" t="s">
        <v>27</v>
      </c>
      <c r="C34" s="95">
        <v>0</v>
      </c>
      <c r="D34" s="89">
        <f t="shared" ref="D34:E41" si="20">$C34*(D$19+D$27)</f>
        <v>0</v>
      </c>
      <c r="E34" s="83">
        <f t="shared" si="20"/>
        <v>0</v>
      </c>
      <c r="F34" s="83">
        <f t="shared" ref="F34:O41" si="21">$C34*(F$19+F$27)</f>
        <v>0</v>
      </c>
      <c r="G34" s="83">
        <f t="shared" si="21"/>
        <v>0</v>
      </c>
      <c r="H34" s="83">
        <f t="shared" si="21"/>
        <v>0</v>
      </c>
      <c r="I34" s="83">
        <f t="shared" si="21"/>
        <v>0</v>
      </c>
      <c r="J34" s="83">
        <f t="shared" si="21"/>
        <v>0</v>
      </c>
      <c r="K34" s="83">
        <f t="shared" si="21"/>
        <v>0</v>
      </c>
      <c r="L34" s="83">
        <f t="shared" si="21"/>
        <v>0</v>
      </c>
      <c r="M34" s="83">
        <f t="shared" si="21"/>
        <v>0</v>
      </c>
      <c r="N34" s="83">
        <f t="shared" si="21"/>
        <v>0</v>
      </c>
      <c r="O34" s="83">
        <f t="shared" si="21"/>
        <v>0</v>
      </c>
      <c r="P34" s="107">
        <v>0</v>
      </c>
      <c r="Q34" s="92">
        <f t="shared" ref="Q34:Z34" si="22">P34*(Q$19+Q$27)</f>
        <v>0</v>
      </c>
      <c r="R34" s="83">
        <f t="shared" si="22"/>
        <v>0</v>
      </c>
      <c r="S34" s="117"/>
      <c r="T34" s="92">
        <f t="shared" si="22"/>
        <v>0</v>
      </c>
      <c r="U34" s="83">
        <f t="shared" si="22"/>
        <v>0</v>
      </c>
      <c r="V34" s="83">
        <f t="shared" si="22"/>
        <v>0</v>
      </c>
      <c r="W34" s="83">
        <f t="shared" si="22"/>
        <v>0</v>
      </c>
      <c r="X34" s="83">
        <f t="shared" si="22"/>
        <v>0</v>
      </c>
      <c r="Y34" s="91">
        <f t="shared" si="22"/>
        <v>0</v>
      </c>
      <c r="Z34" s="83">
        <f t="shared" si="22"/>
        <v>0</v>
      </c>
      <c r="AA34" s="107">
        <v>0</v>
      </c>
      <c r="AB34" s="83">
        <f>AA34*(AB$19+AB$27)</f>
        <v>0</v>
      </c>
    </row>
    <row r="35" spans="1:28" x14ac:dyDescent="0.25">
      <c r="A35" s="40" t="s">
        <v>8</v>
      </c>
      <c r="B35" s="3" t="s">
        <v>28</v>
      </c>
      <c r="C35" s="95">
        <v>2.5000000000000001E-2</v>
      </c>
      <c r="D35" s="89">
        <f t="shared" si="20"/>
        <v>162.32333333333335</v>
      </c>
      <c r="E35" s="83">
        <f t="shared" si="20"/>
        <v>162.32333333333335</v>
      </c>
      <c r="F35" s="83">
        <f t="shared" si="21"/>
        <v>162.32333333333335</v>
      </c>
      <c r="G35" s="83">
        <f t="shared" si="21"/>
        <v>166.38141666666667</v>
      </c>
      <c r="H35" s="83">
        <f t="shared" si="21"/>
        <v>166.38141666666667</v>
      </c>
      <c r="I35" s="83">
        <f t="shared" si="21"/>
        <v>166.38141666666667</v>
      </c>
      <c r="J35" s="83">
        <f t="shared" si="21"/>
        <v>166.38141666666667</v>
      </c>
      <c r="K35" s="83">
        <f t="shared" si="21"/>
        <v>166.38141666666667</v>
      </c>
      <c r="L35" s="83">
        <f t="shared" si="21"/>
        <v>166.38141666666667</v>
      </c>
      <c r="M35" s="83">
        <f t="shared" si="21"/>
        <v>166.38141666666667</v>
      </c>
      <c r="N35" s="83">
        <f t="shared" si="21"/>
        <v>166.38141666666667</v>
      </c>
      <c r="O35" s="83">
        <f t="shared" si="21"/>
        <v>166.38141666666667</v>
      </c>
      <c r="P35" s="107">
        <v>2.5000000000000001E-2</v>
      </c>
      <c r="Q35" s="92">
        <f>$C35*(Q$19+Q$27)</f>
        <v>166.38141666666667</v>
      </c>
      <c r="R35" s="83">
        <f>$C35*(R$19+R$27)</f>
        <v>166.38141666666667</v>
      </c>
      <c r="S35" s="117"/>
      <c r="T35" s="92">
        <f t="shared" ref="T35:Z35" si="23">$C35*(T$19+T$27)</f>
        <v>166.38141666666667</v>
      </c>
      <c r="U35" s="83">
        <f t="shared" si="23"/>
        <v>166.38141666666667</v>
      </c>
      <c r="V35" s="83">
        <f t="shared" si="23"/>
        <v>166.38141666666667</v>
      </c>
      <c r="W35" s="83">
        <f t="shared" si="23"/>
        <v>166.38141666666667</v>
      </c>
      <c r="X35" s="83">
        <f t="shared" si="23"/>
        <v>166.38141666666667</v>
      </c>
      <c r="Y35" s="91">
        <f t="shared" si="23"/>
        <v>166.38141666666667</v>
      </c>
      <c r="Z35" s="83">
        <f t="shared" si="23"/>
        <v>166.38141666666667</v>
      </c>
      <c r="AA35" s="107">
        <v>2.5000000000000001E-2</v>
      </c>
      <c r="AB35" s="83">
        <f>$AA35*(AB$19+AB$27)</f>
        <v>166.38141666666667</v>
      </c>
    </row>
    <row r="36" spans="1:28" x14ac:dyDescent="0.25">
      <c r="A36" s="40" t="s">
        <v>10</v>
      </c>
      <c r="B36" s="3" t="s">
        <v>106</v>
      </c>
      <c r="C36" s="95">
        <f>2%*1.2718</f>
        <v>2.5436E-2</v>
      </c>
      <c r="D36" s="89">
        <f t="shared" si="20"/>
        <v>165.15425226666667</v>
      </c>
      <c r="E36" s="83">
        <f t="shared" si="20"/>
        <v>165.15425226666667</v>
      </c>
      <c r="F36" s="83">
        <f t="shared" si="21"/>
        <v>165.15425226666667</v>
      </c>
      <c r="G36" s="83">
        <f t="shared" si="21"/>
        <v>169.28310857333332</v>
      </c>
      <c r="H36" s="83">
        <f t="shared" si="21"/>
        <v>169.28310857333332</v>
      </c>
      <c r="I36" s="83">
        <f t="shared" si="21"/>
        <v>169.28310857333332</v>
      </c>
      <c r="J36" s="83">
        <f t="shared" si="21"/>
        <v>169.28310857333332</v>
      </c>
      <c r="K36" s="83">
        <f t="shared" si="21"/>
        <v>169.28310857333332</v>
      </c>
      <c r="L36" s="83">
        <f t="shared" si="21"/>
        <v>169.28310857333332</v>
      </c>
      <c r="M36" s="83">
        <f t="shared" si="21"/>
        <v>169.28310857333332</v>
      </c>
      <c r="N36" s="83">
        <f t="shared" si="21"/>
        <v>169.28310857333332</v>
      </c>
      <c r="O36" s="83">
        <f t="shared" si="21"/>
        <v>169.28310857333332</v>
      </c>
      <c r="P36" s="107">
        <f>2%*1.0115</f>
        <v>2.0230000000000001E-2</v>
      </c>
      <c r="Q36" s="92">
        <f>$P$36*(Q$19+Q$27)</f>
        <v>134.63584236666668</v>
      </c>
      <c r="R36" s="83">
        <f>$P$36*(R$19+R$27)</f>
        <v>134.63584236666668</v>
      </c>
      <c r="S36" s="117"/>
      <c r="T36" s="92">
        <f t="shared" ref="T36:Z36" si="24">$P$36*(T$19+T$27)</f>
        <v>134.63584236666668</v>
      </c>
      <c r="U36" s="83">
        <f t="shared" si="24"/>
        <v>134.63584236666668</v>
      </c>
      <c r="V36" s="83">
        <f t="shared" si="24"/>
        <v>134.63584236666668</v>
      </c>
      <c r="W36" s="83">
        <f t="shared" si="24"/>
        <v>134.63584236666668</v>
      </c>
      <c r="X36" s="83">
        <f t="shared" si="24"/>
        <v>134.63584236666668</v>
      </c>
      <c r="Y36" s="91">
        <f t="shared" si="24"/>
        <v>134.63584236666668</v>
      </c>
      <c r="Z36" s="83">
        <f t="shared" si="24"/>
        <v>134.63584236666668</v>
      </c>
      <c r="AA36" s="107">
        <f>2%*0.5</f>
        <v>0.01</v>
      </c>
      <c r="AB36" s="83">
        <f>$AA$36*(AB$19+AB$27)</f>
        <v>66.552566666666664</v>
      </c>
    </row>
    <row r="37" spans="1:28" x14ac:dyDescent="0.25">
      <c r="A37" s="40" t="s">
        <v>12</v>
      </c>
      <c r="B37" s="3" t="s">
        <v>29</v>
      </c>
      <c r="C37" s="95">
        <v>1.4999999999999999E-2</v>
      </c>
      <c r="D37" s="89">
        <f t="shared" si="20"/>
        <v>97.393999999999991</v>
      </c>
      <c r="E37" s="83">
        <f t="shared" si="20"/>
        <v>97.393999999999991</v>
      </c>
      <c r="F37" s="83">
        <f t="shared" si="21"/>
        <v>97.393999999999991</v>
      </c>
      <c r="G37" s="83">
        <f t="shared" si="21"/>
        <v>99.828849999999989</v>
      </c>
      <c r="H37" s="83">
        <f t="shared" si="21"/>
        <v>99.828849999999989</v>
      </c>
      <c r="I37" s="83">
        <f t="shared" si="21"/>
        <v>99.828849999999989</v>
      </c>
      <c r="J37" s="83">
        <f t="shared" si="21"/>
        <v>99.828849999999989</v>
      </c>
      <c r="K37" s="83">
        <f t="shared" si="21"/>
        <v>99.828849999999989</v>
      </c>
      <c r="L37" s="83">
        <f t="shared" si="21"/>
        <v>99.828849999999989</v>
      </c>
      <c r="M37" s="83">
        <f t="shared" si="21"/>
        <v>99.828849999999989</v>
      </c>
      <c r="N37" s="83">
        <f t="shared" si="21"/>
        <v>99.828849999999989</v>
      </c>
      <c r="O37" s="83">
        <f t="shared" si="21"/>
        <v>99.828849999999989</v>
      </c>
      <c r="P37" s="107">
        <v>1.4999999999999999E-2</v>
      </c>
      <c r="Q37" s="92">
        <f t="shared" ref="Q37:R41" si="25">$C37*(Q$19+Q$27)</f>
        <v>99.828849999999989</v>
      </c>
      <c r="R37" s="83">
        <f t="shared" si="25"/>
        <v>99.828849999999989</v>
      </c>
      <c r="S37" s="245"/>
      <c r="T37" s="92">
        <f t="shared" ref="T37:Z41" si="26">$C37*(T$19+T$27)</f>
        <v>99.828849999999989</v>
      </c>
      <c r="U37" s="83">
        <f t="shared" si="26"/>
        <v>99.828849999999989</v>
      </c>
      <c r="V37" s="83">
        <f t="shared" si="26"/>
        <v>99.828849999999989</v>
      </c>
      <c r="W37" s="83">
        <f t="shared" si="26"/>
        <v>99.828849999999989</v>
      </c>
      <c r="X37" s="83">
        <f t="shared" si="26"/>
        <v>99.828849999999989</v>
      </c>
      <c r="Y37" s="91">
        <f t="shared" si="26"/>
        <v>99.828849999999989</v>
      </c>
      <c r="Z37" s="83">
        <f t="shared" si="26"/>
        <v>99.828849999999989</v>
      </c>
      <c r="AA37" s="107">
        <v>1.4999999999999999E-2</v>
      </c>
      <c r="AB37" s="83">
        <f>$AA37*(AB$19+AB$27)</f>
        <v>99.828849999999989</v>
      </c>
    </row>
    <row r="38" spans="1:28" x14ac:dyDescent="0.25">
      <c r="A38" s="40" t="s">
        <v>14</v>
      </c>
      <c r="B38" s="3" t="s">
        <v>30</v>
      </c>
      <c r="C38" s="95">
        <v>0.01</v>
      </c>
      <c r="D38" s="89">
        <f t="shared" si="20"/>
        <v>64.929333333333332</v>
      </c>
      <c r="E38" s="83">
        <f t="shared" si="20"/>
        <v>64.929333333333332</v>
      </c>
      <c r="F38" s="83">
        <f t="shared" si="21"/>
        <v>64.929333333333332</v>
      </c>
      <c r="G38" s="83">
        <f t="shared" si="21"/>
        <v>66.552566666666664</v>
      </c>
      <c r="H38" s="83">
        <f t="shared" si="21"/>
        <v>66.552566666666664</v>
      </c>
      <c r="I38" s="83">
        <f t="shared" si="21"/>
        <v>66.552566666666664</v>
      </c>
      <c r="J38" s="83">
        <f t="shared" si="21"/>
        <v>66.552566666666664</v>
      </c>
      <c r="K38" s="83">
        <f t="shared" si="21"/>
        <v>66.552566666666664</v>
      </c>
      <c r="L38" s="83">
        <f t="shared" si="21"/>
        <v>66.552566666666664</v>
      </c>
      <c r="M38" s="83">
        <f t="shared" si="21"/>
        <v>66.552566666666664</v>
      </c>
      <c r="N38" s="83">
        <f t="shared" si="21"/>
        <v>66.552566666666664</v>
      </c>
      <c r="O38" s="83">
        <f t="shared" si="21"/>
        <v>66.552566666666664</v>
      </c>
      <c r="P38" s="107">
        <v>0.01</v>
      </c>
      <c r="Q38" s="92">
        <f t="shared" si="25"/>
        <v>66.552566666666664</v>
      </c>
      <c r="R38" s="83">
        <f t="shared" si="25"/>
        <v>66.552566666666664</v>
      </c>
      <c r="S38" s="117"/>
      <c r="T38" s="92">
        <f t="shared" si="26"/>
        <v>66.552566666666664</v>
      </c>
      <c r="U38" s="83">
        <f t="shared" si="26"/>
        <v>66.552566666666664</v>
      </c>
      <c r="V38" s="83">
        <f t="shared" si="26"/>
        <v>66.552566666666664</v>
      </c>
      <c r="W38" s="83">
        <f t="shared" si="26"/>
        <v>66.552566666666664</v>
      </c>
      <c r="X38" s="83">
        <f t="shared" si="26"/>
        <v>66.552566666666664</v>
      </c>
      <c r="Y38" s="91">
        <f t="shared" si="26"/>
        <v>66.552566666666664</v>
      </c>
      <c r="Z38" s="83">
        <f t="shared" si="26"/>
        <v>66.552566666666664</v>
      </c>
      <c r="AA38" s="107">
        <v>0.01</v>
      </c>
      <c r="AB38" s="83">
        <f>$AA38*(AB$19+AB$27)</f>
        <v>66.552566666666664</v>
      </c>
    </row>
    <row r="39" spans="1:28" x14ac:dyDescent="0.25">
      <c r="A39" s="40" t="s">
        <v>16</v>
      </c>
      <c r="B39" s="3" t="s">
        <v>31</v>
      </c>
      <c r="C39" s="95">
        <v>6.0000000000000001E-3</v>
      </c>
      <c r="D39" s="89">
        <f t="shared" si="20"/>
        <v>38.957599999999999</v>
      </c>
      <c r="E39" s="83">
        <f t="shared" si="20"/>
        <v>38.957599999999999</v>
      </c>
      <c r="F39" s="83">
        <f t="shared" si="21"/>
        <v>38.957599999999999</v>
      </c>
      <c r="G39" s="83">
        <f t="shared" si="21"/>
        <v>39.931539999999998</v>
      </c>
      <c r="H39" s="83">
        <f t="shared" si="21"/>
        <v>39.931539999999998</v>
      </c>
      <c r="I39" s="83">
        <f t="shared" si="21"/>
        <v>39.931539999999998</v>
      </c>
      <c r="J39" s="83">
        <f t="shared" si="21"/>
        <v>39.931539999999998</v>
      </c>
      <c r="K39" s="83">
        <f t="shared" si="21"/>
        <v>39.931539999999998</v>
      </c>
      <c r="L39" s="83">
        <f t="shared" si="21"/>
        <v>39.931539999999998</v>
      </c>
      <c r="M39" s="83">
        <f t="shared" si="21"/>
        <v>39.931539999999998</v>
      </c>
      <c r="N39" s="83">
        <f t="shared" si="21"/>
        <v>39.931539999999998</v>
      </c>
      <c r="O39" s="83">
        <f t="shared" si="21"/>
        <v>39.931539999999998</v>
      </c>
      <c r="P39" s="107">
        <v>6.0000000000000001E-3</v>
      </c>
      <c r="Q39" s="92">
        <f t="shared" si="25"/>
        <v>39.931539999999998</v>
      </c>
      <c r="R39" s="83">
        <f t="shared" si="25"/>
        <v>39.931539999999998</v>
      </c>
      <c r="S39" s="245"/>
      <c r="T39" s="92">
        <f t="shared" si="26"/>
        <v>39.931539999999998</v>
      </c>
      <c r="U39" s="83">
        <f t="shared" si="26"/>
        <v>39.931539999999998</v>
      </c>
      <c r="V39" s="83">
        <f t="shared" si="26"/>
        <v>39.931539999999998</v>
      </c>
      <c r="W39" s="83">
        <f t="shared" si="26"/>
        <v>39.931539999999998</v>
      </c>
      <c r="X39" s="83">
        <f t="shared" si="26"/>
        <v>39.931539999999998</v>
      </c>
      <c r="Y39" s="91">
        <f t="shared" si="26"/>
        <v>39.931539999999998</v>
      </c>
      <c r="Z39" s="83">
        <f t="shared" si="26"/>
        <v>39.931539999999998</v>
      </c>
      <c r="AA39" s="107">
        <v>6.0000000000000001E-3</v>
      </c>
      <c r="AB39" s="83">
        <f>$AA39*(AB$19+AB$27)</f>
        <v>39.931539999999998</v>
      </c>
    </row>
    <row r="40" spans="1:28" x14ac:dyDescent="0.25">
      <c r="A40" s="40" t="s">
        <v>32</v>
      </c>
      <c r="B40" s="3" t="s">
        <v>33</v>
      </c>
      <c r="C40" s="95">
        <v>2E-3</v>
      </c>
      <c r="D40" s="89">
        <f t="shared" si="20"/>
        <v>12.985866666666666</v>
      </c>
      <c r="E40" s="83">
        <f t="shared" si="20"/>
        <v>12.985866666666666</v>
      </c>
      <c r="F40" s="83">
        <f t="shared" si="21"/>
        <v>12.985866666666666</v>
      </c>
      <c r="G40" s="83">
        <f t="shared" si="21"/>
        <v>13.310513333333333</v>
      </c>
      <c r="H40" s="83">
        <f t="shared" si="21"/>
        <v>13.310513333333333</v>
      </c>
      <c r="I40" s="83">
        <f t="shared" si="21"/>
        <v>13.310513333333333</v>
      </c>
      <c r="J40" s="83">
        <f t="shared" si="21"/>
        <v>13.310513333333333</v>
      </c>
      <c r="K40" s="83">
        <f t="shared" si="21"/>
        <v>13.310513333333333</v>
      </c>
      <c r="L40" s="83">
        <f t="shared" si="21"/>
        <v>13.310513333333333</v>
      </c>
      <c r="M40" s="83">
        <f t="shared" si="21"/>
        <v>13.310513333333333</v>
      </c>
      <c r="N40" s="83">
        <f t="shared" si="21"/>
        <v>13.310513333333333</v>
      </c>
      <c r="O40" s="83">
        <f t="shared" si="21"/>
        <v>13.310513333333333</v>
      </c>
      <c r="P40" s="107">
        <v>2E-3</v>
      </c>
      <c r="Q40" s="92">
        <f t="shared" si="25"/>
        <v>13.310513333333333</v>
      </c>
      <c r="R40" s="83">
        <f t="shared" si="25"/>
        <v>13.310513333333333</v>
      </c>
      <c r="S40" s="117"/>
      <c r="T40" s="92">
        <f t="shared" si="26"/>
        <v>13.310513333333333</v>
      </c>
      <c r="U40" s="83">
        <f t="shared" si="26"/>
        <v>13.310513333333333</v>
      </c>
      <c r="V40" s="83">
        <f t="shared" si="26"/>
        <v>13.310513333333333</v>
      </c>
      <c r="W40" s="83">
        <f t="shared" si="26"/>
        <v>13.310513333333333</v>
      </c>
      <c r="X40" s="83">
        <f t="shared" si="26"/>
        <v>13.310513333333333</v>
      </c>
      <c r="Y40" s="91">
        <f t="shared" si="26"/>
        <v>13.310513333333333</v>
      </c>
      <c r="Z40" s="83">
        <f t="shared" si="26"/>
        <v>13.310513333333333</v>
      </c>
      <c r="AA40" s="107">
        <v>2E-3</v>
      </c>
      <c r="AB40" s="83">
        <f>$AA40*(AB$19+AB$27)</f>
        <v>13.310513333333333</v>
      </c>
    </row>
    <row r="41" spans="1:28" x14ac:dyDescent="0.25">
      <c r="A41" s="40" t="s">
        <v>34</v>
      </c>
      <c r="B41" s="3" t="s">
        <v>35</v>
      </c>
      <c r="C41" s="95">
        <v>0.08</v>
      </c>
      <c r="D41" s="89">
        <f t="shared" si="20"/>
        <v>519.43466666666666</v>
      </c>
      <c r="E41" s="83">
        <f t="shared" si="20"/>
        <v>519.43466666666666</v>
      </c>
      <c r="F41" s="83">
        <f t="shared" si="21"/>
        <v>519.43466666666666</v>
      </c>
      <c r="G41" s="83">
        <f t="shared" si="21"/>
        <v>532.42053333333331</v>
      </c>
      <c r="H41" s="83">
        <f t="shared" si="21"/>
        <v>532.42053333333331</v>
      </c>
      <c r="I41" s="83">
        <f t="shared" si="21"/>
        <v>532.42053333333331</v>
      </c>
      <c r="J41" s="83">
        <f t="shared" si="21"/>
        <v>532.42053333333331</v>
      </c>
      <c r="K41" s="83">
        <f t="shared" si="21"/>
        <v>532.42053333333331</v>
      </c>
      <c r="L41" s="83">
        <f t="shared" si="21"/>
        <v>532.42053333333331</v>
      </c>
      <c r="M41" s="83">
        <f t="shared" si="21"/>
        <v>532.42053333333331</v>
      </c>
      <c r="N41" s="83">
        <f t="shared" si="21"/>
        <v>532.42053333333331</v>
      </c>
      <c r="O41" s="83">
        <f t="shared" si="21"/>
        <v>532.42053333333331</v>
      </c>
      <c r="P41" s="107">
        <v>0.08</v>
      </c>
      <c r="Q41" s="92">
        <f t="shared" si="25"/>
        <v>532.42053333333331</v>
      </c>
      <c r="R41" s="83">
        <f t="shared" si="25"/>
        <v>532.42053333333331</v>
      </c>
      <c r="S41" s="117"/>
      <c r="T41" s="92">
        <f t="shared" si="26"/>
        <v>532.42053333333331</v>
      </c>
      <c r="U41" s="83">
        <f t="shared" si="26"/>
        <v>532.42053333333331</v>
      </c>
      <c r="V41" s="83">
        <f t="shared" si="26"/>
        <v>532.42053333333331</v>
      </c>
      <c r="W41" s="83">
        <f t="shared" si="26"/>
        <v>532.42053333333331</v>
      </c>
      <c r="X41" s="83">
        <f t="shared" si="26"/>
        <v>532.42053333333331</v>
      </c>
      <c r="Y41" s="91">
        <f t="shared" si="26"/>
        <v>532.42053333333331</v>
      </c>
      <c r="Z41" s="83">
        <f t="shared" si="26"/>
        <v>532.42053333333331</v>
      </c>
      <c r="AA41" s="107">
        <v>0.08</v>
      </c>
      <c r="AB41" s="83">
        <f>$AA41*(AB$19+AB$27)</f>
        <v>532.42053333333331</v>
      </c>
    </row>
    <row r="42" spans="1:28" x14ac:dyDescent="0.25">
      <c r="A42" s="609" t="s">
        <v>18</v>
      </c>
      <c r="B42" s="611"/>
      <c r="C42" s="111">
        <f>SUM(C34:C41)</f>
        <v>0.163436</v>
      </c>
      <c r="D42" s="89">
        <f>SUM(D34:D41)</f>
        <v>1061.1790522666665</v>
      </c>
      <c r="E42" s="83">
        <f>SUM(E34:E41)</f>
        <v>1061.1790522666665</v>
      </c>
      <c r="F42" s="83">
        <f t="shared" ref="F42:O42" si="27">SUM(F34:F41)</f>
        <v>1061.1790522666665</v>
      </c>
      <c r="G42" s="83">
        <f t="shared" si="27"/>
        <v>1087.7085285733333</v>
      </c>
      <c r="H42" s="83">
        <f t="shared" si="27"/>
        <v>1087.7085285733333</v>
      </c>
      <c r="I42" s="83">
        <f t="shared" si="27"/>
        <v>1087.7085285733333</v>
      </c>
      <c r="J42" s="83">
        <f t="shared" si="27"/>
        <v>1087.7085285733333</v>
      </c>
      <c r="K42" s="83">
        <f t="shared" si="27"/>
        <v>1087.7085285733333</v>
      </c>
      <c r="L42" s="83">
        <f t="shared" si="27"/>
        <v>1087.7085285733333</v>
      </c>
      <c r="M42" s="83">
        <f t="shared" si="27"/>
        <v>1087.7085285733333</v>
      </c>
      <c r="N42" s="83">
        <f t="shared" si="27"/>
        <v>1087.7085285733333</v>
      </c>
      <c r="O42" s="83">
        <f t="shared" si="27"/>
        <v>1087.7085285733333</v>
      </c>
      <c r="P42" s="194">
        <f t="shared" ref="P42" si="28">SUM(P34:P41)</f>
        <v>0.15823000000000001</v>
      </c>
      <c r="Q42" s="92">
        <f t="shared" ref="Q42" si="29">SUM(Q34:Q41)</f>
        <v>1053.0612623666666</v>
      </c>
      <c r="R42" s="83">
        <f t="shared" ref="R42" si="30">SUM(R34:R41)</f>
        <v>1053.0612623666666</v>
      </c>
      <c r="S42" s="117"/>
      <c r="T42" s="92">
        <f t="shared" ref="T42:Z42" si="31">SUM(T34:T41)</f>
        <v>1053.0612623666666</v>
      </c>
      <c r="U42" s="83">
        <f t="shared" si="31"/>
        <v>1053.0612623666666</v>
      </c>
      <c r="V42" s="83">
        <f t="shared" si="31"/>
        <v>1053.0612623666666</v>
      </c>
      <c r="W42" s="83">
        <f t="shared" si="31"/>
        <v>1053.0612623666666</v>
      </c>
      <c r="X42" s="83">
        <f t="shared" si="31"/>
        <v>1053.0612623666666</v>
      </c>
      <c r="Y42" s="91">
        <f t="shared" si="31"/>
        <v>1053.0612623666666</v>
      </c>
      <c r="Z42" s="83">
        <f t="shared" si="31"/>
        <v>1053.0612623666666</v>
      </c>
      <c r="AA42" s="194">
        <f>SUM(AA34:AA41)</f>
        <v>0.14800000000000002</v>
      </c>
      <c r="AB42" s="83">
        <f t="shared" ref="AB42" si="32">SUM(AB34:AB41)</f>
        <v>984.97798666666665</v>
      </c>
    </row>
    <row r="43" spans="1:28" x14ac:dyDescent="0.25">
      <c r="A43" s="604" t="s">
        <v>109</v>
      </c>
      <c r="B43" s="605"/>
      <c r="C43" s="605"/>
      <c r="D43" s="60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70"/>
      <c r="Q43" s="329"/>
      <c r="R43" s="115"/>
      <c r="S43" s="328"/>
      <c r="T43" s="329"/>
      <c r="U43" s="115"/>
      <c r="V43" s="115"/>
      <c r="W43" s="115"/>
      <c r="X43" s="115"/>
      <c r="Y43" s="119"/>
      <c r="Z43" s="115"/>
      <c r="AA43" s="370"/>
      <c r="AB43" s="115"/>
    </row>
    <row r="44" spans="1:28" x14ac:dyDescent="0.25">
      <c r="A44" s="604" t="s">
        <v>107</v>
      </c>
      <c r="B44" s="605"/>
      <c r="C44" s="605"/>
      <c r="D44" s="60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70"/>
      <c r="Q44" s="329"/>
      <c r="R44" s="115"/>
      <c r="S44" s="328"/>
      <c r="T44" s="329"/>
      <c r="U44" s="115"/>
      <c r="V44" s="115"/>
      <c r="W44" s="115"/>
      <c r="X44" s="115"/>
      <c r="Y44" s="119"/>
      <c r="Z44" s="115"/>
      <c r="AA44" s="370"/>
      <c r="AB44" s="115"/>
    </row>
    <row r="45" spans="1:28" x14ac:dyDescent="0.25">
      <c r="A45" s="604" t="s">
        <v>108</v>
      </c>
      <c r="B45" s="605"/>
      <c r="C45" s="605"/>
      <c r="D45" s="60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70"/>
      <c r="Q45" s="329"/>
      <c r="R45" s="115"/>
      <c r="S45" s="328"/>
      <c r="T45" s="329"/>
      <c r="U45" s="115"/>
      <c r="V45" s="115"/>
      <c r="W45" s="115"/>
      <c r="X45" s="115"/>
      <c r="Y45" s="119"/>
      <c r="Z45" s="115"/>
      <c r="AA45" s="370"/>
      <c r="AB45" s="115"/>
    </row>
    <row r="46" spans="1:28" x14ac:dyDescent="0.25">
      <c r="A46" s="604" t="s">
        <v>113</v>
      </c>
      <c r="B46" s="605"/>
      <c r="C46" s="605"/>
      <c r="D46" s="60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328"/>
      <c r="Q46" s="329"/>
      <c r="R46" s="115"/>
      <c r="S46" s="328"/>
      <c r="T46" s="329"/>
      <c r="U46" s="115"/>
      <c r="V46" s="115"/>
      <c r="W46" s="115"/>
      <c r="X46" s="115"/>
      <c r="Y46" s="119"/>
      <c r="Z46" s="115"/>
      <c r="AA46" s="370"/>
      <c r="AB46" s="115"/>
    </row>
    <row r="47" spans="1:28" x14ac:dyDescent="0.25">
      <c r="A47" s="604" t="s">
        <v>118</v>
      </c>
      <c r="B47" s="605"/>
      <c r="C47" s="605"/>
      <c r="D47" s="60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328"/>
      <c r="Q47" s="329"/>
      <c r="R47" s="115"/>
      <c r="S47" s="328"/>
      <c r="T47" s="329"/>
      <c r="U47" s="115"/>
      <c r="V47" s="115"/>
      <c r="W47" s="115"/>
      <c r="X47" s="115"/>
      <c r="Y47" s="119"/>
      <c r="Z47" s="115"/>
      <c r="AA47" s="370"/>
      <c r="AB47" s="115"/>
    </row>
    <row r="48" spans="1:28" x14ac:dyDescent="0.25">
      <c r="A48" s="34"/>
      <c r="B48" s="35"/>
      <c r="C48" s="35"/>
      <c r="D48" s="84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328"/>
      <c r="Q48" s="329"/>
      <c r="R48" s="115"/>
      <c r="S48" s="328"/>
      <c r="T48" s="329"/>
      <c r="U48" s="115"/>
      <c r="V48" s="115"/>
      <c r="W48" s="115"/>
      <c r="X48" s="115"/>
      <c r="Y48" s="119"/>
      <c r="Z48" s="115"/>
      <c r="AA48" s="370"/>
      <c r="AB48" s="115"/>
    </row>
    <row r="49" spans="1:28" x14ac:dyDescent="0.25">
      <c r="A49" s="550" t="s">
        <v>36</v>
      </c>
      <c r="B49" s="551"/>
      <c r="C49" s="551"/>
      <c r="D49" s="614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328"/>
      <c r="Q49" s="329"/>
      <c r="R49" s="115"/>
      <c r="S49" s="328"/>
      <c r="T49" s="329"/>
      <c r="U49" s="115"/>
      <c r="V49" s="115"/>
      <c r="W49" s="115"/>
      <c r="X49" s="115"/>
      <c r="Y49" s="119"/>
      <c r="Z49" s="115"/>
      <c r="AA49" s="370"/>
      <c r="AB49" s="115"/>
    </row>
    <row r="50" spans="1:28" x14ac:dyDescent="0.25">
      <c r="A50" s="38" t="s">
        <v>37</v>
      </c>
      <c r="B50" s="33" t="s">
        <v>38</v>
      </c>
      <c r="C50" s="31" t="s">
        <v>96</v>
      </c>
      <c r="D50" s="88" t="s">
        <v>5</v>
      </c>
      <c r="E50" s="189" t="s">
        <v>5</v>
      </c>
      <c r="F50" s="189" t="s">
        <v>5</v>
      </c>
      <c r="G50" s="189" t="s">
        <v>5</v>
      </c>
      <c r="H50" s="189" t="s">
        <v>5</v>
      </c>
      <c r="I50" s="189" t="s">
        <v>5</v>
      </c>
      <c r="J50" s="189" t="s">
        <v>5</v>
      </c>
      <c r="K50" s="189" t="s">
        <v>5</v>
      </c>
      <c r="L50" s="189" t="s">
        <v>5</v>
      </c>
      <c r="M50" s="189" t="s">
        <v>5</v>
      </c>
      <c r="N50" s="189" t="s">
        <v>5</v>
      </c>
      <c r="O50" s="189" t="s">
        <v>5</v>
      </c>
      <c r="P50" s="245"/>
      <c r="Q50" s="93" t="s">
        <v>5</v>
      </c>
      <c r="R50" s="189" t="s">
        <v>5</v>
      </c>
      <c r="S50" s="245"/>
      <c r="T50" s="93" t="s">
        <v>5</v>
      </c>
      <c r="U50" s="189" t="s">
        <v>5</v>
      </c>
      <c r="V50" s="189" t="s">
        <v>5</v>
      </c>
      <c r="W50" s="189" t="s">
        <v>5</v>
      </c>
      <c r="X50" s="189" t="s">
        <v>5</v>
      </c>
      <c r="Y50" s="338" t="s">
        <v>5</v>
      </c>
      <c r="Z50" s="189" t="s">
        <v>5</v>
      </c>
      <c r="AA50" s="245"/>
      <c r="AB50" s="189" t="s">
        <v>5</v>
      </c>
    </row>
    <row r="51" spans="1:28" x14ac:dyDescent="0.25">
      <c r="A51" s="40" t="s">
        <v>6</v>
      </c>
      <c r="B51" s="3" t="s">
        <v>39</v>
      </c>
      <c r="C51" s="112">
        <v>22</v>
      </c>
      <c r="D51" s="89">
        <f>IF(((5.5*2*$C51)-D$19*6%)&lt;0,0,((5.5*2*$C51)-D$19*6%))</f>
        <v>0</v>
      </c>
      <c r="E51" s="83">
        <f>IF(((5.5*2*$C51)-E$19*6%)&lt;0,0,((5.5*2*$C51)-E$19*6%))</f>
        <v>0</v>
      </c>
      <c r="F51" s="83">
        <f t="shared" ref="F51:AB51" si="33">IF(((5.5*2*$C51)-F$19*6%)&lt;0,0,((5.5*2*$C51)-F$19*6%))</f>
        <v>0</v>
      </c>
      <c r="G51" s="83">
        <f t="shared" si="33"/>
        <v>0</v>
      </c>
      <c r="H51" s="83">
        <f t="shared" si="33"/>
        <v>0</v>
      </c>
      <c r="I51" s="83">
        <f t="shared" si="33"/>
        <v>0</v>
      </c>
      <c r="J51" s="83">
        <f t="shared" si="33"/>
        <v>0</v>
      </c>
      <c r="K51" s="83">
        <f t="shared" si="33"/>
        <v>0</v>
      </c>
      <c r="L51" s="83">
        <f t="shared" si="33"/>
        <v>0</v>
      </c>
      <c r="M51" s="83">
        <f t="shared" si="33"/>
        <v>0</v>
      </c>
      <c r="N51" s="83">
        <f t="shared" si="33"/>
        <v>0</v>
      </c>
      <c r="O51" s="83">
        <f t="shared" si="33"/>
        <v>0</v>
      </c>
      <c r="P51" s="247"/>
      <c r="Q51" s="92">
        <f t="shared" si="33"/>
        <v>0</v>
      </c>
      <c r="R51" s="83">
        <f t="shared" si="33"/>
        <v>0</v>
      </c>
      <c r="S51" s="247"/>
      <c r="T51" s="92">
        <f t="shared" si="33"/>
        <v>0</v>
      </c>
      <c r="U51" s="83">
        <f t="shared" si="33"/>
        <v>0</v>
      </c>
      <c r="V51" s="83">
        <f t="shared" si="33"/>
        <v>0</v>
      </c>
      <c r="W51" s="83">
        <f t="shared" si="33"/>
        <v>0</v>
      </c>
      <c r="X51" s="83">
        <f t="shared" si="33"/>
        <v>0</v>
      </c>
      <c r="Y51" s="91">
        <f t="shared" si="33"/>
        <v>0</v>
      </c>
      <c r="Z51" s="83">
        <f t="shared" si="33"/>
        <v>0</v>
      </c>
      <c r="AA51" s="247"/>
      <c r="AB51" s="83">
        <f t="shared" si="33"/>
        <v>0</v>
      </c>
    </row>
    <row r="52" spans="1:28" x14ac:dyDescent="0.25">
      <c r="A52" s="40" t="s">
        <v>8</v>
      </c>
      <c r="B52" s="3" t="s">
        <v>40</v>
      </c>
      <c r="C52" s="112">
        <v>22</v>
      </c>
      <c r="D52" s="89">
        <v>445.76</v>
      </c>
      <c r="E52" s="83">
        <v>591.44000000000005</v>
      </c>
      <c r="F52" s="83">
        <v>580.76</v>
      </c>
      <c r="G52" s="83">
        <v>587.33000000000004</v>
      </c>
      <c r="H52" s="83">
        <v>588.24</v>
      </c>
      <c r="I52" s="83">
        <v>584.99</v>
      </c>
      <c r="J52" s="83">
        <v>582.35</v>
      </c>
      <c r="K52" s="83">
        <v>594.59</v>
      </c>
      <c r="L52" s="83">
        <v>617.65</v>
      </c>
      <c r="M52" s="83">
        <v>644.09</v>
      </c>
      <c r="N52" s="83">
        <v>631.95000000000005</v>
      </c>
      <c r="O52" s="83">
        <v>621.55999999999995</v>
      </c>
      <c r="P52" s="247"/>
      <c r="Q52" s="92">
        <v>661.09</v>
      </c>
      <c r="R52" s="83">
        <v>670.98</v>
      </c>
      <c r="S52" s="247"/>
      <c r="T52" s="92">
        <v>670.98</v>
      </c>
      <c r="U52" s="83">
        <v>704.65</v>
      </c>
      <c r="V52" s="83">
        <v>741.55</v>
      </c>
      <c r="W52" s="83">
        <v>696.34</v>
      </c>
      <c r="X52" s="83">
        <v>698.36</v>
      </c>
      <c r="Y52" s="91">
        <v>703.93</v>
      </c>
      <c r="Z52" s="83">
        <v>689.31</v>
      </c>
      <c r="AA52" s="247"/>
      <c r="AB52" s="83">
        <v>689.31</v>
      </c>
    </row>
    <row r="53" spans="1:28" x14ac:dyDescent="0.25">
      <c r="A53" s="40" t="s">
        <v>10</v>
      </c>
      <c r="B53" s="3" t="s">
        <v>41</v>
      </c>
      <c r="C53" s="112"/>
      <c r="D53" s="89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247"/>
      <c r="Q53" s="92">
        <v>0</v>
      </c>
      <c r="R53" s="83">
        <v>0</v>
      </c>
      <c r="S53" s="247"/>
      <c r="T53" s="92">
        <v>0</v>
      </c>
      <c r="U53" s="83">
        <v>0</v>
      </c>
      <c r="V53" s="83">
        <v>0</v>
      </c>
      <c r="W53" s="83">
        <v>0</v>
      </c>
      <c r="X53" s="83">
        <v>0</v>
      </c>
      <c r="Y53" s="91">
        <v>0</v>
      </c>
      <c r="Z53" s="83">
        <v>0</v>
      </c>
      <c r="AA53" s="247"/>
      <c r="AB53" s="83">
        <v>0</v>
      </c>
    </row>
    <row r="54" spans="1:28" x14ac:dyDescent="0.25">
      <c r="A54" s="40" t="s">
        <v>12</v>
      </c>
      <c r="B54" s="3" t="s">
        <v>97</v>
      </c>
      <c r="C54" s="112"/>
      <c r="D54" s="89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247"/>
      <c r="Q54" s="92">
        <v>0</v>
      </c>
      <c r="R54" s="83">
        <v>0</v>
      </c>
      <c r="S54" s="247"/>
      <c r="T54" s="92">
        <v>0</v>
      </c>
      <c r="U54" s="83">
        <v>0</v>
      </c>
      <c r="V54" s="83">
        <v>0</v>
      </c>
      <c r="W54" s="83">
        <v>0</v>
      </c>
      <c r="X54" s="83">
        <v>0</v>
      </c>
      <c r="Y54" s="91">
        <v>0</v>
      </c>
      <c r="Z54" s="83">
        <v>0</v>
      </c>
      <c r="AA54" s="247"/>
      <c r="AB54" s="83">
        <v>0</v>
      </c>
    </row>
    <row r="55" spans="1:28" x14ac:dyDescent="0.25">
      <c r="A55" s="40" t="s">
        <v>14</v>
      </c>
      <c r="B55" s="3" t="s">
        <v>158</v>
      </c>
      <c r="C55" s="112">
        <v>1</v>
      </c>
      <c r="D55" s="89">
        <v>1.41</v>
      </c>
      <c r="E55" s="83">
        <v>1.41</v>
      </c>
      <c r="F55" s="83">
        <v>1.41</v>
      </c>
      <c r="G55" s="83">
        <v>1.41</v>
      </c>
      <c r="H55" s="83">
        <v>1.41</v>
      </c>
      <c r="I55" s="83">
        <v>1.41</v>
      </c>
      <c r="J55" s="83">
        <v>1.41</v>
      </c>
      <c r="K55" s="83">
        <v>1.41</v>
      </c>
      <c r="L55" s="83">
        <v>1.41</v>
      </c>
      <c r="M55" s="83">
        <v>1.41</v>
      </c>
      <c r="N55" s="83">
        <v>1.41</v>
      </c>
      <c r="O55" s="83">
        <v>1.41</v>
      </c>
      <c r="P55" s="247"/>
      <c r="Q55" s="92">
        <v>1.41</v>
      </c>
      <c r="R55" s="83">
        <v>1.41</v>
      </c>
      <c r="S55" s="247"/>
      <c r="T55" s="92">
        <v>1.41</v>
      </c>
      <c r="U55" s="83">
        <v>1.41</v>
      </c>
      <c r="V55" s="83">
        <v>1.41</v>
      </c>
      <c r="W55" s="83">
        <v>1.41</v>
      </c>
      <c r="X55" s="83">
        <v>1.41</v>
      </c>
      <c r="Y55" s="91">
        <v>1.41</v>
      </c>
      <c r="Z55" s="83">
        <v>1.41</v>
      </c>
      <c r="AA55" s="247"/>
      <c r="AB55" s="83">
        <v>1.41</v>
      </c>
    </row>
    <row r="56" spans="1:28" x14ac:dyDescent="0.25">
      <c r="A56" s="530" t="s">
        <v>18</v>
      </c>
      <c r="B56" s="531"/>
      <c r="C56" s="531"/>
      <c r="D56" s="89">
        <f>SUM(D51:D55)</f>
        <v>447.17</v>
      </c>
      <c r="E56" s="83">
        <f t="shared" ref="E56" si="34">SUM(E51:E55)</f>
        <v>592.85</v>
      </c>
      <c r="F56" s="83">
        <f t="shared" ref="F56" si="35">SUM(F51:F55)</f>
        <v>582.16999999999996</v>
      </c>
      <c r="G56" s="83">
        <f t="shared" ref="G56" si="36">SUM(G51:G55)</f>
        <v>588.74</v>
      </c>
      <c r="H56" s="83">
        <f>SUM(H51:H55)</f>
        <v>589.65</v>
      </c>
      <c r="I56" s="83">
        <f>SUM(I51:I55)</f>
        <v>586.4</v>
      </c>
      <c r="J56" s="83">
        <f t="shared" ref="J56" si="37">SUM(J51:J55)</f>
        <v>583.76</v>
      </c>
      <c r="K56" s="83">
        <f t="shared" ref="K56" si="38">SUM(K51:K55)</f>
        <v>596</v>
      </c>
      <c r="L56" s="83">
        <f t="shared" ref="L56" si="39">SUM(L51:L55)</f>
        <v>619.05999999999995</v>
      </c>
      <c r="M56" s="83">
        <f t="shared" ref="M56" si="40">SUM(M51:M55)</f>
        <v>645.5</v>
      </c>
      <c r="N56" s="83">
        <f t="shared" ref="N56" si="41">SUM(N51:N55)</f>
        <v>633.36</v>
      </c>
      <c r="O56" s="83">
        <f t="shared" ref="O56" si="42">SUM(O51:O55)</f>
        <v>622.96999999999991</v>
      </c>
      <c r="P56" s="328"/>
      <c r="Q56" s="92">
        <f t="shared" ref="Q56" si="43">SUM(Q51:Q55)</f>
        <v>662.5</v>
      </c>
      <c r="R56" s="83">
        <f t="shared" ref="R56:T56" si="44">SUM(R51:R55)</f>
        <v>672.39</v>
      </c>
      <c r="S56" s="328"/>
      <c r="T56" s="92">
        <f t="shared" si="44"/>
        <v>672.39</v>
      </c>
      <c r="U56" s="83">
        <f t="shared" ref="U56" si="45">SUM(U51:U55)</f>
        <v>706.06</v>
      </c>
      <c r="V56" s="83">
        <f t="shared" ref="V56" si="46">SUM(V51:V55)</f>
        <v>742.95999999999992</v>
      </c>
      <c r="W56" s="83">
        <f t="shared" ref="W56" si="47">SUM(W51:W55)</f>
        <v>697.75</v>
      </c>
      <c r="X56" s="83">
        <f t="shared" ref="X56:Y56" si="48">SUM(X51:X55)</f>
        <v>699.77</v>
      </c>
      <c r="Y56" s="91">
        <f t="shared" si="48"/>
        <v>705.33999999999992</v>
      </c>
      <c r="Z56" s="83">
        <f t="shared" ref="Z56:AB56" si="49">SUM(Z51:Z55)</f>
        <v>690.71999999999991</v>
      </c>
      <c r="AA56" s="370"/>
      <c r="AB56" s="83">
        <f t="shared" si="49"/>
        <v>690.71999999999991</v>
      </c>
    </row>
    <row r="57" spans="1:28" x14ac:dyDescent="0.25">
      <c r="A57" s="604" t="s">
        <v>44</v>
      </c>
      <c r="B57" s="605"/>
      <c r="C57" s="605"/>
      <c r="D57" s="60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328"/>
      <c r="Q57" s="329"/>
      <c r="R57" s="115"/>
      <c r="S57" s="328"/>
      <c r="T57" s="329"/>
      <c r="U57" s="115"/>
      <c r="V57" s="115"/>
      <c r="W57" s="115"/>
      <c r="X57" s="115"/>
      <c r="Y57" s="119"/>
      <c r="Z57" s="115"/>
      <c r="AA57" s="370"/>
      <c r="AB57" s="115"/>
    </row>
    <row r="58" spans="1:28" x14ac:dyDescent="0.25">
      <c r="A58" s="604" t="s">
        <v>110</v>
      </c>
      <c r="B58" s="605"/>
      <c r="C58" s="605"/>
      <c r="D58" s="60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328"/>
      <c r="Q58" s="329"/>
      <c r="R58" s="115"/>
      <c r="S58" s="328"/>
      <c r="T58" s="329"/>
      <c r="U58" s="115"/>
      <c r="V58" s="115"/>
      <c r="W58" s="115"/>
      <c r="X58" s="115"/>
      <c r="Y58" s="119"/>
      <c r="Z58" s="115"/>
      <c r="AA58" s="370"/>
      <c r="AB58" s="115"/>
    </row>
    <row r="59" spans="1:28" x14ac:dyDescent="0.25">
      <c r="A59" s="34"/>
      <c r="B59" s="35"/>
      <c r="C59" s="35"/>
      <c r="D59" s="84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328"/>
      <c r="Q59" s="329"/>
      <c r="R59" s="115"/>
      <c r="S59" s="328"/>
      <c r="T59" s="329"/>
      <c r="U59" s="115"/>
      <c r="V59" s="115"/>
      <c r="W59" s="115"/>
      <c r="X59" s="115"/>
      <c r="Y59" s="119"/>
      <c r="Z59" s="115"/>
      <c r="AA59" s="370"/>
      <c r="AB59" s="115"/>
    </row>
    <row r="60" spans="1:28" x14ac:dyDescent="0.25">
      <c r="A60" s="550" t="s">
        <v>42</v>
      </c>
      <c r="B60" s="551"/>
      <c r="C60" s="551"/>
      <c r="D60" s="614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328"/>
      <c r="Q60" s="329"/>
      <c r="R60" s="115"/>
      <c r="S60" s="328"/>
      <c r="T60" s="329"/>
      <c r="U60" s="115"/>
      <c r="V60" s="115"/>
      <c r="W60" s="115"/>
      <c r="X60" s="115"/>
      <c r="Y60" s="119"/>
      <c r="Z60" s="115"/>
      <c r="AA60" s="370"/>
      <c r="AB60" s="115"/>
    </row>
    <row r="61" spans="1:28" x14ac:dyDescent="0.25">
      <c r="A61" s="44">
        <v>2</v>
      </c>
      <c r="B61" s="546" t="s">
        <v>43</v>
      </c>
      <c r="C61" s="546"/>
      <c r="D61" s="88" t="s">
        <v>5</v>
      </c>
      <c r="E61" s="189" t="s">
        <v>5</v>
      </c>
      <c r="F61" s="189" t="s">
        <v>5</v>
      </c>
      <c r="G61" s="189" t="s">
        <v>5</v>
      </c>
      <c r="H61" s="189" t="s">
        <v>5</v>
      </c>
      <c r="I61" s="189" t="s">
        <v>5</v>
      </c>
      <c r="J61" s="189" t="s">
        <v>5</v>
      </c>
      <c r="K61" s="189" t="s">
        <v>5</v>
      </c>
      <c r="L61" s="189" t="s">
        <v>5</v>
      </c>
      <c r="M61" s="189" t="s">
        <v>5</v>
      </c>
      <c r="N61" s="189" t="s">
        <v>5</v>
      </c>
      <c r="O61" s="189" t="s">
        <v>5</v>
      </c>
      <c r="P61" s="328"/>
      <c r="Q61" s="93" t="s">
        <v>5</v>
      </c>
      <c r="R61" s="189" t="s">
        <v>5</v>
      </c>
      <c r="S61" s="328"/>
      <c r="T61" s="93" t="s">
        <v>5</v>
      </c>
      <c r="U61" s="189" t="s">
        <v>5</v>
      </c>
      <c r="V61" s="189" t="s">
        <v>5</v>
      </c>
      <c r="W61" s="189" t="s">
        <v>5</v>
      </c>
      <c r="X61" s="189" t="s">
        <v>5</v>
      </c>
      <c r="Y61" s="338" t="s">
        <v>5</v>
      </c>
      <c r="Z61" s="189" t="s">
        <v>5</v>
      </c>
      <c r="AA61" s="370"/>
      <c r="AB61" s="189" t="s">
        <v>5</v>
      </c>
    </row>
    <row r="62" spans="1:28" x14ac:dyDescent="0.25">
      <c r="A62" s="36" t="s">
        <v>21</v>
      </c>
      <c r="B62" s="529" t="s">
        <v>163</v>
      </c>
      <c r="C62" s="529"/>
      <c r="D62" s="89">
        <f>D27</f>
        <v>1136.2633333333333</v>
      </c>
      <c r="E62" s="83">
        <f>E27</f>
        <v>1136.2633333333333</v>
      </c>
      <c r="F62" s="83">
        <f t="shared" ref="F62" si="50">F27</f>
        <v>1136.2633333333333</v>
      </c>
      <c r="G62" s="83">
        <f t="shared" ref="G62" si="51">G27</f>
        <v>1164.6699166666667</v>
      </c>
      <c r="H62" s="83">
        <f>H27</f>
        <v>1164.6699166666667</v>
      </c>
      <c r="I62" s="83">
        <f>I27</f>
        <v>1164.6699166666667</v>
      </c>
      <c r="J62" s="83">
        <f t="shared" ref="J62" si="52">J27</f>
        <v>1164.6699166666667</v>
      </c>
      <c r="K62" s="83">
        <f t="shared" ref="K62" si="53">K27</f>
        <v>1164.6699166666667</v>
      </c>
      <c r="L62" s="83">
        <f t="shared" ref="L62" si="54">L27</f>
        <v>1164.6699166666667</v>
      </c>
      <c r="M62" s="83">
        <f t="shared" ref="M62" si="55">M27</f>
        <v>1164.6699166666667</v>
      </c>
      <c r="N62" s="83">
        <f t="shared" ref="N62" si="56">N27</f>
        <v>1164.6699166666667</v>
      </c>
      <c r="O62" s="83">
        <f t="shared" ref="O62" si="57">O27</f>
        <v>1164.6699166666667</v>
      </c>
      <c r="P62" s="170"/>
      <c r="Q62" s="92">
        <f t="shared" ref="Q62" si="58">Q27</f>
        <v>1164.6699166666667</v>
      </c>
      <c r="R62" s="83">
        <f t="shared" ref="R62:T62" si="59">R27</f>
        <v>1164.6699166666667</v>
      </c>
      <c r="S62" s="328"/>
      <c r="T62" s="92">
        <f t="shared" si="59"/>
        <v>1164.6699166666667</v>
      </c>
      <c r="U62" s="83">
        <f t="shared" ref="U62" si="60">U27</f>
        <v>1164.6699166666667</v>
      </c>
      <c r="V62" s="83">
        <f t="shared" ref="V62" si="61">V27</f>
        <v>1164.6699166666667</v>
      </c>
      <c r="W62" s="83">
        <f t="shared" ref="W62" si="62">W27</f>
        <v>1164.6699166666667</v>
      </c>
      <c r="X62" s="83">
        <f t="shared" ref="X62:Y62" si="63">X27</f>
        <v>1164.6699166666667</v>
      </c>
      <c r="Y62" s="91">
        <f t="shared" si="63"/>
        <v>1164.6699166666667</v>
      </c>
      <c r="Z62" s="83">
        <f t="shared" ref="Z62:AB62" si="64">Z27</f>
        <v>1164.6699166666667</v>
      </c>
      <c r="AA62" s="370"/>
      <c r="AB62" s="83">
        <f t="shared" si="64"/>
        <v>1164.6699166666667</v>
      </c>
    </row>
    <row r="63" spans="1:28" x14ac:dyDescent="0.25">
      <c r="A63" s="36" t="s">
        <v>24</v>
      </c>
      <c r="B63" s="532" t="s">
        <v>25</v>
      </c>
      <c r="C63" s="532"/>
      <c r="D63" s="89">
        <f>D42</f>
        <v>1061.1790522666665</v>
      </c>
      <c r="E63" s="83">
        <f>E42</f>
        <v>1061.1790522666665</v>
      </c>
      <c r="F63" s="83">
        <f t="shared" ref="F63" si="65">F42</f>
        <v>1061.1790522666665</v>
      </c>
      <c r="G63" s="83">
        <f t="shared" ref="G63" si="66">G42</f>
        <v>1087.7085285733333</v>
      </c>
      <c r="H63" s="83">
        <f>H42</f>
        <v>1087.7085285733333</v>
      </c>
      <c r="I63" s="83">
        <f>I42</f>
        <v>1087.7085285733333</v>
      </c>
      <c r="J63" s="83">
        <f t="shared" ref="J63" si="67">J42</f>
        <v>1087.7085285733333</v>
      </c>
      <c r="K63" s="83">
        <f t="shared" ref="K63" si="68">K42</f>
        <v>1087.7085285733333</v>
      </c>
      <c r="L63" s="83">
        <f t="shared" ref="L63" si="69">L42</f>
        <v>1087.7085285733333</v>
      </c>
      <c r="M63" s="83">
        <f t="shared" ref="M63" si="70">M42</f>
        <v>1087.7085285733333</v>
      </c>
      <c r="N63" s="83">
        <f t="shared" ref="N63" si="71">N42</f>
        <v>1087.7085285733333</v>
      </c>
      <c r="O63" s="83">
        <f t="shared" ref="O63" si="72">O42</f>
        <v>1087.7085285733333</v>
      </c>
      <c r="P63" s="170"/>
      <c r="Q63" s="92">
        <f t="shared" ref="Q63" si="73">Q42</f>
        <v>1053.0612623666666</v>
      </c>
      <c r="R63" s="83">
        <f t="shared" ref="R63:T63" si="74">R42</f>
        <v>1053.0612623666666</v>
      </c>
      <c r="S63" s="328"/>
      <c r="T63" s="92">
        <f t="shared" si="74"/>
        <v>1053.0612623666666</v>
      </c>
      <c r="U63" s="83">
        <f t="shared" ref="U63" si="75">U42</f>
        <v>1053.0612623666666</v>
      </c>
      <c r="V63" s="83">
        <f t="shared" ref="V63" si="76">V42</f>
        <v>1053.0612623666666</v>
      </c>
      <c r="W63" s="83">
        <f t="shared" ref="W63" si="77">W42</f>
        <v>1053.0612623666666</v>
      </c>
      <c r="X63" s="83">
        <f t="shared" ref="X63:Y63" si="78">X42</f>
        <v>1053.0612623666666</v>
      </c>
      <c r="Y63" s="91">
        <f t="shared" si="78"/>
        <v>1053.0612623666666</v>
      </c>
      <c r="Z63" s="83">
        <f t="shared" ref="Z63:AB63" si="79">Z42</f>
        <v>1053.0612623666666</v>
      </c>
      <c r="AA63" s="370"/>
      <c r="AB63" s="83">
        <f t="shared" si="79"/>
        <v>984.97798666666665</v>
      </c>
    </row>
    <row r="64" spans="1:28" x14ac:dyDescent="0.25">
      <c r="A64" s="36" t="s">
        <v>37</v>
      </c>
      <c r="B64" s="532" t="s">
        <v>38</v>
      </c>
      <c r="C64" s="532"/>
      <c r="D64" s="89">
        <f>D56</f>
        <v>447.17</v>
      </c>
      <c r="E64" s="83">
        <f>E56</f>
        <v>592.85</v>
      </c>
      <c r="F64" s="83">
        <f t="shared" ref="F64" si="80">F56</f>
        <v>582.16999999999996</v>
      </c>
      <c r="G64" s="83">
        <f t="shared" ref="G64" si="81">G56</f>
        <v>588.74</v>
      </c>
      <c r="H64" s="83">
        <f>H56</f>
        <v>589.65</v>
      </c>
      <c r="I64" s="83">
        <f>I56</f>
        <v>586.4</v>
      </c>
      <c r="J64" s="83">
        <f t="shared" ref="J64" si="82">J56</f>
        <v>583.76</v>
      </c>
      <c r="K64" s="83">
        <f t="shared" ref="K64" si="83">K56</f>
        <v>596</v>
      </c>
      <c r="L64" s="83">
        <f t="shared" ref="L64" si="84">L56</f>
        <v>619.05999999999995</v>
      </c>
      <c r="M64" s="83">
        <f t="shared" ref="M64" si="85">M56</f>
        <v>645.5</v>
      </c>
      <c r="N64" s="83">
        <f t="shared" ref="N64" si="86">N56</f>
        <v>633.36</v>
      </c>
      <c r="O64" s="83">
        <f t="shared" ref="O64" si="87">O56</f>
        <v>622.96999999999991</v>
      </c>
      <c r="P64" s="170"/>
      <c r="Q64" s="92">
        <f t="shared" ref="Q64" si="88">Q56</f>
        <v>662.5</v>
      </c>
      <c r="R64" s="83">
        <f t="shared" ref="R64:T64" si="89">R56</f>
        <v>672.39</v>
      </c>
      <c r="S64" s="328"/>
      <c r="T64" s="92">
        <f t="shared" si="89"/>
        <v>672.39</v>
      </c>
      <c r="U64" s="83">
        <f t="shared" ref="U64" si="90">U56</f>
        <v>706.06</v>
      </c>
      <c r="V64" s="83">
        <f t="shared" ref="V64" si="91">V56</f>
        <v>742.95999999999992</v>
      </c>
      <c r="W64" s="83">
        <f t="shared" ref="W64" si="92">W56</f>
        <v>697.75</v>
      </c>
      <c r="X64" s="83">
        <f t="shared" ref="X64:Y64" si="93">X56</f>
        <v>699.77</v>
      </c>
      <c r="Y64" s="91">
        <f t="shared" si="93"/>
        <v>705.33999999999992</v>
      </c>
      <c r="Z64" s="83">
        <f t="shared" ref="Z64:AB64" si="94">Z56</f>
        <v>690.71999999999991</v>
      </c>
      <c r="AA64" s="370"/>
      <c r="AB64" s="83">
        <f t="shared" si="94"/>
        <v>690.71999999999991</v>
      </c>
    </row>
    <row r="65" spans="1:28" x14ac:dyDescent="0.25">
      <c r="A65" s="609" t="s">
        <v>18</v>
      </c>
      <c r="B65" s="610"/>
      <c r="C65" s="611"/>
      <c r="D65" s="89">
        <f>SUM(D62:D64)</f>
        <v>2644.6123855999999</v>
      </c>
      <c r="E65" s="83">
        <f t="shared" ref="E65" si="95">SUM(E62:E64)</f>
        <v>2790.2923855999998</v>
      </c>
      <c r="F65" s="83">
        <f t="shared" ref="F65" si="96">SUM(F62:F64)</f>
        <v>2779.6123855999999</v>
      </c>
      <c r="G65" s="83">
        <f t="shared" ref="G65" si="97">SUM(G62:G64)</f>
        <v>2841.1184452400003</v>
      </c>
      <c r="H65" s="83">
        <f>SUM(H62:H64)</f>
        <v>2842.0284452400001</v>
      </c>
      <c r="I65" s="83">
        <f>SUM(I62:I64)</f>
        <v>2838.7784452400001</v>
      </c>
      <c r="J65" s="83">
        <f t="shared" ref="J65" si="98">SUM(J62:J64)</f>
        <v>2836.1384452399998</v>
      </c>
      <c r="K65" s="83">
        <f t="shared" ref="K65" si="99">SUM(K62:K64)</f>
        <v>2848.37844524</v>
      </c>
      <c r="L65" s="83">
        <f t="shared" ref="L65" si="100">SUM(L62:L64)</f>
        <v>2871.43844524</v>
      </c>
      <c r="M65" s="83">
        <f t="shared" ref="M65" si="101">SUM(M62:M64)</f>
        <v>2897.87844524</v>
      </c>
      <c r="N65" s="83">
        <f t="shared" ref="N65" si="102">SUM(N62:N64)</f>
        <v>2885.7384452400001</v>
      </c>
      <c r="O65" s="83">
        <f t="shared" ref="O65" si="103">SUM(O62:O64)</f>
        <v>2875.3484452399998</v>
      </c>
      <c r="P65" s="170"/>
      <c r="Q65" s="92">
        <f t="shared" ref="Q65" si="104">SUM(Q62:Q64)</f>
        <v>2880.2311790333333</v>
      </c>
      <c r="R65" s="83">
        <f t="shared" ref="R65:T65" si="105">SUM(R62:R64)</f>
        <v>2890.1211790333332</v>
      </c>
      <c r="S65" s="328"/>
      <c r="T65" s="92">
        <f t="shared" si="105"/>
        <v>2890.1211790333332</v>
      </c>
      <c r="U65" s="83">
        <f t="shared" ref="U65" si="106">SUM(U62:U64)</f>
        <v>2923.7911790333333</v>
      </c>
      <c r="V65" s="83">
        <f t="shared" ref="V65" si="107">SUM(V62:V64)</f>
        <v>2960.6911790333334</v>
      </c>
      <c r="W65" s="83">
        <f t="shared" ref="W65" si="108">SUM(W62:W64)</f>
        <v>2915.4811790333333</v>
      </c>
      <c r="X65" s="83">
        <f t="shared" ref="X65:Y65" si="109">SUM(X62:X64)</f>
        <v>2917.5011790333333</v>
      </c>
      <c r="Y65" s="91">
        <f t="shared" si="109"/>
        <v>2923.0711790333335</v>
      </c>
      <c r="Z65" s="83">
        <f t="shared" ref="Z65:AB65" si="110">SUM(Z62:Z64)</f>
        <v>2908.4511790333331</v>
      </c>
      <c r="AA65" s="370"/>
      <c r="AB65" s="83">
        <f t="shared" si="110"/>
        <v>2840.3679033333333</v>
      </c>
    </row>
    <row r="66" spans="1:28" x14ac:dyDescent="0.25">
      <c r="A66" s="34"/>
      <c r="B66" s="35"/>
      <c r="C66" s="35"/>
      <c r="D66" s="84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70"/>
      <c r="Q66" s="329"/>
      <c r="R66" s="115"/>
      <c r="S66" s="328"/>
      <c r="T66" s="329"/>
      <c r="U66" s="115"/>
      <c r="V66" s="115"/>
      <c r="W66" s="115"/>
      <c r="X66" s="115"/>
      <c r="Y66" s="119"/>
      <c r="Z66" s="115"/>
      <c r="AA66" s="370"/>
      <c r="AB66" s="115"/>
    </row>
    <row r="67" spans="1:28" x14ac:dyDescent="0.25">
      <c r="A67" s="550" t="s">
        <v>77</v>
      </c>
      <c r="B67" s="551"/>
      <c r="C67" s="551"/>
      <c r="D67" s="614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328"/>
      <c r="Q67" s="329"/>
      <c r="R67" s="115"/>
      <c r="S67" s="328"/>
      <c r="T67" s="329"/>
      <c r="U67" s="115"/>
      <c r="V67" s="115"/>
      <c r="W67" s="115"/>
      <c r="X67" s="115"/>
      <c r="Y67" s="119"/>
      <c r="Z67" s="115"/>
      <c r="AA67" s="370"/>
      <c r="AB67" s="115"/>
    </row>
    <row r="68" spans="1:28" x14ac:dyDescent="0.25">
      <c r="A68" s="44">
        <v>3</v>
      </c>
      <c r="B68" s="33" t="s">
        <v>45</v>
      </c>
      <c r="C68" s="33" t="s">
        <v>26</v>
      </c>
      <c r="D68" s="88" t="s">
        <v>5</v>
      </c>
      <c r="E68" s="189" t="s">
        <v>5</v>
      </c>
      <c r="F68" s="189" t="s">
        <v>5</v>
      </c>
      <c r="G68" s="189" t="s">
        <v>5</v>
      </c>
      <c r="H68" s="189" t="s">
        <v>5</v>
      </c>
      <c r="I68" s="189" t="s">
        <v>5</v>
      </c>
      <c r="J68" s="189" t="s">
        <v>5</v>
      </c>
      <c r="K68" s="189" t="s">
        <v>5</v>
      </c>
      <c r="L68" s="189" t="s">
        <v>5</v>
      </c>
      <c r="M68" s="189" t="s">
        <v>5</v>
      </c>
      <c r="N68" s="189" t="s">
        <v>5</v>
      </c>
      <c r="O68" s="189" t="s">
        <v>5</v>
      </c>
      <c r="P68" s="190" t="s">
        <v>26</v>
      </c>
      <c r="Q68" s="93" t="s">
        <v>5</v>
      </c>
      <c r="R68" s="189" t="s">
        <v>5</v>
      </c>
      <c r="S68" s="197" t="s">
        <v>26</v>
      </c>
      <c r="T68" s="93" t="s">
        <v>5</v>
      </c>
      <c r="U68" s="189" t="s">
        <v>5</v>
      </c>
      <c r="V68" s="189" t="s">
        <v>5</v>
      </c>
      <c r="W68" s="189" t="s">
        <v>5</v>
      </c>
      <c r="X68" s="189" t="s">
        <v>5</v>
      </c>
      <c r="Y68" s="338" t="s">
        <v>5</v>
      </c>
      <c r="Z68" s="189" t="s">
        <v>5</v>
      </c>
      <c r="AA68" s="197" t="s">
        <v>26</v>
      </c>
      <c r="AB68" s="189" t="s">
        <v>5</v>
      </c>
    </row>
    <row r="69" spans="1:28" x14ac:dyDescent="0.25">
      <c r="A69" s="36" t="s">
        <v>6</v>
      </c>
      <c r="B69" s="2" t="s">
        <v>46</v>
      </c>
      <c r="C69" s="95">
        <f>(1/12)*5%</f>
        <v>4.1666666666666666E-3</v>
      </c>
      <c r="D69" s="89">
        <f t="shared" ref="D69:E75" si="111">$C69*(D$19+D$27)</f>
        <v>27.053888888888888</v>
      </c>
      <c r="E69" s="83">
        <f t="shared" si="111"/>
        <v>27.053888888888888</v>
      </c>
      <c r="F69" s="83">
        <f t="shared" ref="F69:O75" si="112">$C69*(F$19+F$27)</f>
        <v>27.053888888888888</v>
      </c>
      <c r="G69" s="83">
        <f t="shared" si="112"/>
        <v>27.730236111111108</v>
      </c>
      <c r="H69" s="83">
        <f t="shared" si="112"/>
        <v>27.730236111111108</v>
      </c>
      <c r="I69" s="83">
        <f t="shared" si="112"/>
        <v>27.730236111111108</v>
      </c>
      <c r="J69" s="83">
        <f t="shared" si="112"/>
        <v>27.730236111111108</v>
      </c>
      <c r="K69" s="83">
        <f t="shared" si="112"/>
        <v>27.730236111111108</v>
      </c>
      <c r="L69" s="83">
        <f t="shared" si="112"/>
        <v>27.730236111111108</v>
      </c>
      <c r="M69" s="83">
        <f t="shared" si="112"/>
        <v>27.730236111111108</v>
      </c>
      <c r="N69" s="83">
        <f t="shared" si="112"/>
        <v>27.730236111111108</v>
      </c>
      <c r="O69" s="83">
        <f t="shared" si="112"/>
        <v>27.730236111111108</v>
      </c>
      <c r="P69" s="107">
        <f t="shared" ref="P69:S69" si="113">(1/12)*5%</f>
        <v>4.1666666666666666E-3</v>
      </c>
      <c r="Q69" s="92">
        <f t="shared" ref="Q69:R72" si="114">$C69*(Q$19+Q$27)</f>
        <v>27.730236111111108</v>
      </c>
      <c r="R69" s="83">
        <f t="shared" si="114"/>
        <v>27.730236111111108</v>
      </c>
      <c r="S69" s="107">
        <f t="shared" si="113"/>
        <v>4.1666666666666666E-3</v>
      </c>
      <c r="T69" s="92">
        <f t="shared" ref="T69:AB71" si="115">$C69*(T$19+T$27)</f>
        <v>27.730236111111108</v>
      </c>
      <c r="U69" s="83">
        <f t="shared" si="115"/>
        <v>27.730236111111108</v>
      </c>
      <c r="V69" s="83">
        <f t="shared" si="115"/>
        <v>27.730236111111108</v>
      </c>
      <c r="W69" s="83">
        <f t="shared" si="115"/>
        <v>27.730236111111108</v>
      </c>
      <c r="X69" s="83">
        <f t="shared" si="115"/>
        <v>27.730236111111108</v>
      </c>
      <c r="Y69" s="91">
        <f t="shared" si="115"/>
        <v>27.730236111111108</v>
      </c>
      <c r="Z69" s="83">
        <f t="shared" si="115"/>
        <v>27.730236111111108</v>
      </c>
      <c r="AA69" s="107">
        <f t="shared" ref="AA69" si="116">(1/12)*5%</f>
        <v>4.1666666666666666E-3</v>
      </c>
      <c r="AB69" s="83">
        <f t="shared" si="115"/>
        <v>27.730236111111108</v>
      </c>
    </row>
    <row r="70" spans="1:28" ht="30" x14ac:dyDescent="0.25">
      <c r="A70" s="36" t="s">
        <v>8</v>
      </c>
      <c r="B70" s="2" t="s">
        <v>47</v>
      </c>
      <c r="C70" s="95">
        <f>C69*C41</f>
        <v>3.3333333333333332E-4</v>
      </c>
      <c r="D70" s="89">
        <f t="shared" si="111"/>
        <v>2.1643111111111111</v>
      </c>
      <c r="E70" s="83">
        <f t="shared" si="111"/>
        <v>2.1643111111111111</v>
      </c>
      <c r="F70" s="83">
        <f t="shared" si="112"/>
        <v>2.1643111111111111</v>
      </c>
      <c r="G70" s="83">
        <f t="shared" si="112"/>
        <v>2.2184188888888885</v>
      </c>
      <c r="H70" s="83">
        <f t="shared" si="112"/>
        <v>2.2184188888888885</v>
      </c>
      <c r="I70" s="83">
        <f t="shared" si="112"/>
        <v>2.2184188888888885</v>
      </c>
      <c r="J70" s="83">
        <f t="shared" si="112"/>
        <v>2.2184188888888885</v>
      </c>
      <c r="K70" s="83">
        <f t="shared" si="112"/>
        <v>2.2184188888888885</v>
      </c>
      <c r="L70" s="83">
        <f t="shared" si="112"/>
        <v>2.2184188888888885</v>
      </c>
      <c r="M70" s="83">
        <f t="shared" si="112"/>
        <v>2.2184188888888885</v>
      </c>
      <c r="N70" s="83">
        <f t="shared" si="112"/>
        <v>2.2184188888888885</v>
      </c>
      <c r="O70" s="83">
        <f t="shared" si="112"/>
        <v>2.2184188888888885</v>
      </c>
      <c r="P70" s="107">
        <f t="shared" ref="P70" si="117">P69*P41</f>
        <v>3.3333333333333332E-4</v>
      </c>
      <c r="Q70" s="92">
        <f t="shared" si="114"/>
        <v>2.2184188888888885</v>
      </c>
      <c r="R70" s="83">
        <f t="shared" si="114"/>
        <v>2.2184188888888885</v>
      </c>
      <c r="S70" s="107">
        <f>S69*C41</f>
        <v>3.3333333333333332E-4</v>
      </c>
      <c r="T70" s="92">
        <f t="shared" si="115"/>
        <v>2.2184188888888885</v>
      </c>
      <c r="U70" s="83">
        <f t="shared" si="115"/>
        <v>2.2184188888888885</v>
      </c>
      <c r="V70" s="83">
        <f t="shared" si="115"/>
        <v>2.2184188888888885</v>
      </c>
      <c r="W70" s="83">
        <f t="shared" si="115"/>
        <v>2.2184188888888885</v>
      </c>
      <c r="X70" s="83">
        <f t="shared" si="115"/>
        <v>2.2184188888888885</v>
      </c>
      <c r="Y70" s="91">
        <f t="shared" si="115"/>
        <v>2.2184188888888885</v>
      </c>
      <c r="Z70" s="83">
        <f t="shared" si="115"/>
        <v>2.2184188888888885</v>
      </c>
      <c r="AA70" s="107">
        <f>AA69*K41</f>
        <v>2.2184188888888889</v>
      </c>
      <c r="AB70" s="83">
        <f t="shared" si="115"/>
        <v>2.2184188888888885</v>
      </c>
    </row>
    <row r="71" spans="1:28" ht="30" x14ac:dyDescent="0.25">
      <c r="A71" s="36" t="s">
        <v>10</v>
      </c>
      <c r="B71" s="2" t="s">
        <v>48</v>
      </c>
      <c r="C71" s="95">
        <f>C69*8%*40%</f>
        <v>1.3333333333333334E-4</v>
      </c>
      <c r="D71" s="89">
        <f t="shared" si="111"/>
        <v>0.86572444444444452</v>
      </c>
      <c r="E71" s="83">
        <f t="shared" si="111"/>
        <v>0.86572444444444452</v>
      </c>
      <c r="F71" s="83">
        <f t="shared" si="112"/>
        <v>0.86572444444444452</v>
      </c>
      <c r="G71" s="83">
        <f t="shared" si="112"/>
        <v>0.88736755555555558</v>
      </c>
      <c r="H71" s="83">
        <f t="shared" si="112"/>
        <v>0.88736755555555558</v>
      </c>
      <c r="I71" s="83">
        <f t="shared" si="112"/>
        <v>0.88736755555555558</v>
      </c>
      <c r="J71" s="83">
        <f t="shared" si="112"/>
        <v>0.88736755555555558</v>
      </c>
      <c r="K71" s="83">
        <f t="shared" si="112"/>
        <v>0.88736755555555558</v>
      </c>
      <c r="L71" s="83">
        <f t="shared" si="112"/>
        <v>0.88736755555555558</v>
      </c>
      <c r="M71" s="83">
        <f t="shared" si="112"/>
        <v>0.88736755555555558</v>
      </c>
      <c r="N71" s="83">
        <f t="shared" si="112"/>
        <v>0.88736755555555558</v>
      </c>
      <c r="O71" s="83">
        <f t="shared" si="112"/>
        <v>0.88736755555555558</v>
      </c>
      <c r="P71" s="107">
        <f t="shared" ref="P71" si="118">P69*8%*40%</f>
        <v>1.3333333333333334E-4</v>
      </c>
      <c r="Q71" s="92">
        <f t="shared" si="114"/>
        <v>0.88736755555555558</v>
      </c>
      <c r="R71" s="83">
        <f t="shared" si="114"/>
        <v>0.88736755555555558</v>
      </c>
      <c r="S71" s="107">
        <f>S69*8%*40%</f>
        <v>1.3333333333333334E-4</v>
      </c>
      <c r="T71" s="92">
        <f t="shared" si="115"/>
        <v>0.88736755555555558</v>
      </c>
      <c r="U71" s="83">
        <f t="shared" si="115"/>
        <v>0.88736755555555558</v>
      </c>
      <c r="V71" s="83">
        <f t="shared" si="115"/>
        <v>0.88736755555555558</v>
      </c>
      <c r="W71" s="83">
        <f t="shared" si="115"/>
        <v>0.88736755555555558</v>
      </c>
      <c r="X71" s="83">
        <f t="shared" si="115"/>
        <v>0.88736755555555558</v>
      </c>
      <c r="Y71" s="91">
        <f t="shared" si="115"/>
        <v>0.88736755555555558</v>
      </c>
      <c r="Z71" s="83">
        <f t="shared" si="115"/>
        <v>0.88736755555555558</v>
      </c>
      <c r="AA71" s="107">
        <f>AA69*8%*40%</f>
        <v>1.3333333333333334E-4</v>
      </c>
      <c r="AB71" s="83">
        <f t="shared" si="115"/>
        <v>0.88736755555555558</v>
      </c>
    </row>
    <row r="72" spans="1:28" x14ac:dyDescent="0.25">
      <c r="A72" s="36" t="s">
        <v>12</v>
      </c>
      <c r="B72" s="2" t="s">
        <v>49</v>
      </c>
      <c r="C72" s="95">
        <f>(7/30/12)*100%</f>
        <v>1.9444444444444445E-2</v>
      </c>
      <c r="D72" s="89">
        <f t="shared" si="111"/>
        <v>126.25148148148149</v>
      </c>
      <c r="E72" s="83">
        <f t="shared" si="111"/>
        <v>126.25148148148149</v>
      </c>
      <c r="F72" s="83">
        <f t="shared" si="112"/>
        <v>126.25148148148149</v>
      </c>
      <c r="G72" s="83">
        <f t="shared" si="112"/>
        <v>129.40776851851851</v>
      </c>
      <c r="H72" s="83">
        <f t="shared" si="112"/>
        <v>129.40776851851851</v>
      </c>
      <c r="I72" s="83">
        <f t="shared" si="112"/>
        <v>129.40776851851851</v>
      </c>
      <c r="J72" s="83">
        <f t="shared" si="112"/>
        <v>129.40776851851851</v>
      </c>
      <c r="K72" s="83">
        <f t="shared" si="112"/>
        <v>129.40776851851851</v>
      </c>
      <c r="L72" s="83">
        <f t="shared" si="112"/>
        <v>129.40776851851851</v>
      </c>
      <c r="M72" s="83">
        <f t="shared" si="112"/>
        <v>129.40776851851851</v>
      </c>
      <c r="N72" s="83">
        <f t="shared" si="112"/>
        <v>129.40776851851851</v>
      </c>
      <c r="O72" s="83">
        <f t="shared" si="112"/>
        <v>129.40776851851851</v>
      </c>
      <c r="P72" s="107">
        <f t="shared" ref="P72" si="119">(7/30/12)*100%</f>
        <v>1.9444444444444445E-2</v>
      </c>
      <c r="Q72" s="92">
        <f t="shared" si="114"/>
        <v>129.40776851851851</v>
      </c>
      <c r="R72" s="83">
        <f t="shared" si="114"/>
        <v>129.40776851851851</v>
      </c>
      <c r="S72" s="107">
        <v>1.9400000000000001E-3</v>
      </c>
      <c r="T72" s="92">
        <f t="shared" ref="T72:AB72" si="120">$S$72*(T$19+T$27)</f>
        <v>12.911197933333334</v>
      </c>
      <c r="U72" s="83">
        <f t="shared" si="120"/>
        <v>12.911197933333334</v>
      </c>
      <c r="V72" s="83">
        <f t="shared" si="120"/>
        <v>12.911197933333334</v>
      </c>
      <c r="W72" s="83">
        <f t="shared" si="120"/>
        <v>12.911197933333334</v>
      </c>
      <c r="X72" s="83">
        <f t="shared" si="120"/>
        <v>12.911197933333334</v>
      </c>
      <c r="Y72" s="91">
        <f t="shared" si="120"/>
        <v>12.911197933333334</v>
      </c>
      <c r="Z72" s="83">
        <f t="shared" si="120"/>
        <v>12.911197933333334</v>
      </c>
      <c r="AA72" s="107">
        <v>1.9400000000000001E-3</v>
      </c>
      <c r="AB72" s="83">
        <f t="shared" si="120"/>
        <v>12.911197933333334</v>
      </c>
    </row>
    <row r="73" spans="1:28" ht="30" x14ac:dyDescent="0.25">
      <c r="A73" s="36" t="s">
        <v>14</v>
      </c>
      <c r="B73" s="2" t="s">
        <v>50</v>
      </c>
      <c r="C73" s="95">
        <f>C72*C42</f>
        <v>3.1779222222222221E-3</v>
      </c>
      <c r="D73" s="89">
        <f t="shared" si="111"/>
        <v>20.634037127407407</v>
      </c>
      <c r="E73" s="83">
        <f t="shared" si="111"/>
        <v>20.634037127407407</v>
      </c>
      <c r="F73" s="83">
        <f t="shared" si="112"/>
        <v>20.634037127407407</v>
      </c>
      <c r="G73" s="83">
        <f t="shared" si="112"/>
        <v>21.149888055592591</v>
      </c>
      <c r="H73" s="83">
        <f t="shared" si="112"/>
        <v>21.149888055592591</v>
      </c>
      <c r="I73" s="83">
        <f t="shared" si="112"/>
        <v>21.149888055592591</v>
      </c>
      <c r="J73" s="83">
        <f t="shared" si="112"/>
        <v>21.149888055592591</v>
      </c>
      <c r="K73" s="83">
        <f t="shared" si="112"/>
        <v>21.149888055592591</v>
      </c>
      <c r="L73" s="83">
        <f t="shared" si="112"/>
        <v>21.149888055592591</v>
      </c>
      <c r="M73" s="83">
        <f t="shared" si="112"/>
        <v>21.149888055592591</v>
      </c>
      <c r="N73" s="83">
        <f t="shared" si="112"/>
        <v>21.149888055592591</v>
      </c>
      <c r="O73" s="83">
        <f t="shared" si="112"/>
        <v>21.149888055592591</v>
      </c>
      <c r="P73" s="107">
        <f t="shared" ref="P73" si="121">P72*P42</f>
        <v>3.0766944444444448E-3</v>
      </c>
      <c r="Q73" s="92">
        <f>$P$73*(Q$19+Q$27)</f>
        <v>20.476191212685187</v>
      </c>
      <c r="R73" s="83">
        <f>$P$73*(R$19+R$27)</f>
        <v>20.476191212685187</v>
      </c>
      <c r="S73" s="107">
        <f>S72*P42</f>
        <v>3.0696620000000006E-4</v>
      </c>
      <c r="T73" s="92">
        <f t="shared" ref="T73:AB73" si="122">$S$73*(T$19+T$27)</f>
        <v>2.0429388489913336</v>
      </c>
      <c r="U73" s="83">
        <f t="shared" si="122"/>
        <v>2.0429388489913336</v>
      </c>
      <c r="V73" s="83">
        <f t="shared" si="122"/>
        <v>2.0429388489913336</v>
      </c>
      <c r="W73" s="83">
        <f t="shared" si="122"/>
        <v>2.0429388489913336</v>
      </c>
      <c r="X73" s="83">
        <f t="shared" si="122"/>
        <v>2.0429388489913336</v>
      </c>
      <c r="Y73" s="91">
        <f t="shared" si="122"/>
        <v>2.0429388489913336</v>
      </c>
      <c r="Z73" s="83">
        <f t="shared" si="122"/>
        <v>2.0429388489913336</v>
      </c>
      <c r="AA73" s="107">
        <f>AA72*X42</f>
        <v>2.0429388489913332</v>
      </c>
      <c r="AB73" s="83">
        <f t="shared" si="122"/>
        <v>2.0429388489913336</v>
      </c>
    </row>
    <row r="74" spans="1:28" ht="30" x14ac:dyDescent="0.25">
      <c r="A74" s="36" t="s">
        <v>16</v>
      </c>
      <c r="B74" s="2" t="s">
        <v>51</v>
      </c>
      <c r="C74" s="95">
        <f>C72*8%*40%</f>
        <v>6.2222222222222236E-4</v>
      </c>
      <c r="D74" s="89">
        <f t="shared" si="111"/>
        <v>4.0400474074074086</v>
      </c>
      <c r="E74" s="83">
        <f t="shared" si="111"/>
        <v>4.0400474074074086</v>
      </c>
      <c r="F74" s="83">
        <f t="shared" si="112"/>
        <v>4.0400474074074086</v>
      </c>
      <c r="G74" s="83">
        <f t="shared" si="112"/>
        <v>4.1410485925925933</v>
      </c>
      <c r="H74" s="83">
        <f t="shared" si="112"/>
        <v>4.1410485925925933</v>
      </c>
      <c r="I74" s="83">
        <f t="shared" si="112"/>
        <v>4.1410485925925933</v>
      </c>
      <c r="J74" s="83">
        <f t="shared" si="112"/>
        <v>4.1410485925925933</v>
      </c>
      <c r="K74" s="83">
        <f t="shared" si="112"/>
        <v>4.1410485925925933</v>
      </c>
      <c r="L74" s="83">
        <f t="shared" si="112"/>
        <v>4.1410485925925933</v>
      </c>
      <c r="M74" s="83">
        <f t="shared" si="112"/>
        <v>4.1410485925925933</v>
      </c>
      <c r="N74" s="83">
        <f t="shared" si="112"/>
        <v>4.1410485925925933</v>
      </c>
      <c r="O74" s="83">
        <f t="shared" si="112"/>
        <v>4.1410485925925933</v>
      </c>
      <c r="P74" s="107">
        <f t="shared" ref="P74" si="123">P72*8%*40%</f>
        <v>6.2222222222222236E-4</v>
      </c>
      <c r="Q74" s="92">
        <f>$C74*(Q$19+Q$27)</f>
        <v>4.1410485925925933</v>
      </c>
      <c r="R74" s="83">
        <f>$C74*(R$19+R$27)</f>
        <v>4.1410485925925933</v>
      </c>
      <c r="S74" s="107">
        <f>S72*8%*40%</f>
        <v>6.2080000000000002E-5</v>
      </c>
      <c r="T74" s="92">
        <f t="shared" ref="T74:AB74" si="124">$S74*(T$19+T$27)</f>
        <v>0.41315833386666667</v>
      </c>
      <c r="U74" s="83">
        <f t="shared" si="124"/>
        <v>0.41315833386666667</v>
      </c>
      <c r="V74" s="83">
        <f t="shared" si="124"/>
        <v>0.41315833386666667</v>
      </c>
      <c r="W74" s="83">
        <f t="shared" si="124"/>
        <v>0.41315833386666667</v>
      </c>
      <c r="X74" s="83">
        <f t="shared" si="124"/>
        <v>0.41315833386666667</v>
      </c>
      <c r="Y74" s="91">
        <f t="shared" si="124"/>
        <v>0.41315833386666667</v>
      </c>
      <c r="Z74" s="83">
        <f t="shared" si="124"/>
        <v>0.41315833386666667</v>
      </c>
      <c r="AA74" s="107">
        <f>AA72*8%*40%</f>
        <v>6.2080000000000002E-5</v>
      </c>
      <c r="AB74" s="83">
        <f t="shared" si="124"/>
        <v>0.41315833386666667</v>
      </c>
    </row>
    <row r="75" spans="1:28" x14ac:dyDescent="0.25">
      <c r="A75" s="46" t="s">
        <v>32</v>
      </c>
      <c r="B75" s="12" t="s">
        <v>133</v>
      </c>
      <c r="C75" s="95">
        <v>3.49E-2</v>
      </c>
      <c r="D75" s="89">
        <f t="shared" si="111"/>
        <v>226.60337333333334</v>
      </c>
      <c r="E75" s="83">
        <f t="shared" si="111"/>
        <v>226.60337333333334</v>
      </c>
      <c r="F75" s="83">
        <f t="shared" si="112"/>
        <v>226.60337333333334</v>
      </c>
      <c r="G75" s="83">
        <f t="shared" si="112"/>
        <v>232.26845766666665</v>
      </c>
      <c r="H75" s="83">
        <f t="shared" si="112"/>
        <v>232.26845766666665</v>
      </c>
      <c r="I75" s="83">
        <f t="shared" si="112"/>
        <v>232.26845766666665</v>
      </c>
      <c r="J75" s="83">
        <f t="shared" si="112"/>
        <v>232.26845766666665</v>
      </c>
      <c r="K75" s="83">
        <f t="shared" si="112"/>
        <v>232.26845766666665</v>
      </c>
      <c r="L75" s="83">
        <f t="shared" si="112"/>
        <v>232.26845766666665</v>
      </c>
      <c r="M75" s="83">
        <f t="shared" si="112"/>
        <v>232.26845766666665</v>
      </c>
      <c r="N75" s="83">
        <f t="shared" si="112"/>
        <v>232.26845766666665</v>
      </c>
      <c r="O75" s="83">
        <f t="shared" si="112"/>
        <v>232.26845766666665</v>
      </c>
      <c r="P75" s="107">
        <v>3.49E-2</v>
      </c>
      <c r="Q75" s="92">
        <f>$C75*(Q$19+Q$27)</f>
        <v>232.26845766666665</v>
      </c>
      <c r="R75" s="83">
        <f>$C75*(R$19+R$27)</f>
        <v>232.26845766666665</v>
      </c>
      <c r="S75" s="107">
        <v>3.49E-2</v>
      </c>
      <c r="T75" s="92">
        <f t="shared" ref="T75:AB75" si="125">$C75*(T$19+T$27)</f>
        <v>232.26845766666665</v>
      </c>
      <c r="U75" s="83">
        <f t="shared" si="125"/>
        <v>232.26845766666665</v>
      </c>
      <c r="V75" s="83">
        <f t="shared" si="125"/>
        <v>232.26845766666665</v>
      </c>
      <c r="W75" s="83">
        <f t="shared" si="125"/>
        <v>232.26845766666665</v>
      </c>
      <c r="X75" s="83">
        <f t="shared" si="125"/>
        <v>232.26845766666665</v>
      </c>
      <c r="Y75" s="91">
        <f t="shared" si="125"/>
        <v>232.26845766666665</v>
      </c>
      <c r="Z75" s="83">
        <f t="shared" si="125"/>
        <v>232.26845766666665</v>
      </c>
      <c r="AA75" s="107">
        <v>3.49E-2</v>
      </c>
      <c r="AB75" s="83">
        <f t="shared" si="125"/>
        <v>232.26845766666665</v>
      </c>
    </row>
    <row r="76" spans="1:28" x14ac:dyDescent="0.25">
      <c r="A76" s="609" t="s">
        <v>161</v>
      </c>
      <c r="B76" s="611"/>
      <c r="C76" s="96">
        <f>SUM(C69:C75)</f>
        <v>6.2777922222222227E-2</v>
      </c>
      <c r="D76" s="89">
        <f>SUM(D69:D75)</f>
        <v>407.61286379407409</v>
      </c>
      <c r="E76" s="83">
        <f>SUM(E69:E75)</f>
        <v>407.61286379407409</v>
      </c>
      <c r="F76" s="83">
        <f t="shared" ref="F76:O76" si="126">SUM(F69:F75)</f>
        <v>407.61286379407409</v>
      </c>
      <c r="G76" s="83">
        <f t="shared" si="126"/>
        <v>417.8031853889259</v>
      </c>
      <c r="H76" s="83">
        <f t="shared" si="126"/>
        <v>417.8031853889259</v>
      </c>
      <c r="I76" s="83">
        <f t="shared" si="126"/>
        <v>417.8031853889259</v>
      </c>
      <c r="J76" s="83">
        <f t="shared" si="126"/>
        <v>417.8031853889259</v>
      </c>
      <c r="K76" s="83">
        <f t="shared" si="126"/>
        <v>417.8031853889259</v>
      </c>
      <c r="L76" s="83">
        <f t="shared" si="126"/>
        <v>417.8031853889259</v>
      </c>
      <c r="M76" s="83">
        <f t="shared" si="126"/>
        <v>417.8031853889259</v>
      </c>
      <c r="N76" s="83">
        <f t="shared" si="126"/>
        <v>417.8031853889259</v>
      </c>
      <c r="O76" s="83">
        <f t="shared" si="126"/>
        <v>417.8031853889259</v>
      </c>
      <c r="P76" s="108">
        <f t="shared" ref="P76" si="127">SUM(P69:P75)</f>
        <v>6.2676694444444445E-2</v>
      </c>
      <c r="Q76" s="92">
        <f t="shared" ref="Q76" si="128">SUM(Q69:Q75)</f>
        <v>417.12948854601848</v>
      </c>
      <c r="R76" s="83">
        <f t="shared" ref="R76" si="129">SUM(R69:R75)</f>
        <v>417.12948854601848</v>
      </c>
      <c r="S76" s="108">
        <f t="shared" ref="S76:Z76" si="130">SUM(S69:S75)</f>
        <v>4.1842379533333335E-2</v>
      </c>
      <c r="T76" s="92">
        <f t="shared" si="130"/>
        <v>278.47177533841352</v>
      </c>
      <c r="U76" s="83">
        <f t="shared" si="130"/>
        <v>278.47177533841352</v>
      </c>
      <c r="V76" s="83">
        <f t="shared" si="130"/>
        <v>278.47177533841352</v>
      </c>
      <c r="W76" s="83">
        <f t="shared" si="130"/>
        <v>278.47177533841352</v>
      </c>
      <c r="X76" s="83">
        <f t="shared" si="130"/>
        <v>278.47177533841352</v>
      </c>
      <c r="Y76" s="91">
        <f t="shared" si="130"/>
        <v>278.47177533841352</v>
      </c>
      <c r="Z76" s="83">
        <f t="shared" si="130"/>
        <v>278.47177533841352</v>
      </c>
      <c r="AA76" s="108">
        <f t="shared" ref="AA76" si="131">SUM(AA69:AA75)</f>
        <v>4.3025598178802227</v>
      </c>
      <c r="AB76" s="83">
        <f t="shared" ref="AB76" si="132">SUM(AB69:AB75)</f>
        <v>278.47177533841352</v>
      </c>
    </row>
    <row r="77" spans="1:28" x14ac:dyDescent="0.25">
      <c r="A77" s="604" t="s">
        <v>111</v>
      </c>
      <c r="B77" s="605"/>
      <c r="C77" s="605"/>
      <c r="D77" s="60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70"/>
      <c r="Q77" s="329"/>
      <c r="R77" s="115"/>
      <c r="S77" s="328"/>
      <c r="T77" s="329"/>
      <c r="U77" s="115"/>
      <c r="V77" s="115"/>
      <c r="W77" s="115"/>
      <c r="X77" s="115"/>
      <c r="Y77" s="119"/>
      <c r="Z77" s="115"/>
      <c r="AA77" s="370"/>
      <c r="AB77" s="115"/>
    </row>
    <row r="78" spans="1:28" x14ac:dyDescent="0.25">
      <c r="A78" s="604" t="s">
        <v>119</v>
      </c>
      <c r="B78" s="605"/>
      <c r="C78" s="605"/>
      <c r="D78" s="60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70"/>
      <c r="Q78" s="329"/>
      <c r="R78" s="115"/>
      <c r="S78" s="328"/>
      <c r="T78" s="329"/>
      <c r="U78" s="115"/>
      <c r="V78" s="115"/>
      <c r="W78" s="115"/>
      <c r="X78" s="115"/>
      <c r="Y78" s="119"/>
      <c r="Z78" s="115"/>
      <c r="AA78" s="370"/>
      <c r="AB78" s="115"/>
    </row>
    <row r="79" spans="1:28" x14ac:dyDescent="0.25">
      <c r="A79" s="34"/>
      <c r="B79" s="35"/>
      <c r="C79" s="35"/>
      <c r="D79" s="84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70"/>
      <c r="Q79" s="329"/>
      <c r="R79" s="115"/>
      <c r="S79" s="328"/>
      <c r="T79" s="329"/>
      <c r="U79" s="115"/>
      <c r="V79" s="115"/>
      <c r="W79" s="115"/>
      <c r="X79" s="115"/>
      <c r="Y79" s="119"/>
      <c r="Z79" s="115"/>
      <c r="AA79" s="370"/>
      <c r="AB79" s="115"/>
    </row>
    <row r="80" spans="1:28" x14ac:dyDescent="0.25">
      <c r="A80" s="550" t="s">
        <v>52</v>
      </c>
      <c r="B80" s="551"/>
      <c r="C80" s="551"/>
      <c r="D80" s="614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328"/>
      <c r="Q80" s="329"/>
      <c r="R80" s="115"/>
      <c r="S80" s="328"/>
      <c r="T80" s="329"/>
      <c r="U80" s="115"/>
      <c r="V80" s="115"/>
      <c r="W80" s="115"/>
      <c r="X80" s="115"/>
      <c r="Y80" s="119"/>
      <c r="Z80" s="115"/>
      <c r="AA80" s="370"/>
      <c r="AB80" s="115"/>
    </row>
    <row r="81" spans="1:28" x14ac:dyDescent="0.25">
      <c r="A81" s="539" t="s">
        <v>112</v>
      </c>
      <c r="B81" s="540"/>
      <c r="C81" s="540"/>
      <c r="D81" s="6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328"/>
      <c r="Q81" s="329"/>
      <c r="R81" s="115"/>
      <c r="S81" s="328"/>
      <c r="T81" s="329"/>
      <c r="U81" s="115"/>
      <c r="V81" s="115"/>
      <c r="W81" s="115"/>
      <c r="X81" s="115"/>
      <c r="Y81" s="119"/>
      <c r="Z81" s="115"/>
      <c r="AA81" s="370"/>
      <c r="AB81" s="115"/>
    </row>
    <row r="82" spans="1:28" x14ac:dyDescent="0.25">
      <c r="A82" s="34"/>
      <c r="B82" s="35"/>
      <c r="C82" s="35"/>
      <c r="D82" s="84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328"/>
      <c r="Q82" s="329"/>
      <c r="R82" s="115"/>
      <c r="S82" s="328"/>
      <c r="T82" s="329"/>
      <c r="U82" s="115"/>
      <c r="V82" s="115"/>
      <c r="W82" s="115"/>
      <c r="X82" s="115"/>
      <c r="Y82" s="119"/>
      <c r="Z82" s="115"/>
      <c r="AA82" s="370"/>
      <c r="AB82" s="115"/>
    </row>
    <row r="83" spans="1:28" x14ac:dyDescent="0.25">
      <c r="A83" s="550" t="s">
        <v>114</v>
      </c>
      <c r="B83" s="551"/>
      <c r="C83" s="551"/>
      <c r="D83" s="614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328"/>
      <c r="Q83" s="329"/>
      <c r="R83" s="115"/>
      <c r="S83" s="328"/>
      <c r="T83" s="329"/>
      <c r="U83" s="115"/>
      <c r="V83" s="115"/>
      <c r="W83" s="115"/>
      <c r="X83" s="115"/>
      <c r="Y83" s="119"/>
      <c r="Z83" s="115"/>
      <c r="AA83" s="370"/>
      <c r="AB83" s="115"/>
    </row>
    <row r="84" spans="1:28" x14ac:dyDescent="0.25">
      <c r="A84" s="38" t="s">
        <v>53</v>
      </c>
      <c r="B84" s="33" t="s">
        <v>54</v>
      </c>
      <c r="C84" s="33" t="s">
        <v>26</v>
      </c>
      <c r="D84" s="88" t="s">
        <v>5</v>
      </c>
      <c r="E84" s="189" t="s">
        <v>5</v>
      </c>
      <c r="F84" s="189" t="s">
        <v>5</v>
      </c>
      <c r="G84" s="189" t="s">
        <v>5</v>
      </c>
      <c r="H84" s="189" t="s">
        <v>5</v>
      </c>
      <c r="I84" s="189" t="s">
        <v>5</v>
      </c>
      <c r="J84" s="189" t="s">
        <v>5</v>
      </c>
      <c r="K84" s="189" t="s">
        <v>5</v>
      </c>
      <c r="L84" s="189" t="s">
        <v>5</v>
      </c>
      <c r="M84" s="189" t="s">
        <v>5</v>
      </c>
      <c r="N84" s="189" t="s">
        <v>5</v>
      </c>
      <c r="O84" s="189" t="s">
        <v>5</v>
      </c>
      <c r="P84" s="197" t="s">
        <v>26</v>
      </c>
      <c r="Q84" s="93" t="s">
        <v>5</v>
      </c>
      <c r="R84" s="189" t="s">
        <v>5</v>
      </c>
      <c r="S84" s="197" t="s">
        <v>26</v>
      </c>
      <c r="T84" s="93" t="s">
        <v>5</v>
      </c>
      <c r="U84" s="189" t="s">
        <v>5</v>
      </c>
      <c r="V84" s="189" t="s">
        <v>5</v>
      </c>
      <c r="W84" s="189" t="s">
        <v>5</v>
      </c>
      <c r="X84" s="189" t="s">
        <v>5</v>
      </c>
      <c r="Y84" s="338" t="s">
        <v>5</v>
      </c>
      <c r="Z84" s="189" t="s">
        <v>5</v>
      </c>
      <c r="AA84" s="197" t="s">
        <v>26</v>
      </c>
      <c r="AB84" s="189" t="s">
        <v>5</v>
      </c>
    </row>
    <row r="85" spans="1:28" x14ac:dyDescent="0.25">
      <c r="A85" s="36" t="s">
        <v>6</v>
      </c>
      <c r="B85" s="2" t="s">
        <v>55</v>
      </c>
      <c r="C85" s="95">
        <v>6.8999999999999999E-3</v>
      </c>
      <c r="D85" s="89">
        <f t="shared" ref="D85:E90" si="133">$C85*(D$19+D$27)</f>
        <v>44.80124</v>
      </c>
      <c r="E85" s="83">
        <f t="shared" si="133"/>
        <v>44.80124</v>
      </c>
      <c r="F85" s="83">
        <f t="shared" ref="F85:O90" si="134">$C85*(F$19+F$27)</f>
        <v>44.80124</v>
      </c>
      <c r="G85" s="83">
        <f t="shared" si="134"/>
        <v>45.921270999999997</v>
      </c>
      <c r="H85" s="83">
        <f t="shared" si="134"/>
        <v>45.921270999999997</v>
      </c>
      <c r="I85" s="83">
        <f t="shared" si="134"/>
        <v>45.921270999999997</v>
      </c>
      <c r="J85" s="83">
        <f t="shared" si="134"/>
        <v>45.921270999999997</v>
      </c>
      <c r="K85" s="83">
        <f t="shared" si="134"/>
        <v>45.921270999999997</v>
      </c>
      <c r="L85" s="83">
        <f t="shared" si="134"/>
        <v>45.921270999999997</v>
      </c>
      <c r="M85" s="83">
        <f t="shared" si="134"/>
        <v>45.921270999999997</v>
      </c>
      <c r="N85" s="83">
        <f t="shared" si="134"/>
        <v>45.921270999999997</v>
      </c>
      <c r="O85" s="83">
        <f t="shared" si="134"/>
        <v>45.921270999999997</v>
      </c>
      <c r="P85" s="107">
        <v>6.8999999999999999E-3</v>
      </c>
      <c r="Q85" s="92">
        <f t="shared" ref="Q85:R88" si="135">$C85*(Q$19+Q$27)</f>
        <v>45.921270999999997</v>
      </c>
      <c r="R85" s="83">
        <f t="shared" si="135"/>
        <v>45.921270999999997</v>
      </c>
      <c r="S85" s="107">
        <v>6.8999999999999999E-3</v>
      </c>
      <c r="T85" s="92">
        <f t="shared" ref="T85:AB88" si="136">$C85*(T$19+T$27)</f>
        <v>45.921270999999997</v>
      </c>
      <c r="U85" s="83">
        <f t="shared" si="136"/>
        <v>45.921270999999997</v>
      </c>
      <c r="V85" s="83">
        <f t="shared" si="136"/>
        <v>45.921270999999997</v>
      </c>
      <c r="W85" s="83">
        <f t="shared" si="136"/>
        <v>45.921270999999997</v>
      </c>
      <c r="X85" s="83">
        <f t="shared" si="136"/>
        <v>45.921270999999997</v>
      </c>
      <c r="Y85" s="91">
        <f t="shared" si="136"/>
        <v>45.921270999999997</v>
      </c>
      <c r="Z85" s="83">
        <f t="shared" si="136"/>
        <v>45.921270999999997</v>
      </c>
      <c r="AA85" s="107">
        <v>6.8999999999999999E-3</v>
      </c>
      <c r="AB85" s="83">
        <f t="shared" si="136"/>
        <v>45.921270999999997</v>
      </c>
    </row>
    <row r="86" spans="1:28" x14ac:dyDescent="0.25">
      <c r="A86" s="36" t="s">
        <v>8</v>
      </c>
      <c r="B86" s="2" t="s">
        <v>56</v>
      </c>
      <c r="C86" s="95">
        <f>(1/30)*(1/12)</f>
        <v>2.7777777777777775E-3</v>
      </c>
      <c r="D86" s="89">
        <f t="shared" si="133"/>
        <v>18.035925925925923</v>
      </c>
      <c r="E86" s="83">
        <f t="shared" si="133"/>
        <v>18.035925925925923</v>
      </c>
      <c r="F86" s="83">
        <f t="shared" si="134"/>
        <v>18.035925925925923</v>
      </c>
      <c r="G86" s="83">
        <f t="shared" si="134"/>
        <v>18.486824074074072</v>
      </c>
      <c r="H86" s="83">
        <f t="shared" si="134"/>
        <v>18.486824074074072</v>
      </c>
      <c r="I86" s="83">
        <f t="shared" si="134"/>
        <v>18.486824074074072</v>
      </c>
      <c r="J86" s="83">
        <f t="shared" si="134"/>
        <v>18.486824074074072</v>
      </c>
      <c r="K86" s="83">
        <f t="shared" si="134"/>
        <v>18.486824074074072</v>
      </c>
      <c r="L86" s="83">
        <f t="shared" si="134"/>
        <v>18.486824074074072</v>
      </c>
      <c r="M86" s="83">
        <f t="shared" si="134"/>
        <v>18.486824074074072</v>
      </c>
      <c r="N86" s="83">
        <f t="shared" si="134"/>
        <v>18.486824074074072</v>
      </c>
      <c r="O86" s="83">
        <f t="shared" si="134"/>
        <v>18.486824074074072</v>
      </c>
      <c r="P86" s="107">
        <f>(1/30)*(1/12)</f>
        <v>2.7777777777777775E-3</v>
      </c>
      <c r="Q86" s="92">
        <f t="shared" si="135"/>
        <v>18.486824074074072</v>
      </c>
      <c r="R86" s="83">
        <f t="shared" si="135"/>
        <v>18.486824074074072</v>
      </c>
      <c r="S86" s="107">
        <f t="shared" ref="S86" si="137">(1/30)*(1/12)</f>
        <v>2.7777777777777775E-3</v>
      </c>
      <c r="T86" s="92">
        <f t="shared" si="136"/>
        <v>18.486824074074072</v>
      </c>
      <c r="U86" s="83">
        <f t="shared" si="136"/>
        <v>18.486824074074072</v>
      </c>
      <c r="V86" s="83">
        <f t="shared" si="136"/>
        <v>18.486824074074072</v>
      </c>
      <c r="W86" s="83">
        <f t="shared" si="136"/>
        <v>18.486824074074072</v>
      </c>
      <c r="X86" s="83">
        <f t="shared" si="136"/>
        <v>18.486824074074072</v>
      </c>
      <c r="Y86" s="91">
        <f t="shared" si="136"/>
        <v>18.486824074074072</v>
      </c>
      <c r="Z86" s="83">
        <f t="shared" si="136"/>
        <v>18.486824074074072</v>
      </c>
      <c r="AA86" s="107">
        <f t="shared" ref="AA86" si="138">(1/30)*(1/12)</f>
        <v>2.7777777777777775E-3</v>
      </c>
      <c r="AB86" s="83">
        <f t="shared" si="136"/>
        <v>18.486824074074072</v>
      </c>
    </row>
    <row r="87" spans="1:28" x14ac:dyDescent="0.25">
      <c r="A87" s="36" t="s">
        <v>10</v>
      </c>
      <c r="B87" s="2" t="s">
        <v>57</v>
      </c>
      <c r="C87" s="95">
        <f>(5/30/12)*1.5%</f>
        <v>2.0833333333333332E-4</v>
      </c>
      <c r="D87" s="89">
        <f t="shared" si="133"/>
        <v>1.3526944444444444</v>
      </c>
      <c r="E87" s="83">
        <f t="shared" si="133"/>
        <v>1.3526944444444444</v>
      </c>
      <c r="F87" s="83">
        <f t="shared" si="134"/>
        <v>1.3526944444444444</v>
      </c>
      <c r="G87" s="83">
        <f t="shared" si="134"/>
        <v>1.3865118055555554</v>
      </c>
      <c r="H87" s="83">
        <f t="shared" si="134"/>
        <v>1.3865118055555554</v>
      </c>
      <c r="I87" s="83">
        <f t="shared" si="134"/>
        <v>1.3865118055555554</v>
      </c>
      <c r="J87" s="83">
        <f t="shared" si="134"/>
        <v>1.3865118055555554</v>
      </c>
      <c r="K87" s="83">
        <f t="shared" si="134"/>
        <v>1.3865118055555554</v>
      </c>
      <c r="L87" s="83">
        <f t="shared" si="134"/>
        <v>1.3865118055555554</v>
      </c>
      <c r="M87" s="83">
        <f t="shared" si="134"/>
        <v>1.3865118055555554</v>
      </c>
      <c r="N87" s="83">
        <f t="shared" si="134"/>
        <v>1.3865118055555554</v>
      </c>
      <c r="O87" s="83">
        <f t="shared" si="134"/>
        <v>1.3865118055555554</v>
      </c>
      <c r="P87" s="107">
        <f>(5/30/12)*1.5%</f>
        <v>2.0833333333333332E-4</v>
      </c>
      <c r="Q87" s="92">
        <f t="shared" si="135"/>
        <v>1.3865118055555554</v>
      </c>
      <c r="R87" s="83">
        <f t="shared" si="135"/>
        <v>1.3865118055555554</v>
      </c>
      <c r="S87" s="107">
        <f t="shared" ref="S87" si="139">(5/30/12)*1.5%</f>
        <v>2.0833333333333332E-4</v>
      </c>
      <c r="T87" s="92">
        <f t="shared" si="136"/>
        <v>1.3865118055555554</v>
      </c>
      <c r="U87" s="83">
        <f t="shared" si="136"/>
        <v>1.3865118055555554</v>
      </c>
      <c r="V87" s="83">
        <f t="shared" si="136"/>
        <v>1.3865118055555554</v>
      </c>
      <c r="W87" s="83">
        <f t="shared" si="136"/>
        <v>1.3865118055555554</v>
      </c>
      <c r="X87" s="83">
        <f t="shared" si="136"/>
        <v>1.3865118055555554</v>
      </c>
      <c r="Y87" s="91">
        <f t="shared" si="136"/>
        <v>1.3865118055555554</v>
      </c>
      <c r="Z87" s="83">
        <f t="shared" si="136"/>
        <v>1.3865118055555554</v>
      </c>
      <c r="AA87" s="107">
        <f t="shared" ref="AA87" si="140">(5/30/12)*1.5%</f>
        <v>2.0833333333333332E-4</v>
      </c>
      <c r="AB87" s="83">
        <f t="shared" si="136"/>
        <v>1.3865118055555554</v>
      </c>
    </row>
    <row r="88" spans="1:28" ht="30" x14ac:dyDescent="0.25">
      <c r="A88" s="36" t="s">
        <v>12</v>
      </c>
      <c r="B88" s="2" t="s">
        <v>58</v>
      </c>
      <c r="C88" s="95">
        <f>(15/30/12)*0.78%</f>
        <v>3.2499999999999999E-4</v>
      </c>
      <c r="D88" s="89">
        <f t="shared" si="133"/>
        <v>2.1102033333333332</v>
      </c>
      <c r="E88" s="83">
        <f t="shared" si="133"/>
        <v>2.1102033333333332</v>
      </c>
      <c r="F88" s="83">
        <f t="shared" si="134"/>
        <v>2.1102033333333332</v>
      </c>
      <c r="G88" s="83">
        <f t="shared" si="134"/>
        <v>2.1629584166666662</v>
      </c>
      <c r="H88" s="83">
        <f t="shared" si="134"/>
        <v>2.1629584166666662</v>
      </c>
      <c r="I88" s="83">
        <f t="shared" si="134"/>
        <v>2.1629584166666662</v>
      </c>
      <c r="J88" s="83">
        <f t="shared" si="134"/>
        <v>2.1629584166666662</v>
      </c>
      <c r="K88" s="83">
        <f t="shared" si="134"/>
        <v>2.1629584166666662</v>
      </c>
      <c r="L88" s="83">
        <f t="shared" si="134"/>
        <v>2.1629584166666662</v>
      </c>
      <c r="M88" s="83">
        <f t="shared" si="134"/>
        <v>2.1629584166666662</v>
      </c>
      <c r="N88" s="83">
        <f t="shared" si="134"/>
        <v>2.1629584166666662</v>
      </c>
      <c r="O88" s="83">
        <f t="shared" si="134"/>
        <v>2.1629584166666662</v>
      </c>
      <c r="P88" s="107">
        <f>(15/30/12)*0.78%</f>
        <v>3.2499999999999999E-4</v>
      </c>
      <c r="Q88" s="92">
        <f t="shared" si="135"/>
        <v>2.1629584166666662</v>
      </c>
      <c r="R88" s="83">
        <f t="shared" si="135"/>
        <v>2.1629584166666662</v>
      </c>
      <c r="S88" s="107">
        <f t="shared" ref="S88" si="141">(15/30/12)*0.78%</f>
        <v>3.2499999999999999E-4</v>
      </c>
      <c r="T88" s="92">
        <f t="shared" si="136"/>
        <v>2.1629584166666662</v>
      </c>
      <c r="U88" s="83">
        <f t="shared" si="136"/>
        <v>2.1629584166666662</v>
      </c>
      <c r="V88" s="83">
        <f t="shared" si="136"/>
        <v>2.1629584166666662</v>
      </c>
      <c r="W88" s="83">
        <f t="shared" si="136"/>
        <v>2.1629584166666662</v>
      </c>
      <c r="X88" s="83">
        <f t="shared" si="136"/>
        <v>2.1629584166666662</v>
      </c>
      <c r="Y88" s="91">
        <f t="shared" si="136"/>
        <v>2.1629584166666662</v>
      </c>
      <c r="Z88" s="83">
        <f t="shared" si="136"/>
        <v>2.1629584166666662</v>
      </c>
      <c r="AA88" s="107">
        <f t="shared" ref="AA88" si="142">(15/30/12)*0.78%</f>
        <v>3.2499999999999999E-4</v>
      </c>
      <c r="AB88" s="83">
        <f t="shared" si="136"/>
        <v>2.1629584166666662</v>
      </c>
    </row>
    <row r="89" spans="1:28" ht="30" x14ac:dyDescent="0.25">
      <c r="A89" s="36" t="s">
        <v>14</v>
      </c>
      <c r="B89" s="2" t="s">
        <v>59</v>
      </c>
      <c r="C89" s="95">
        <f>(1.44%*10%*(C34+C36+C25+C41+C75)*6/12)</f>
        <v>1.6649646545454546E-4</v>
      </c>
      <c r="D89" s="89">
        <f t="shared" si="133"/>
        <v>1.081050450432</v>
      </c>
      <c r="E89" s="83">
        <f t="shared" si="133"/>
        <v>1.081050450432</v>
      </c>
      <c r="F89" s="83">
        <f t="shared" si="134"/>
        <v>1.081050450432</v>
      </c>
      <c r="G89" s="83">
        <f t="shared" si="134"/>
        <v>1.1080767116927999</v>
      </c>
      <c r="H89" s="83">
        <f t="shared" si="134"/>
        <v>1.1080767116927999</v>
      </c>
      <c r="I89" s="83">
        <f t="shared" si="134"/>
        <v>1.1080767116927999</v>
      </c>
      <c r="J89" s="83">
        <f t="shared" si="134"/>
        <v>1.1080767116927999</v>
      </c>
      <c r="K89" s="83">
        <f t="shared" si="134"/>
        <v>1.1080767116927999</v>
      </c>
      <c r="L89" s="83">
        <f t="shared" si="134"/>
        <v>1.1080767116927999</v>
      </c>
      <c r="M89" s="83">
        <f t="shared" si="134"/>
        <v>1.1080767116927999</v>
      </c>
      <c r="N89" s="83">
        <f t="shared" si="134"/>
        <v>1.1080767116927999</v>
      </c>
      <c r="O89" s="83">
        <f t="shared" si="134"/>
        <v>1.1080767116927999</v>
      </c>
      <c r="P89" s="107">
        <f>(1.44%*10%*(P34+P36+$C25+P41+P75)*6/12)</f>
        <v>1.6274814545454546E-4</v>
      </c>
      <c r="Q89" s="92">
        <f>$P$89*(Q$19+Q$27)</f>
        <v>1.0831306800239999</v>
      </c>
      <c r="R89" s="83">
        <f>$P$89*(R$19+R$27)</f>
        <v>1.0831306800239999</v>
      </c>
      <c r="S89" s="107">
        <f>(1.44%*10%*(P34+P36+$C25+P41+S75)*6/12)</f>
        <v>1.6274814545454546E-4</v>
      </c>
      <c r="T89" s="92">
        <f>$S$89*(T$19+T$27)</f>
        <v>1.0831306800239999</v>
      </c>
      <c r="U89" s="83">
        <f t="shared" ref="U89:AB89" si="143">$S$89*(U$19+U$27)</f>
        <v>1.0831306800239999</v>
      </c>
      <c r="V89" s="83">
        <f t="shared" si="143"/>
        <v>1.0831306800239999</v>
      </c>
      <c r="W89" s="83">
        <f t="shared" si="143"/>
        <v>1.0831306800239999</v>
      </c>
      <c r="X89" s="83">
        <f t="shared" si="143"/>
        <v>1.0831306800239999</v>
      </c>
      <c r="Y89" s="91">
        <f t="shared" si="143"/>
        <v>1.0831306800239999</v>
      </c>
      <c r="Z89" s="83">
        <f t="shared" si="143"/>
        <v>1.0831306800239999</v>
      </c>
      <c r="AA89" s="107">
        <f>(1.44%*10%*(X34+X36+$C25+X41+AA75)*6/12)</f>
        <v>0.48037117304945459</v>
      </c>
      <c r="AB89" s="83">
        <f t="shared" si="143"/>
        <v>1.0831306800239999</v>
      </c>
    </row>
    <row r="90" spans="1:28" ht="30" x14ac:dyDescent="0.25">
      <c r="A90" s="36" t="s">
        <v>16</v>
      </c>
      <c r="B90" s="2" t="s">
        <v>60</v>
      </c>
      <c r="C90" s="95">
        <v>0</v>
      </c>
      <c r="D90" s="89">
        <f t="shared" si="133"/>
        <v>0</v>
      </c>
      <c r="E90" s="83">
        <f t="shared" si="133"/>
        <v>0</v>
      </c>
      <c r="F90" s="83">
        <f t="shared" si="134"/>
        <v>0</v>
      </c>
      <c r="G90" s="83">
        <f t="shared" si="134"/>
        <v>0</v>
      </c>
      <c r="H90" s="83">
        <f t="shared" si="134"/>
        <v>0</v>
      </c>
      <c r="I90" s="83">
        <f t="shared" si="134"/>
        <v>0</v>
      </c>
      <c r="J90" s="83">
        <f t="shared" si="134"/>
        <v>0</v>
      </c>
      <c r="K90" s="83">
        <f t="shared" si="134"/>
        <v>0</v>
      </c>
      <c r="L90" s="83">
        <f t="shared" si="134"/>
        <v>0</v>
      </c>
      <c r="M90" s="83">
        <f t="shared" si="134"/>
        <v>0</v>
      </c>
      <c r="N90" s="83">
        <f t="shared" si="134"/>
        <v>0</v>
      </c>
      <c r="O90" s="83">
        <f t="shared" si="134"/>
        <v>0</v>
      </c>
      <c r="P90" s="107">
        <v>0</v>
      </c>
      <c r="Q90" s="92">
        <f>$C90*(Q$19+Q$27)</f>
        <v>0</v>
      </c>
      <c r="R90" s="83">
        <f>$C90*(R$19+R$27)</f>
        <v>0</v>
      </c>
      <c r="S90" s="107">
        <v>0</v>
      </c>
      <c r="T90" s="92">
        <f t="shared" ref="T90:AB90" si="144">$C90*(T$19+T$27)</f>
        <v>0</v>
      </c>
      <c r="U90" s="83">
        <f t="shared" si="144"/>
        <v>0</v>
      </c>
      <c r="V90" s="83">
        <f t="shared" si="144"/>
        <v>0</v>
      </c>
      <c r="W90" s="83">
        <f t="shared" si="144"/>
        <v>0</v>
      </c>
      <c r="X90" s="83">
        <f t="shared" si="144"/>
        <v>0</v>
      </c>
      <c r="Y90" s="91">
        <f t="shared" si="144"/>
        <v>0</v>
      </c>
      <c r="Z90" s="83">
        <f t="shared" si="144"/>
        <v>0</v>
      </c>
      <c r="AA90" s="107">
        <v>0</v>
      </c>
      <c r="AB90" s="83">
        <f t="shared" si="144"/>
        <v>0</v>
      </c>
    </row>
    <row r="91" spans="1:28" x14ac:dyDescent="0.25">
      <c r="A91" s="609" t="s">
        <v>18</v>
      </c>
      <c r="B91" s="611"/>
      <c r="C91" s="96">
        <f>SUM(C85:C90)</f>
        <v>1.0377607576565657E-2</v>
      </c>
      <c r="D91" s="89">
        <f>SUM(D85:D90)</f>
        <v>67.381114154135702</v>
      </c>
      <c r="E91" s="83">
        <f>SUM(E85:E90)</f>
        <v>67.381114154135702</v>
      </c>
      <c r="F91" s="83">
        <f t="shared" ref="F91:O91" si="145">SUM(F85:F90)</f>
        <v>67.381114154135702</v>
      </c>
      <c r="G91" s="83">
        <f t="shared" si="145"/>
        <v>69.065642007989098</v>
      </c>
      <c r="H91" s="83">
        <f t="shared" si="145"/>
        <v>69.065642007989098</v>
      </c>
      <c r="I91" s="83">
        <f t="shared" si="145"/>
        <v>69.065642007989098</v>
      </c>
      <c r="J91" s="83">
        <f t="shared" si="145"/>
        <v>69.065642007989098</v>
      </c>
      <c r="K91" s="83">
        <f t="shared" si="145"/>
        <v>69.065642007989098</v>
      </c>
      <c r="L91" s="83">
        <f t="shared" si="145"/>
        <v>69.065642007989098</v>
      </c>
      <c r="M91" s="83">
        <f t="shared" si="145"/>
        <v>69.065642007989098</v>
      </c>
      <c r="N91" s="83">
        <f t="shared" si="145"/>
        <v>69.065642007989098</v>
      </c>
      <c r="O91" s="83">
        <f t="shared" si="145"/>
        <v>69.065642007989098</v>
      </c>
      <c r="P91" s="108">
        <f t="shared" ref="P91" si="146">SUM(P85:P90)</f>
        <v>1.0373859256565657E-2</v>
      </c>
      <c r="Q91" s="92">
        <f t="shared" ref="Q91:R91" si="147">SUM(Q85:Q90)</f>
        <v>69.040695976320293</v>
      </c>
      <c r="R91" s="83">
        <f t="shared" si="147"/>
        <v>69.040695976320293</v>
      </c>
      <c r="S91" s="108">
        <f t="shared" ref="S91:Z91" si="148">SUM(S85:S90)</f>
        <v>1.0373859256565657E-2</v>
      </c>
      <c r="T91" s="92">
        <f t="shared" si="148"/>
        <v>69.040695976320293</v>
      </c>
      <c r="U91" s="83">
        <f t="shared" si="148"/>
        <v>69.040695976320293</v>
      </c>
      <c r="V91" s="83">
        <f t="shared" si="148"/>
        <v>69.040695976320293</v>
      </c>
      <c r="W91" s="83">
        <f t="shared" si="148"/>
        <v>69.040695976320293</v>
      </c>
      <c r="X91" s="83">
        <f t="shared" si="148"/>
        <v>69.040695976320293</v>
      </c>
      <c r="Y91" s="91">
        <f t="shared" si="148"/>
        <v>69.040695976320293</v>
      </c>
      <c r="Z91" s="83">
        <f t="shared" si="148"/>
        <v>69.040695976320293</v>
      </c>
      <c r="AA91" s="108">
        <f t="shared" ref="AA91" si="149">SUM(AA85:AA90)</f>
        <v>0.49058228416056571</v>
      </c>
      <c r="AB91" s="83">
        <f t="shared" ref="AB91" si="150">SUM(AB85:AB90)</f>
        <v>69.040695976320293</v>
      </c>
    </row>
    <row r="92" spans="1:28" x14ac:dyDescent="0.25">
      <c r="A92" s="604" t="s">
        <v>120</v>
      </c>
      <c r="B92" s="605"/>
      <c r="C92" s="605"/>
      <c r="D92" s="60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328"/>
      <c r="Q92" s="329"/>
      <c r="R92" s="115"/>
      <c r="S92" s="328"/>
      <c r="T92" s="329"/>
      <c r="U92" s="115"/>
      <c r="V92" s="115"/>
      <c r="W92" s="115"/>
      <c r="X92" s="115"/>
      <c r="Y92" s="119"/>
      <c r="Z92" s="115"/>
      <c r="AA92" s="370"/>
      <c r="AB92" s="115"/>
    </row>
    <row r="93" spans="1:28" x14ac:dyDescent="0.25">
      <c r="A93" s="34"/>
      <c r="B93" s="35"/>
      <c r="C93" s="35"/>
      <c r="D93" s="84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328"/>
      <c r="Q93" s="329"/>
      <c r="R93" s="115"/>
      <c r="S93" s="328"/>
      <c r="T93" s="329"/>
      <c r="U93" s="115"/>
      <c r="V93" s="115"/>
      <c r="W93" s="115"/>
      <c r="X93" s="115"/>
      <c r="Y93" s="119"/>
      <c r="Z93" s="115"/>
      <c r="AA93" s="370"/>
      <c r="AB93" s="115"/>
    </row>
    <row r="94" spans="1:28" x14ac:dyDescent="0.25">
      <c r="A94" s="530" t="s">
        <v>115</v>
      </c>
      <c r="B94" s="531"/>
      <c r="C94" s="531"/>
      <c r="D94" s="612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328"/>
      <c r="Q94" s="329"/>
      <c r="R94" s="115"/>
      <c r="S94" s="328"/>
      <c r="T94" s="329"/>
      <c r="U94" s="115"/>
      <c r="V94" s="115"/>
      <c r="W94" s="115"/>
      <c r="X94" s="115"/>
      <c r="Y94" s="119"/>
      <c r="Z94" s="115"/>
      <c r="AA94" s="370"/>
      <c r="AB94" s="115"/>
    </row>
    <row r="95" spans="1:28" x14ac:dyDescent="0.25">
      <c r="A95" s="38" t="s">
        <v>61</v>
      </c>
      <c r="B95" s="33" t="s">
        <v>62</v>
      </c>
      <c r="C95" s="33" t="s">
        <v>5</v>
      </c>
      <c r="D95" s="82"/>
      <c r="E95" s="189" t="s">
        <v>5</v>
      </c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97" t="s">
        <v>5</v>
      </c>
      <c r="Q95" s="93"/>
      <c r="R95" s="189"/>
      <c r="S95" s="197" t="s">
        <v>5</v>
      </c>
      <c r="T95" s="93"/>
      <c r="U95" s="189"/>
      <c r="V95" s="189"/>
      <c r="W95" s="189"/>
      <c r="X95" s="189"/>
      <c r="Y95" s="338"/>
      <c r="Z95" s="189"/>
      <c r="AA95" s="197" t="s">
        <v>5</v>
      </c>
      <c r="AB95" s="189"/>
    </row>
    <row r="96" spans="1:28" ht="30" x14ac:dyDescent="0.25">
      <c r="A96" s="36" t="s">
        <v>6</v>
      </c>
      <c r="B96" s="2" t="s">
        <v>63</v>
      </c>
      <c r="C96" s="4"/>
      <c r="D96" s="103"/>
      <c r="E96" s="207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39"/>
      <c r="Q96" s="255"/>
      <c r="R96" s="254"/>
      <c r="S96" s="239"/>
      <c r="T96" s="255"/>
      <c r="U96" s="254"/>
      <c r="V96" s="254"/>
      <c r="W96" s="254"/>
      <c r="X96" s="254"/>
      <c r="Y96" s="339"/>
      <c r="Z96" s="254"/>
      <c r="AA96" s="239"/>
      <c r="AB96" s="254"/>
    </row>
    <row r="97" spans="1:28" x14ac:dyDescent="0.25">
      <c r="A97" s="609" t="s">
        <v>18</v>
      </c>
      <c r="B97" s="611"/>
      <c r="C97" s="5">
        <f>SUM(C96)</f>
        <v>0</v>
      </c>
      <c r="D97" s="103"/>
      <c r="E97" s="83">
        <f t="shared" ref="E97" si="151">SUM(E96)</f>
        <v>0</v>
      </c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38">
        <f t="shared" ref="P97" si="152">SUM(P96)</f>
        <v>0</v>
      </c>
      <c r="Q97" s="255"/>
      <c r="R97" s="254"/>
      <c r="S97" s="238">
        <f t="shared" ref="S97" si="153">SUM(S96)</f>
        <v>0</v>
      </c>
      <c r="T97" s="255"/>
      <c r="U97" s="254"/>
      <c r="V97" s="254"/>
      <c r="W97" s="254"/>
      <c r="X97" s="254"/>
      <c r="Y97" s="339"/>
      <c r="Z97" s="254"/>
      <c r="AA97" s="238">
        <f t="shared" ref="AA97" si="154">SUM(AA96)</f>
        <v>0</v>
      </c>
      <c r="AB97" s="254"/>
    </row>
    <row r="98" spans="1:28" x14ac:dyDescent="0.25">
      <c r="A98" s="34"/>
      <c r="B98" s="35"/>
      <c r="C98" s="35"/>
      <c r="D98" s="84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328"/>
      <c r="Q98" s="329"/>
      <c r="R98" s="115"/>
      <c r="S98" s="328"/>
      <c r="T98" s="329"/>
      <c r="U98" s="115"/>
      <c r="V98" s="115"/>
      <c r="W98" s="115"/>
      <c r="X98" s="115"/>
      <c r="Y98" s="119"/>
      <c r="Z98" s="115"/>
      <c r="AA98" s="370"/>
      <c r="AB98" s="115"/>
    </row>
    <row r="99" spans="1:28" x14ac:dyDescent="0.25">
      <c r="A99" s="543" t="s">
        <v>116</v>
      </c>
      <c r="B99" s="544"/>
      <c r="C99" s="544"/>
      <c r="D99" s="613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328"/>
      <c r="Q99" s="329"/>
      <c r="R99" s="115"/>
      <c r="S99" s="328"/>
      <c r="T99" s="329"/>
      <c r="U99" s="115"/>
      <c r="V99" s="115"/>
      <c r="W99" s="115"/>
      <c r="X99" s="115"/>
      <c r="Y99" s="119"/>
      <c r="Z99" s="115"/>
      <c r="AA99" s="370"/>
      <c r="AB99" s="115"/>
    </row>
    <row r="100" spans="1:28" x14ac:dyDescent="0.25">
      <c r="A100" s="38">
        <v>4</v>
      </c>
      <c r="B100" s="546" t="s">
        <v>64</v>
      </c>
      <c r="C100" s="546"/>
      <c r="D100" s="88" t="s">
        <v>5</v>
      </c>
      <c r="E100" s="189" t="s">
        <v>5</v>
      </c>
      <c r="F100" s="189" t="s">
        <v>5</v>
      </c>
      <c r="G100" s="189" t="s">
        <v>5</v>
      </c>
      <c r="H100" s="189" t="s">
        <v>5</v>
      </c>
      <c r="I100" s="189" t="s">
        <v>5</v>
      </c>
      <c r="J100" s="189" t="s">
        <v>5</v>
      </c>
      <c r="K100" s="189" t="s">
        <v>5</v>
      </c>
      <c r="L100" s="189" t="s">
        <v>5</v>
      </c>
      <c r="M100" s="189" t="s">
        <v>5</v>
      </c>
      <c r="N100" s="189" t="s">
        <v>5</v>
      </c>
      <c r="O100" s="189" t="s">
        <v>5</v>
      </c>
      <c r="P100" s="328"/>
      <c r="Q100" s="93" t="s">
        <v>5</v>
      </c>
      <c r="R100" s="189" t="s">
        <v>5</v>
      </c>
      <c r="S100" s="328"/>
      <c r="T100" s="93" t="s">
        <v>5</v>
      </c>
      <c r="U100" s="189" t="s">
        <v>5</v>
      </c>
      <c r="V100" s="189" t="s">
        <v>5</v>
      </c>
      <c r="W100" s="189" t="s">
        <v>5</v>
      </c>
      <c r="X100" s="189" t="s">
        <v>5</v>
      </c>
      <c r="Y100" s="338" t="s">
        <v>5</v>
      </c>
      <c r="Z100" s="189" t="s">
        <v>5</v>
      </c>
      <c r="AA100" s="370"/>
      <c r="AB100" s="189" t="s">
        <v>5</v>
      </c>
    </row>
    <row r="101" spans="1:28" x14ac:dyDescent="0.25">
      <c r="A101" s="40" t="s">
        <v>53</v>
      </c>
      <c r="B101" s="532" t="s">
        <v>54</v>
      </c>
      <c r="C101" s="532"/>
      <c r="D101" s="89">
        <f>D91</f>
        <v>67.381114154135702</v>
      </c>
      <c r="E101" s="83">
        <f>E91</f>
        <v>67.381114154135702</v>
      </c>
      <c r="F101" s="83">
        <f t="shared" ref="F101:O101" si="155">F91</f>
        <v>67.381114154135702</v>
      </c>
      <c r="G101" s="83">
        <f t="shared" si="155"/>
        <v>69.065642007989098</v>
      </c>
      <c r="H101" s="83">
        <f t="shared" si="155"/>
        <v>69.065642007989098</v>
      </c>
      <c r="I101" s="83">
        <f t="shared" si="155"/>
        <v>69.065642007989098</v>
      </c>
      <c r="J101" s="83">
        <f t="shared" si="155"/>
        <v>69.065642007989098</v>
      </c>
      <c r="K101" s="83">
        <f t="shared" si="155"/>
        <v>69.065642007989098</v>
      </c>
      <c r="L101" s="83">
        <f t="shared" si="155"/>
        <v>69.065642007989098</v>
      </c>
      <c r="M101" s="83">
        <f t="shared" si="155"/>
        <v>69.065642007989098</v>
      </c>
      <c r="N101" s="83">
        <f t="shared" si="155"/>
        <v>69.065642007989098</v>
      </c>
      <c r="O101" s="83">
        <f t="shared" si="155"/>
        <v>69.065642007989098</v>
      </c>
      <c r="P101" s="328"/>
      <c r="Q101" s="92">
        <f t="shared" ref="Q101:R101" si="156">Q91</f>
        <v>69.040695976320293</v>
      </c>
      <c r="R101" s="83">
        <f t="shared" si="156"/>
        <v>69.040695976320293</v>
      </c>
      <c r="S101" s="328"/>
      <c r="T101" s="92">
        <f t="shared" ref="T101:Z101" si="157">T91</f>
        <v>69.040695976320293</v>
      </c>
      <c r="U101" s="83">
        <f t="shared" si="157"/>
        <v>69.040695976320293</v>
      </c>
      <c r="V101" s="83">
        <f t="shared" si="157"/>
        <v>69.040695976320293</v>
      </c>
      <c r="W101" s="83">
        <f t="shared" si="157"/>
        <v>69.040695976320293</v>
      </c>
      <c r="X101" s="83">
        <f t="shared" si="157"/>
        <v>69.040695976320293</v>
      </c>
      <c r="Y101" s="91">
        <f t="shared" si="157"/>
        <v>69.040695976320293</v>
      </c>
      <c r="Z101" s="83">
        <f t="shared" si="157"/>
        <v>69.040695976320293</v>
      </c>
      <c r="AA101" s="370"/>
      <c r="AB101" s="83">
        <f t="shared" ref="AB101" si="158">AB91</f>
        <v>69.040695976320293</v>
      </c>
    </row>
    <row r="102" spans="1:28" x14ac:dyDescent="0.25">
      <c r="A102" s="40" t="s">
        <v>61</v>
      </c>
      <c r="B102" s="3" t="s">
        <v>65</v>
      </c>
      <c r="C102" s="3"/>
      <c r="D102" s="100">
        <f>C97</f>
        <v>0</v>
      </c>
      <c r="E102" s="207">
        <f>E97</f>
        <v>0</v>
      </c>
      <c r="F102" s="207">
        <f t="shared" ref="F102:O102" si="159">F97</f>
        <v>0</v>
      </c>
      <c r="G102" s="207">
        <f t="shared" si="159"/>
        <v>0</v>
      </c>
      <c r="H102" s="207">
        <f t="shared" si="159"/>
        <v>0</v>
      </c>
      <c r="I102" s="207">
        <f t="shared" si="159"/>
        <v>0</v>
      </c>
      <c r="J102" s="207">
        <f t="shared" si="159"/>
        <v>0</v>
      </c>
      <c r="K102" s="207">
        <f t="shared" si="159"/>
        <v>0</v>
      </c>
      <c r="L102" s="207">
        <f t="shared" si="159"/>
        <v>0</v>
      </c>
      <c r="M102" s="207">
        <f t="shared" si="159"/>
        <v>0</v>
      </c>
      <c r="N102" s="207">
        <f t="shared" si="159"/>
        <v>0</v>
      </c>
      <c r="O102" s="207">
        <f t="shared" si="159"/>
        <v>0</v>
      </c>
      <c r="P102" s="328"/>
      <c r="Q102" s="97">
        <f t="shared" ref="Q102:Z102" si="160">P97</f>
        <v>0</v>
      </c>
      <c r="R102" s="207">
        <f t="shared" si="160"/>
        <v>0</v>
      </c>
      <c r="S102" s="328"/>
      <c r="T102" s="97">
        <f t="shared" si="160"/>
        <v>0</v>
      </c>
      <c r="U102" s="207">
        <f t="shared" si="160"/>
        <v>0</v>
      </c>
      <c r="V102" s="207">
        <f t="shared" si="160"/>
        <v>0</v>
      </c>
      <c r="W102" s="207">
        <f t="shared" si="160"/>
        <v>0</v>
      </c>
      <c r="X102" s="207">
        <f t="shared" si="160"/>
        <v>0</v>
      </c>
      <c r="Y102" s="340">
        <f t="shared" si="160"/>
        <v>0</v>
      </c>
      <c r="Z102" s="207">
        <f t="shared" si="160"/>
        <v>0</v>
      </c>
      <c r="AA102" s="370"/>
      <c r="AB102" s="207">
        <f>Z97</f>
        <v>0</v>
      </c>
    </row>
    <row r="103" spans="1:28" x14ac:dyDescent="0.25">
      <c r="A103" s="530" t="s">
        <v>18</v>
      </c>
      <c r="B103" s="531"/>
      <c r="C103" s="531"/>
      <c r="D103" s="89">
        <f>SUM(D101:D102)</f>
        <v>67.381114154135702</v>
      </c>
      <c r="E103" s="83">
        <f t="shared" ref="E103" si="161">SUM(E101:E102)</f>
        <v>67.381114154135702</v>
      </c>
      <c r="F103" s="83">
        <f t="shared" ref="F103:O103" si="162">SUM(F101:F102)</f>
        <v>67.381114154135702</v>
      </c>
      <c r="G103" s="83">
        <f t="shared" si="162"/>
        <v>69.065642007989098</v>
      </c>
      <c r="H103" s="83">
        <f t="shared" si="162"/>
        <v>69.065642007989098</v>
      </c>
      <c r="I103" s="83">
        <f t="shared" si="162"/>
        <v>69.065642007989098</v>
      </c>
      <c r="J103" s="83">
        <f t="shared" si="162"/>
        <v>69.065642007989098</v>
      </c>
      <c r="K103" s="83">
        <f t="shared" si="162"/>
        <v>69.065642007989098</v>
      </c>
      <c r="L103" s="83">
        <f t="shared" si="162"/>
        <v>69.065642007989098</v>
      </c>
      <c r="M103" s="83">
        <f t="shared" si="162"/>
        <v>69.065642007989098</v>
      </c>
      <c r="N103" s="83">
        <f t="shared" si="162"/>
        <v>69.065642007989098</v>
      </c>
      <c r="O103" s="83">
        <f t="shared" si="162"/>
        <v>69.065642007989098</v>
      </c>
      <c r="P103" s="328"/>
      <c r="Q103" s="92">
        <f t="shared" ref="Q103:R103" si="163">SUM(Q101:Q102)</f>
        <v>69.040695976320293</v>
      </c>
      <c r="R103" s="83">
        <f t="shared" si="163"/>
        <v>69.040695976320293</v>
      </c>
      <c r="S103" s="328"/>
      <c r="T103" s="92">
        <f t="shared" ref="T103:Z103" si="164">SUM(T101:T102)</f>
        <v>69.040695976320293</v>
      </c>
      <c r="U103" s="83">
        <f t="shared" si="164"/>
        <v>69.040695976320293</v>
      </c>
      <c r="V103" s="83">
        <f t="shared" si="164"/>
        <v>69.040695976320293</v>
      </c>
      <c r="W103" s="83">
        <f t="shared" si="164"/>
        <v>69.040695976320293</v>
      </c>
      <c r="X103" s="83">
        <f t="shared" si="164"/>
        <v>69.040695976320293</v>
      </c>
      <c r="Y103" s="91">
        <f t="shared" si="164"/>
        <v>69.040695976320293</v>
      </c>
      <c r="Z103" s="83">
        <f t="shared" si="164"/>
        <v>69.040695976320293</v>
      </c>
      <c r="AA103" s="370"/>
      <c r="AB103" s="83">
        <f t="shared" ref="AB103" si="165">SUM(AB101:AB102)</f>
        <v>69.040695976320293</v>
      </c>
    </row>
    <row r="104" spans="1:28" x14ac:dyDescent="0.25">
      <c r="A104" s="34"/>
      <c r="B104" s="35"/>
      <c r="C104" s="35"/>
      <c r="D104" s="84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328"/>
      <c r="Q104" s="329"/>
      <c r="R104" s="115"/>
      <c r="S104" s="328"/>
      <c r="T104" s="329"/>
      <c r="U104" s="115"/>
      <c r="V104" s="115"/>
      <c r="W104" s="115"/>
      <c r="X104" s="115"/>
      <c r="Y104" s="119"/>
      <c r="Z104" s="115"/>
      <c r="AA104" s="370"/>
      <c r="AB104" s="115"/>
    </row>
    <row r="105" spans="1:28" x14ac:dyDescent="0.25">
      <c r="A105" s="547" t="s">
        <v>66</v>
      </c>
      <c r="B105" s="548"/>
      <c r="C105" s="548"/>
      <c r="D105" s="606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328"/>
      <c r="Q105" s="329"/>
      <c r="R105" s="115"/>
      <c r="S105" s="328"/>
      <c r="T105" s="329"/>
      <c r="U105" s="115"/>
      <c r="V105" s="115"/>
      <c r="W105" s="115"/>
      <c r="X105" s="115"/>
      <c r="Y105" s="119"/>
      <c r="Z105" s="115"/>
      <c r="AA105" s="370"/>
      <c r="AB105" s="115"/>
    </row>
    <row r="106" spans="1:28" x14ac:dyDescent="0.25">
      <c r="A106" s="38">
        <v>5</v>
      </c>
      <c r="B106" s="546" t="s">
        <v>67</v>
      </c>
      <c r="C106" s="546"/>
      <c r="D106" s="88" t="s">
        <v>5</v>
      </c>
      <c r="E106" s="189" t="s">
        <v>5</v>
      </c>
      <c r="F106" s="189" t="s">
        <v>5</v>
      </c>
      <c r="G106" s="189" t="s">
        <v>5</v>
      </c>
      <c r="H106" s="189" t="s">
        <v>5</v>
      </c>
      <c r="I106" s="189" t="s">
        <v>5</v>
      </c>
      <c r="J106" s="189" t="s">
        <v>5</v>
      </c>
      <c r="K106" s="189" t="s">
        <v>5</v>
      </c>
      <c r="L106" s="189" t="s">
        <v>5</v>
      </c>
      <c r="M106" s="189" t="s">
        <v>5</v>
      </c>
      <c r="N106" s="189" t="s">
        <v>5</v>
      </c>
      <c r="O106" s="189" t="s">
        <v>5</v>
      </c>
      <c r="P106" s="328"/>
      <c r="Q106" s="93" t="s">
        <v>5</v>
      </c>
      <c r="R106" s="189" t="s">
        <v>5</v>
      </c>
      <c r="S106" s="328"/>
      <c r="T106" s="93" t="s">
        <v>5</v>
      </c>
      <c r="U106" s="189" t="s">
        <v>5</v>
      </c>
      <c r="V106" s="189" t="s">
        <v>5</v>
      </c>
      <c r="W106" s="189" t="s">
        <v>5</v>
      </c>
      <c r="X106" s="189" t="s">
        <v>5</v>
      </c>
      <c r="Y106" s="338" t="s">
        <v>5</v>
      </c>
      <c r="Z106" s="189" t="s">
        <v>5</v>
      </c>
      <c r="AA106" s="370"/>
      <c r="AB106" s="189" t="s">
        <v>5</v>
      </c>
    </row>
    <row r="107" spans="1:28" x14ac:dyDescent="0.25">
      <c r="A107" s="40" t="s">
        <v>6</v>
      </c>
      <c r="B107" s="532" t="s">
        <v>68</v>
      </c>
      <c r="C107" s="532"/>
      <c r="D107" s="89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  <c r="O107" s="83">
        <v>0</v>
      </c>
      <c r="P107" s="328"/>
      <c r="Q107" s="92">
        <v>0</v>
      </c>
      <c r="R107" s="83">
        <v>0</v>
      </c>
      <c r="S107" s="328"/>
      <c r="T107" s="92">
        <v>0</v>
      </c>
      <c r="U107" s="83">
        <v>0</v>
      </c>
      <c r="V107" s="83">
        <v>0</v>
      </c>
      <c r="W107" s="83">
        <v>0</v>
      </c>
      <c r="X107" s="83">
        <v>0</v>
      </c>
      <c r="Y107" s="91">
        <v>0</v>
      </c>
      <c r="Z107" s="83">
        <v>0</v>
      </c>
      <c r="AA107" s="370"/>
      <c r="AB107" s="83">
        <v>0</v>
      </c>
    </row>
    <row r="108" spans="1:28" x14ac:dyDescent="0.25">
      <c r="A108" s="40" t="s">
        <v>8</v>
      </c>
      <c r="B108" s="532" t="s">
        <v>69</v>
      </c>
      <c r="C108" s="532"/>
      <c r="D108" s="89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83">
        <v>0</v>
      </c>
      <c r="P108" s="328"/>
      <c r="Q108" s="92">
        <v>0</v>
      </c>
      <c r="R108" s="83">
        <v>0</v>
      </c>
      <c r="S108" s="328"/>
      <c r="T108" s="92">
        <v>0</v>
      </c>
      <c r="U108" s="83">
        <v>0</v>
      </c>
      <c r="V108" s="83">
        <v>0</v>
      </c>
      <c r="W108" s="83">
        <v>0</v>
      </c>
      <c r="X108" s="83">
        <v>0</v>
      </c>
      <c r="Y108" s="91">
        <v>0</v>
      </c>
      <c r="Z108" s="83">
        <v>0</v>
      </c>
      <c r="AA108" s="370"/>
      <c r="AB108" s="83">
        <v>0</v>
      </c>
    </row>
    <row r="109" spans="1:28" x14ac:dyDescent="0.25">
      <c r="A109" s="40" t="s">
        <v>10</v>
      </c>
      <c r="B109" s="532" t="s">
        <v>70</v>
      </c>
      <c r="C109" s="532"/>
      <c r="D109" s="89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328"/>
      <c r="Q109" s="92">
        <v>0</v>
      </c>
      <c r="R109" s="83">
        <v>0</v>
      </c>
      <c r="S109" s="328"/>
      <c r="T109" s="92">
        <v>0</v>
      </c>
      <c r="U109" s="83">
        <v>0</v>
      </c>
      <c r="V109" s="83">
        <v>0</v>
      </c>
      <c r="W109" s="83">
        <v>0</v>
      </c>
      <c r="X109" s="83">
        <v>0</v>
      </c>
      <c r="Y109" s="91">
        <v>0</v>
      </c>
      <c r="Z109" s="83">
        <v>0</v>
      </c>
      <c r="AA109" s="370"/>
      <c r="AB109" s="83">
        <v>0</v>
      </c>
    </row>
    <row r="110" spans="1:28" x14ac:dyDescent="0.25">
      <c r="A110" s="40" t="s">
        <v>12</v>
      </c>
      <c r="B110" s="532" t="s">
        <v>17</v>
      </c>
      <c r="C110" s="532"/>
      <c r="D110" s="89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0</v>
      </c>
      <c r="M110" s="83">
        <v>0</v>
      </c>
      <c r="N110" s="83">
        <v>0</v>
      </c>
      <c r="O110" s="83">
        <v>0</v>
      </c>
      <c r="P110" s="328"/>
      <c r="Q110" s="92">
        <v>0</v>
      </c>
      <c r="R110" s="83">
        <v>0</v>
      </c>
      <c r="S110" s="328"/>
      <c r="T110" s="92">
        <v>0</v>
      </c>
      <c r="U110" s="83">
        <v>0</v>
      </c>
      <c r="V110" s="83">
        <v>0</v>
      </c>
      <c r="W110" s="83">
        <v>0</v>
      </c>
      <c r="X110" s="83">
        <v>0</v>
      </c>
      <c r="Y110" s="91">
        <v>0</v>
      </c>
      <c r="Z110" s="83">
        <v>0</v>
      </c>
      <c r="AA110" s="370"/>
      <c r="AB110" s="83">
        <v>0</v>
      </c>
    </row>
    <row r="111" spans="1:28" x14ac:dyDescent="0.25">
      <c r="A111" s="530" t="s">
        <v>18</v>
      </c>
      <c r="B111" s="531"/>
      <c r="C111" s="531"/>
      <c r="D111" s="89">
        <f>SUM(D107:D110)</f>
        <v>0</v>
      </c>
      <c r="E111" s="83">
        <f t="shared" ref="E111:O111" si="166">SUM(E107:E110)</f>
        <v>0</v>
      </c>
      <c r="F111" s="83">
        <f t="shared" si="166"/>
        <v>0</v>
      </c>
      <c r="G111" s="83">
        <f t="shared" si="166"/>
        <v>0</v>
      </c>
      <c r="H111" s="83">
        <f t="shared" si="166"/>
        <v>0</v>
      </c>
      <c r="I111" s="83">
        <f t="shared" si="166"/>
        <v>0</v>
      </c>
      <c r="J111" s="83">
        <f t="shared" si="166"/>
        <v>0</v>
      </c>
      <c r="K111" s="83">
        <f t="shared" si="166"/>
        <v>0</v>
      </c>
      <c r="L111" s="83">
        <f t="shared" si="166"/>
        <v>0</v>
      </c>
      <c r="M111" s="83">
        <f t="shared" si="166"/>
        <v>0</v>
      </c>
      <c r="N111" s="83">
        <f t="shared" si="166"/>
        <v>0</v>
      </c>
      <c r="O111" s="83">
        <f t="shared" si="166"/>
        <v>0</v>
      </c>
      <c r="P111" s="328"/>
      <c r="Q111" s="92">
        <f t="shared" ref="Q111" si="167">SUM(Q107:Q110)</f>
        <v>0</v>
      </c>
      <c r="R111" s="83">
        <f t="shared" ref="R111:T111" si="168">SUM(R107:R110)</f>
        <v>0</v>
      </c>
      <c r="S111" s="328"/>
      <c r="T111" s="92">
        <f t="shared" si="168"/>
        <v>0</v>
      </c>
      <c r="U111" s="83">
        <f t="shared" ref="U111" si="169">SUM(U107:U110)</f>
        <v>0</v>
      </c>
      <c r="V111" s="83">
        <f t="shared" ref="V111" si="170">SUM(V107:V110)</f>
        <v>0</v>
      </c>
      <c r="W111" s="83">
        <f t="shared" ref="W111" si="171">SUM(W107:W110)</f>
        <v>0</v>
      </c>
      <c r="X111" s="83">
        <f t="shared" ref="X111:Y111" si="172">SUM(X107:X110)</f>
        <v>0</v>
      </c>
      <c r="Y111" s="91">
        <f t="shared" si="172"/>
        <v>0</v>
      </c>
      <c r="Z111" s="83">
        <f t="shared" ref="Z111:AB111" si="173">SUM(Z107:Z110)</f>
        <v>0</v>
      </c>
      <c r="AA111" s="370"/>
      <c r="AB111" s="83">
        <f t="shared" si="173"/>
        <v>0</v>
      </c>
    </row>
    <row r="112" spans="1:28" x14ac:dyDescent="0.25">
      <c r="A112" s="604" t="s">
        <v>80</v>
      </c>
      <c r="B112" s="605"/>
      <c r="C112" s="605"/>
      <c r="D112" s="60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328"/>
      <c r="Q112" s="329"/>
      <c r="R112" s="115"/>
      <c r="S112" s="328"/>
      <c r="T112" s="329"/>
      <c r="U112" s="115"/>
      <c r="V112" s="115"/>
      <c r="W112" s="115"/>
      <c r="X112" s="115"/>
      <c r="Y112" s="119"/>
      <c r="Z112" s="115"/>
      <c r="AA112" s="370"/>
      <c r="AB112" s="115"/>
    </row>
    <row r="113" spans="1:28" x14ac:dyDescent="0.25">
      <c r="A113" s="34"/>
      <c r="B113" s="35"/>
      <c r="C113" s="35"/>
      <c r="D113" s="84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328"/>
      <c r="Q113" s="329"/>
      <c r="R113" s="115"/>
      <c r="S113" s="328"/>
      <c r="T113" s="329"/>
      <c r="U113" s="115"/>
      <c r="V113" s="115"/>
      <c r="W113" s="115"/>
      <c r="X113" s="115"/>
      <c r="Y113" s="119"/>
      <c r="Z113" s="115"/>
      <c r="AA113" s="370"/>
      <c r="AB113" s="115"/>
    </row>
    <row r="114" spans="1:28" x14ac:dyDescent="0.25">
      <c r="A114" s="547" t="s">
        <v>71</v>
      </c>
      <c r="B114" s="548"/>
      <c r="C114" s="548"/>
      <c r="D114" s="606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328"/>
      <c r="Q114" s="329"/>
      <c r="R114" s="115"/>
      <c r="S114" s="328"/>
      <c r="T114" s="329"/>
      <c r="U114" s="115"/>
      <c r="V114" s="115"/>
      <c r="W114" s="115"/>
      <c r="X114" s="115"/>
      <c r="Y114" s="119"/>
      <c r="Z114" s="115"/>
      <c r="AA114" s="370"/>
      <c r="AB114" s="115"/>
    </row>
    <row r="115" spans="1:28" x14ac:dyDescent="0.25">
      <c r="A115" s="553" t="s">
        <v>121</v>
      </c>
      <c r="B115" s="554"/>
      <c r="C115" s="607" t="s">
        <v>122</v>
      </c>
      <c r="D115" s="608"/>
      <c r="E115" s="208" t="s">
        <v>122</v>
      </c>
      <c r="F115" s="208" t="s">
        <v>122</v>
      </c>
      <c r="G115" s="208" t="s">
        <v>122</v>
      </c>
      <c r="H115" s="208" t="s">
        <v>122</v>
      </c>
      <c r="I115" s="208" t="s">
        <v>122</v>
      </c>
      <c r="J115" s="208" t="s">
        <v>122</v>
      </c>
      <c r="K115" s="208" t="s">
        <v>122</v>
      </c>
      <c r="L115" s="208" t="s">
        <v>122</v>
      </c>
      <c r="M115" s="208" t="s">
        <v>122</v>
      </c>
      <c r="N115" s="208" t="s">
        <v>122</v>
      </c>
      <c r="O115" s="208" t="s">
        <v>122</v>
      </c>
      <c r="P115" s="249"/>
      <c r="Q115" s="331" t="s">
        <v>122</v>
      </c>
      <c r="R115" s="208" t="s">
        <v>122</v>
      </c>
      <c r="S115" s="249"/>
      <c r="T115" s="331" t="s">
        <v>122</v>
      </c>
      <c r="U115" s="208" t="s">
        <v>122</v>
      </c>
      <c r="V115" s="208" t="s">
        <v>122</v>
      </c>
      <c r="W115" s="208" t="s">
        <v>122</v>
      </c>
      <c r="X115" s="208" t="s">
        <v>122</v>
      </c>
      <c r="Y115" s="341" t="s">
        <v>122</v>
      </c>
      <c r="Z115" s="208" t="s">
        <v>122</v>
      </c>
      <c r="AA115" s="249"/>
      <c r="AB115" s="208" t="s">
        <v>122</v>
      </c>
    </row>
    <row r="116" spans="1:28" x14ac:dyDescent="0.25">
      <c r="A116" s="38">
        <v>6</v>
      </c>
      <c r="B116" s="33" t="s">
        <v>72</v>
      </c>
      <c r="C116" s="33" t="s">
        <v>26</v>
      </c>
      <c r="D116" s="82" t="s">
        <v>5</v>
      </c>
      <c r="E116" s="189" t="s">
        <v>5</v>
      </c>
      <c r="F116" s="189" t="s">
        <v>5</v>
      </c>
      <c r="G116" s="189" t="s">
        <v>5</v>
      </c>
      <c r="H116" s="189" t="s">
        <v>5</v>
      </c>
      <c r="I116" s="189" t="s">
        <v>5</v>
      </c>
      <c r="J116" s="189" t="s">
        <v>5</v>
      </c>
      <c r="K116" s="189" t="s">
        <v>5</v>
      </c>
      <c r="L116" s="189" t="s">
        <v>5</v>
      </c>
      <c r="M116" s="189" t="s">
        <v>5</v>
      </c>
      <c r="N116" s="189" t="s">
        <v>5</v>
      </c>
      <c r="O116" s="189" t="s">
        <v>5</v>
      </c>
      <c r="P116" s="245"/>
      <c r="Q116" s="93" t="s">
        <v>5</v>
      </c>
      <c r="R116" s="189" t="s">
        <v>5</v>
      </c>
      <c r="S116" s="245"/>
      <c r="T116" s="93" t="s">
        <v>5</v>
      </c>
      <c r="U116" s="189" t="s">
        <v>5</v>
      </c>
      <c r="V116" s="189" t="s">
        <v>5</v>
      </c>
      <c r="W116" s="189" t="s">
        <v>5</v>
      </c>
      <c r="X116" s="189" t="s">
        <v>5</v>
      </c>
      <c r="Y116" s="338" t="s">
        <v>5</v>
      </c>
      <c r="Z116" s="189" t="s">
        <v>5</v>
      </c>
      <c r="AA116" s="245"/>
      <c r="AB116" s="189" t="s">
        <v>5</v>
      </c>
    </row>
    <row r="117" spans="1:28" x14ac:dyDescent="0.25">
      <c r="A117" s="40" t="s">
        <v>6</v>
      </c>
      <c r="B117" s="3" t="s">
        <v>73</v>
      </c>
      <c r="C117" s="95">
        <v>0.05</v>
      </c>
      <c r="D117" s="89">
        <f>$C117*D$135</f>
        <v>423.8138181774105</v>
      </c>
      <c r="E117" s="83">
        <f>$C117*E$135</f>
        <v>431.09781817741055</v>
      </c>
      <c r="F117" s="83">
        <f t="shared" ref="F117:AB118" si="174">$C117*F$135</f>
        <v>430.5638181774105</v>
      </c>
      <c r="G117" s="83">
        <f t="shared" si="174"/>
        <v>440.92870113184574</v>
      </c>
      <c r="H117" s="83">
        <f t="shared" si="174"/>
        <v>440.97420113184575</v>
      </c>
      <c r="I117" s="83">
        <f t="shared" si="174"/>
        <v>440.81170113184572</v>
      </c>
      <c r="J117" s="83">
        <f t="shared" si="174"/>
        <v>440.67970113184577</v>
      </c>
      <c r="K117" s="83">
        <f t="shared" si="174"/>
        <v>441.29170113184574</v>
      </c>
      <c r="L117" s="83">
        <f t="shared" si="174"/>
        <v>442.4447011318457</v>
      </c>
      <c r="M117" s="83">
        <f t="shared" si="174"/>
        <v>443.76670113184576</v>
      </c>
      <c r="N117" s="83">
        <f t="shared" si="174"/>
        <v>443.15970113184568</v>
      </c>
      <c r="O117" s="83">
        <f t="shared" si="174"/>
        <v>442.64020113184574</v>
      </c>
      <c r="P117" s="241"/>
      <c r="Q117" s="92">
        <f t="shared" si="174"/>
        <v>442.84940567778358</v>
      </c>
      <c r="R117" s="83">
        <f t="shared" si="174"/>
        <v>443.34390567778365</v>
      </c>
      <c r="S117" s="241"/>
      <c r="T117" s="92">
        <f t="shared" si="174"/>
        <v>436.41102001740342</v>
      </c>
      <c r="U117" s="83">
        <f t="shared" si="174"/>
        <v>438.0945200174034</v>
      </c>
      <c r="V117" s="83">
        <f t="shared" si="174"/>
        <v>439.93952001740337</v>
      </c>
      <c r="W117" s="83">
        <f t="shared" si="174"/>
        <v>437.67902001740333</v>
      </c>
      <c r="X117" s="83">
        <f t="shared" si="174"/>
        <v>437.78002001740333</v>
      </c>
      <c r="Y117" s="91">
        <f t="shared" si="174"/>
        <v>438.05852001740334</v>
      </c>
      <c r="Z117" s="83">
        <f t="shared" si="174"/>
        <v>437.3275200174034</v>
      </c>
      <c r="AA117" s="241"/>
      <c r="AB117" s="83">
        <f t="shared" si="174"/>
        <v>433.92335623240336</v>
      </c>
    </row>
    <row r="118" spans="1:28" x14ac:dyDescent="0.25">
      <c r="A118" s="40" t="s">
        <v>8</v>
      </c>
      <c r="B118" s="3" t="s">
        <v>74</v>
      </c>
      <c r="C118" s="95">
        <v>4.5450349439858852E-2</v>
      </c>
      <c r="D118" s="89">
        <f>$C118*D$135</f>
        <v>385.24972267208221</v>
      </c>
      <c r="E118" s="83">
        <f>$C118*E$135</f>
        <v>391.87092957848085</v>
      </c>
      <c r="F118" s="83">
        <f t="shared" si="174"/>
        <v>391.38551984646313</v>
      </c>
      <c r="G118" s="83">
        <f t="shared" si="174"/>
        <v>400.80727089010952</v>
      </c>
      <c r="H118" s="83">
        <f t="shared" si="174"/>
        <v>400.84863070809979</v>
      </c>
      <c r="I118" s="83">
        <f t="shared" si="174"/>
        <v>400.70091707242022</v>
      </c>
      <c r="J118" s="83">
        <f t="shared" si="174"/>
        <v>400.58092814989902</v>
      </c>
      <c r="K118" s="83">
        <f t="shared" si="174"/>
        <v>401.13724042704291</v>
      </c>
      <c r="L118" s="83">
        <f t="shared" si="174"/>
        <v>402.18532548512599</v>
      </c>
      <c r="M118" s="83">
        <f t="shared" si="174"/>
        <v>403.38703272431587</v>
      </c>
      <c r="N118" s="83">
        <f t="shared" si="174"/>
        <v>402.83526548211597</v>
      </c>
      <c r="O118" s="83">
        <f t="shared" si="174"/>
        <v>402.36303635143582</v>
      </c>
      <c r="P118" s="241"/>
      <c r="Q118" s="92">
        <f t="shared" si="174"/>
        <v>402.5532047457815</v>
      </c>
      <c r="R118" s="83">
        <f t="shared" si="174"/>
        <v>403.00270870174177</v>
      </c>
      <c r="S118" s="241"/>
      <c r="T118" s="92">
        <f t="shared" si="174"/>
        <v>396.70066718392439</v>
      </c>
      <c r="U118" s="83">
        <f t="shared" si="174"/>
        <v>398.23098044956441</v>
      </c>
      <c r="V118" s="83">
        <f t="shared" si="174"/>
        <v>399.90809834389523</v>
      </c>
      <c r="W118" s="83">
        <f t="shared" si="174"/>
        <v>397.85328804571913</v>
      </c>
      <c r="X118" s="83">
        <f t="shared" si="174"/>
        <v>397.9450977515877</v>
      </c>
      <c r="Y118" s="91">
        <f t="shared" si="174"/>
        <v>398.19825619796768</v>
      </c>
      <c r="Z118" s="83">
        <f t="shared" si="174"/>
        <v>397.53377208915703</v>
      </c>
      <c r="AA118" s="241"/>
      <c r="AB118" s="83">
        <f>$C118*AB$135</f>
        <v>394.43936341758172</v>
      </c>
    </row>
    <row r="119" spans="1:28" x14ac:dyDescent="0.25">
      <c r="A119" s="40" t="s">
        <v>10</v>
      </c>
      <c r="B119" s="3" t="s">
        <v>130</v>
      </c>
      <c r="C119" s="95">
        <f>SUM(C120:C122)</f>
        <v>8.6499999999999994E-2</v>
      </c>
      <c r="D119" s="89">
        <f>(D$135+D$118+D$117)*($C119/IF($C115="Lucro presumido",91.45%,85.75%))</f>
        <v>878.27435946462685</v>
      </c>
      <c r="E119" s="83">
        <f>(E$135+E$118+E$117)*($C119/IF($C115="Lucro presumido",91.45%,85.75%))</f>
        <v>893.36907832455415</v>
      </c>
      <c r="F119" s="83">
        <f t="shared" ref="F119:O119" si="175">(F$135+F$118+F$117)*($C119/IF($C115="Lucro presumido",91.45%,85.75%))</f>
        <v>892.26246384470767</v>
      </c>
      <c r="G119" s="83">
        <f t="shared" si="175"/>
        <v>913.74173268233164</v>
      </c>
      <c r="H119" s="83">
        <f t="shared" si="175"/>
        <v>913.83602286741211</v>
      </c>
      <c r="I119" s="83">
        <f t="shared" si="175"/>
        <v>913.49927220641018</v>
      </c>
      <c r="J119" s="83">
        <f t="shared" si="175"/>
        <v>913.22572705408857</v>
      </c>
      <c r="K119" s="83">
        <f t="shared" si="175"/>
        <v>914.49398185121595</v>
      </c>
      <c r="L119" s="83">
        <f t="shared" si="175"/>
        <v>916.88335731050984</v>
      </c>
      <c r="M119" s="83">
        <f t="shared" si="175"/>
        <v>919.62295345724567</v>
      </c>
      <c r="N119" s="83">
        <f t="shared" si="175"/>
        <v>918.36506021891819</v>
      </c>
      <c r="O119" s="83">
        <f t="shared" si="175"/>
        <v>917.28849425959208</v>
      </c>
      <c r="P119" s="241"/>
      <c r="Q119" s="92">
        <f t="shared" ref="Q119:R119" si="176">(Q$135+Q$118+Q$117)*($C119/IF($C115="Lucro presumido",91.45%,85.75%))</f>
        <v>917.72203130038713</v>
      </c>
      <c r="R119" s="83">
        <f t="shared" si="176"/>
        <v>918.74678946571328</v>
      </c>
      <c r="S119" s="241"/>
      <c r="T119" s="92">
        <f t="shared" ref="T119:Z119" si="177">(T$135+T$118+T$117)*($C119/IF($C115="Lucro presumido",91.45%,85.75%))</f>
        <v>904.37968898088866</v>
      </c>
      <c r="U119" s="83">
        <f t="shared" si="177"/>
        <v>907.86842582886868</v>
      </c>
      <c r="V119" s="83">
        <f t="shared" si="177"/>
        <v>911.69184102609086</v>
      </c>
      <c r="W119" s="83">
        <f t="shared" si="177"/>
        <v>907.00738029258378</v>
      </c>
      <c r="X119" s="83">
        <f t="shared" si="177"/>
        <v>907.21668378034497</v>
      </c>
      <c r="Y119" s="91">
        <f t="shared" si="177"/>
        <v>907.79382260550824</v>
      </c>
      <c r="Z119" s="83">
        <f t="shared" si="177"/>
        <v>906.27896270893962</v>
      </c>
      <c r="AA119" s="241"/>
      <c r="AB119" s="83">
        <f>(AB$135+AB$118+AB$117)*($C119/IF($C115="Lucro presumido",91.45%,85.75%))</f>
        <v>899.22447406427705</v>
      </c>
    </row>
    <row r="120" spans="1:28" x14ac:dyDescent="0.25">
      <c r="A120" s="40" t="s">
        <v>125</v>
      </c>
      <c r="B120" s="3" t="s">
        <v>124</v>
      </c>
      <c r="C120" s="95">
        <f>IF(C115="Lucro presumido",0.65%,1.65%)</f>
        <v>6.5000000000000006E-3</v>
      </c>
      <c r="D120" s="89" t="s">
        <v>123</v>
      </c>
      <c r="E120" s="83" t="s">
        <v>123</v>
      </c>
      <c r="F120" s="83" t="s">
        <v>123</v>
      </c>
      <c r="G120" s="83" t="s">
        <v>123</v>
      </c>
      <c r="H120" s="83" t="s">
        <v>123</v>
      </c>
      <c r="I120" s="83" t="s">
        <v>123</v>
      </c>
      <c r="J120" s="83" t="s">
        <v>123</v>
      </c>
      <c r="K120" s="83" t="s">
        <v>123</v>
      </c>
      <c r="L120" s="83" t="s">
        <v>123</v>
      </c>
      <c r="M120" s="83" t="s">
        <v>123</v>
      </c>
      <c r="N120" s="83" t="s">
        <v>123</v>
      </c>
      <c r="O120" s="83" t="s">
        <v>123</v>
      </c>
      <c r="P120" s="241"/>
      <c r="Q120" s="92" t="s">
        <v>123</v>
      </c>
      <c r="R120" s="83" t="s">
        <v>123</v>
      </c>
      <c r="S120" s="241"/>
      <c r="T120" s="92" t="s">
        <v>123</v>
      </c>
      <c r="U120" s="83" t="s">
        <v>123</v>
      </c>
      <c r="V120" s="83" t="s">
        <v>123</v>
      </c>
      <c r="W120" s="83" t="s">
        <v>123</v>
      </c>
      <c r="X120" s="83" t="s">
        <v>123</v>
      </c>
      <c r="Y120" s="91" t="s">
        <v>123</v>
      </c>
      <c r="Z120" s="83" t="s">
        <v>123</v>
      </c>
      <c r="AA120" s="241"/>
      <c r="AB120" s="83" t="s">
        <v>123</v>
      </c>
    </row>
    <row r="121" spans="1:28" x14ac:dyDescent="0.25">
      <c r="A121" s="40" t="s">
        <v>127</v>
      </c>
      <c r="B121" s="3" t="s">
        <v>126</v>
      </c>
      <c r="C121" s="95">
        <f>IF(C115="Lucro presumido",3%,7.6%)</f>
        <v>0.03</v>
      </c>
      <c r="D121" s="89" t="s">
        <v>123</v>
      </c>
      <c r="E121" s="83" t="s">
        <v>123</v>
      </c>
      <c r="F121" s="83" t="s">
        <v>123</v>
      </c>
      <c r="G121" s="83" t="s">
        <v>123</v>
      </c>
      <c r="H121" s="83" t="s">
        <v>123</v>
      </c>
      <c r="I121" s="83" t="s">
        <v>123</v>
      </c>
      <c r="J121" s="83" t="s">
        <v>123</v>
      </c>
      <c r="K121" s="83" t="s">
        <v>123</v>
      </c>
      <c r="L121" s="83" t="s">
        <v>123</v>
      </c>
      <c r="M121" s="83" t="s">
        <v>123</v>
      </c>
      <c r="N121" s="83" t="s">
        <v>123</v>
      </c>
      <c r="O121" s="83" t="s">
        <v>123</v>
      </c>
      <c r="P121" s="241"/>
      <c r="Q121" s="92" t="s">
        <v>123</v>
      </c>
      <c r="R121" s="83" t="s">
        <v>123</v>
      </c>
      <c r="S121" s="241"/>
      <c r="T121" s="92" t="s">
        <v>123</v>
      </c>
      <c r="U121" s="83" t="s">
        <v>123</v>
      </c>
      <c r="V121" s="83" t="s">
        <v>123</v>
      </c>
      <c r="W121" s="83" t="s">
        <v>123</v>
      </c>
      <c r="X121" s="83" t="s">
        <v>123</v>
      </c>
      <c r="Y121" s="91" t="s">
        <v>123</v>
      </c>
      <c r="Z121" s="83" t="s">
        <v>123</v>
      </c>
      <c r="AA121" s="241"/>
      <c r="AB121" s="83" t="s">
        <v>123</v>
      </c>
    </row>
    <row r="122" spans="1:28" x14ac:dyDescent="0.25">
      <c r="A122" s="40" t="s">
        <v>129</v>
      </c>
      <c r="B122" s="3" t="s">
        <v>128</v>
      </c>
      <c r="C122" s="95">
        <v>0.05</v>
      </c>
      <c r="D122" s="89" t="s">
        <v>123</v>
      </c>
      <c r="E122" s="83" t="s">
        <v>123</v>
      </c>
      <c r="F122" s="83" t="s">
        <v>123</v>
      </c>
      <c r="G122" s="83" t="s">
        <v>123</v>
      </c>
      <c r="H122" s="83" t="s">
        <v>123</v>
      </c>
      <c r="I122" s="83" t="s">
        <v>123</v>
      </c>
      <c r="J122" s="83" t="s">
        <v>123</v>
      </c>
      <c r="K122" s="83" t="s">
        <v>123</v>
      </c>
      <c r="L122" s="83" t="s">
        <v>123</v>
      </c>
      <c r="M122" s="83" t="s">
        <v>123</v>
      </c>
      <c r="N122" s="83" t="s">
        <v>123</v>
      </c>
      <c r="O122" s="83" t="s">
        <v>123</v>
      </c>
      <c r="P122" s="241"/>
      <c r="Q122" s="92" t="s">
        <v>123</v>
      </c>
      <c r="R122" s="83" t="s">
        <v>123</v>
      </c>
      <c r="S122" s="241"/>
      <c r="T122" s="92" t="s">
        <v>123</v>
      </c>
      <c r="U122" s="83" t="s">
        <v>123</v>
      </c>
      <c r="V122" s="83" t="s">
        <v>123</v>
      </c>
      <c r="W122" s="83" t="s">
        <v>123</v>
      </c>
      <c r="X122" s="83" t="s">
        <v>123</v>
      </c>
      <c r="Y122" s="91" t="s">
        <v>123</v>
      </c>
      <c r="Z122" s="83" t="s">
        <v>123</v>
      </c>
      <c r="AA122" s="241"/>
      <c r="AB122" s="83" t="s">
        <v>123</v>
      </c>
    </row>
    <row r="123" spans="1:28" ht="30" x14ac:dyDescent="0.25">
      <c r="A123" s="36" t="s">
        <v>12</v>
      </c>
      <c r="B123" s="2" t="s">
        <v>132</v>
      </c>
      <c r="C123" s="110">
        <v>4.4999999999999998E-2</v>
      </c>
      <c r="D123" s="89">
        <f>(D$135+D$118+D$117)*($C123/IF($C115="Lucro presumido",91.45%,85.75%))</f>
        <v>456.90573613766719</v>
      </c>
      <c r="E123" s="342">
        <f>(E$135+E$118+E$117)*($C123/IF($C115="Lucro presumido",91.45%,85.75%))</f>
        <v>464.75848005323627</v>
      </c>
      <c r="F123" s="342">
        <f t="shared" ref="F123:O123" si="178">(F$135+F$118+F$117)*($C123/IF($C115="Lucro presumido",91.45%,85.75%))</f>
        <v>464.18278465909646</v>
      </c>
      <c r="G123" s="342">
        <f t="shared" si="178"/>
        <v>475.3569707595945</v>
      </c>
      <c r="H123" s="342">
        <f t="shared" si="178"/>
        <v>475.40602345703519</v>
      </c>
      <c r="I123" s="342">
        <f t="shared" si="178"/>
        <v>475.23083525188969</v>
      </c>
      <c r="J123" s="342">
        <f t="shared" si="178"/>
        <v>475.08852852524836</v>
      </c>
      <c r="K123" s="342">
        <f t="shared" si="178"/>
        <v>475.748314257858</v>
      </c>
      <c r="L123" s="342">
        <f t="shared" si="178"/>
        <v>476.99134195344442</v>
      </c>
      <c r="M123" s="342">
        <f t="shared" si="178"/>
        <v>478.4165653823822</v>
      </c>
      <c r="N123" s="342">
        <f t="shared" si="178"/>
        <v>477.76217005608464</v>
      </c>
      <c r="O123" s="342">
        <f t="shared" si="178"/>
        <v>477.20210684025028</v>
      </c>
      <c r="P123" s="241"/>
      <c r="Q123" s="244">
        <f t="shared" ref="Q123:R123" si="179">(Q$135+Q$118+Q$117)*($C123/IF($C115="Lucro presumido",91.45%,85.75%))</f>
        <v>477.42764634124188</v>
      </c>
      <c r="R123" s="342">
        <f t="shared" si="179"/>
        <v>477.96075752551559</v>
      </c>
      <c r="S123" s="241"/>
      <c r="T123" s="244">
        <f t="shared" ref="T123:Z123" si="180">(T$135+T$118+T$117)*($C123/IF($C115="Lucro presumido",91.45%,85.75%))</f>
        <v>470.48654340046232</v>
      </c>
      <c r="U123" s="342">
        <f t="shared" si="180"/>
        <v>472.30149320576987</v>
      </c>
      <c r="V123" s="342">
        <f t="shared" si="180"/>
        <v>474.29055313496059</v>
      </c>
      <c r="W123" s="342">
        <f t="shared" si="180"/>
        <v>471.85355044122855</v>
      </c>
      <c r="X123" s="342">
        <f t="shared" si="180"/>
        <v>471.96243664873435</v>
      </c>
      <c r="Y123" s="343">
        <f t="shared" si="180"/>
        <v>472.26268228032222</v>
      </c>
      <c r="Z123" s="342">
        <f t="shared" si="180"/>
        <v>471.47460487748305</v>
      </c>
      <c r="AA123" s="241"/>
      <c r="AB123" s="342">
        <f>(AB$135+AB$118+AB$117)*($C123/IF($C115="Lucro presumido",91.45%,85.75%))</f>
        <v>467.80463968661815</v>
      </c>
    </row>
    <row r="124" spans="1:28" x14ac:dyDescent="0.25">
      <c r="A124" s="530" t="s">
        <v>18</v>
      </c>
      <c r="B124" s="531"/>
      <c r="C124" s="111">
        <f>SUM(C117:C119)+(C123)</f>
        <v>0.22695034943985887</v>
      </c>
      <c r="D124" s="89">
        <f>SUM(D117:D119)+D123</f>
        <v>2144.2436364517866</v>
      </c>
      <c r="E124" s="83">
        <f>SUM(E117:E119)+E123</f>
        <v>2181.096306133682</v>
      </c>
      <c r="F124" s="83">
        <f t="shared" ref="F124:Z124" si="181">SUM(F117:F119)+F123</f>
        <v>2178.3945865276778</v>
      </c>
      <c r="G124" s="83">
        <f t="shared" si="181"/>
        <v>2230.8346754638815</v>
      </c>
      <c r="H124" s="83">
        <f t="shared" si="181"/>
        <v>2231.0648781643931</v>
      </c>
      <c r="I124" s="83">
        <f t="shared" si="181"/>
        <v>2230.242725662566</v>
      </c>
      <c r="J124" s="83">
        <f t="shared" si="181"/>
        <v>2229.5748848610815</v>
      </c>
      <c r="K124" s="83">
        <f t="shared" si="181"/>
        <v>2232.6712376679625</v>
      </c>
      <c r="L124" s="83">
        <f t="shared" si="181"/>
        <v>2238.5047258809259</v>
      </c>
      <c r="M124" s="83">
        <f t="shared" si="181"/>
        <v>2245.1932526957894</v>
      </c>
      <c r="N124" s="83">
        <f t="shared" si="181"/>
        <v>2242.1221968889645</v>
      </c>
      <c r="O124" s="83">
        <f t="shared" si="181"/>
        <v>2239.4938385831238</v>
      </c>
      <c r="P124" s="241"/>
      <c r="Q124" s="92">
        <f t="shared" si="181"/>
        <v>2240.5522880651943</v>
      </c>
      <c r="R124" s="83">
        <f t="shared" si="181"/>
        <v>2243.0541613707542</v>
      </c>
      <c r="S124" s="241"/>
      <c r="T124" s="92">
        <f t="shared" si="181"/>
        <v>2207.9779195826786</v>
      </c>
      <c r="U124" s="83">
        <f t="shared" si="181"/>
        <v>2216.4954195016062</v>
      </c>
      <c r="V124" s="83">
        <f t="shared" si="181"/>
        <v>2225.83001252235</v>
      </c>
      <c r="W124" s="83">
        <f t="shared" si="181"/>
        <v>2214.3932387969348</v>
      </c>
      <c r="X124" s="83">
        <f t="shared" si="181"/>
        <v>2214.9042381980703</v>
      </c>
      <c r="Y124" s="91">
        <f t="shared" si="181"/>
        <v>2216.3132811012015</v>
      </c>
      <c r="Z124" s="83">
        <f t="shared" si="181"/>
        <v>2212.6148596929834</v>
      </c>
      <c r="AA124" s="241"/>
      <c r="AB124" s="83">
        <f>SUM(AB117:AB119)+AB123</f>
        <v>2195.3918334008804</v>
      </c>
    </row>
    <row r="125" spans="1:28" x14ac:dyDescent="0.25">
      <c r="A125" s="604" t="s">
        <v>81</v>
      </c>
      <c r="B125" s="605"/>
      <c r="C125" s="605"/>
      <c r="D125" s="60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328"/>
      <c r="Q125" s="329"/>
      <c r="R125" s="115"/>
      <c r="S125" s="328"/>
      <c r="T125" s="329"/>
      <c r="U125" s="115"/>
      <c r="V125" s="115"/>
      <c r="W125" s="115"/>
      <c r="X125" s="115"/>
      <c r="Y125" s="119"/>
      <c r="Z125" s="115"/>
      <c r="AA125" s="370"/>
      <c r="AB125" s="115"/>
    </row>
    <row r="126" spans="1:28" x14ac:dyDescent="0.25">
      <c r="A126" s="604" t="s">
        <v>131</v>
      </c>
      <c r="B126" s="605"/>
      <c r="C126" s="605"/>
      <c r="D126" s="60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328"/>
      <c r="Q126" s="329"/>
      <c r="R126" s="115"/>
      <c r="S126" s="328"/>
      <c r="T126" s="329"/>
      <c r="U126" s="115"/>
      <c r="V126" s="115"/>
      <c r="W126" s="115"/>
      <c r="X126" s="115"/>
      <c r="Y126" s="119"/>
      <c r="Z126" s="115"/>
      <c r="AA126" s="370"/>
      <c r="AB126" s="115"/>
    </row>
    <row r="127" spans="1:28" x14ac:dyDescent="0.25">
      <c r="A127" s="34"/>
      <c r="B127" s="35"/>
      <c r="C127" s="35"/>
      <c r="D127" s="84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328"/>
      <c r="Q127" s="329"/>
      <c r="R127" s="115"/>
      <c r="S127" s="328"/>
      <c r="T127" s="329"/>
      <c r="U127" s="115"/>
      <c r="V127" s="115"/>
      <c r="W127" s="115"/>
      <c r="X127" s="115"/>
      <c r="Y127" s="119"/>
      <c r="Z127" s="115"/>
      <c r="AA127" s="370"/>
      <c r="AB127" s="115"/>
    </row>
    <row r="128" spans="1:28" x14ac:dyDescent="0.25">
      <c r="A128" s="547" t="s">
        <v>117</v>
      </c>
      <c r="B128" s="548"/>
      <c r="C128" s="548"/>
      <c r="D128" s="606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328"/>
      <c r="Q128" s="329"/>
      <c r="R128" s="115"/>
      <c r="S128" s="328"/>
      <c r="T128" s="329"/>
      <c r="U128" s="115"/>
      <c r="V128" s="115"/>
      <c r="W128" s="115"/>
      <c r="X128" s="115"/>
      <c r="Y128" s="119"/>
      <c r="Z128" s="115"/>
      <c r="AA128" s="370"/>
      <c r="AB128" s="115"/>
    </row>
    <row r="129" spans="1:28" ht="30" x14ac:dyDescent="0.25">
      <c r="A129" s="609" t="s">
        <v>82</v>
      </c>
      <c r="B129" s="610"/>
      <c r="C129" s="611"/>
      <c r="D129" s="88" t="s">
        <v>75</v>
      </c>
      <c r="E129" s="169" t="s">
        <v>172</v>
      </c>
      <c r="F129" s="169" t="s">
        <v>173</v>
      </c>
      <c r="G129" s="169" t="s">
        <v>174</v>
      </c>
      <c r="H129" s="169" t="s">
        <v>175</v>
      </c>
      <c r="I129" s="169" t="s">
        <v>176</v>
      </c>
      <c r="J129" s="169" t="s">
        <v>177</v>
      </c>
      <c r="K129" s="169" t="s">
        <v>178</v>
      </c>
      <c r="L129" s="169" t="s">
        <v>167</v>
      </c>
      <c r="M129" s="169" t="s">
        <v>179</v>
      </c>
      <c r="N129" s="169" t="s">
        <v>180</v>
      </c>
      <c r="O129" s="169" t="s">
        <v>181</v>
      </c>
      <c r="P129" s="328"/>
      <c r="Q129" s="334" t="s">
        <v>182</v>
      </c>
      <c r="R129" s="169" t="s">
        <v>220</v>
      </c>
      <c r="S129" s="328"/>
      <c r="T129" s="334" t="s">
        <v>221</v>
      </c>
      <c r="U129" s="169" t="s">
        <v>183</v>
      </c>
      <c r="V129" s="169" t="s">
        <v>184</v>
      </c>
      <c r="W129" s="169" t="s">
        <v>185</v>
      </c>
      <c r="X129" s="169" t="s">
        <v>186</v>
      </c>
      <c r="Y129" s="337" t="s">
        <v>223</v>
      </c>
      <c r="Z129" s="169" t="s">
        <v>231</v>
      </c>
      <c r="AA129" s="370"/>
      <c r="AB129" s="169" t="s">
        <v>231</v>
      </c>
    </row>
    <row r="130" spans="1:28" x14ac:dyDescent="0.25">
      <c r="A130" s="36" t="s">
        <v>6</v>
      </c>
      <c r="B130" s="529" t="s">
        <v>76</v>
      </c>
      <c r="C130" s="529"/>
      <c r="D130" s="89">
        <f>D19</f>
        <v>5356.67</v>
      </c>
      <c r="E130" s="83">
        <f>E19</f>
        <v>5356.67</v>
      </c>
      <c r="F130" s="83">
        <f t="shared" ref="F130" si="182">F19</f>
        <v>5356.67</v>
      </c>
      <c r="G130" s="83">
        <f t="shared" ref="G130" si="183">G19</f>
        <v>5490.5867499999995</v>
      </c>
      <c r="H130" s="83">
        <f>H19</f>
        <v>5490.5867499999995</v>
      </c>
      <c r="I130" s="83">
        <f>I19</f>
        <v>5490.5867499999995</v>
      </c>
      <c r="J130" s="83">
        <f t="shared" ref="J130" si="184">J19</f>
        <v>5490.5867499999995</v>
      </c>
      <c r="K130" s="83">
        <f t="shared" ref="K130" si="185">K19</f>
        <v>5490.5867499999995</v>
      </c>
      <c r="L130" s="83">
        <f t="shared" ref="L130" si="186">L19</f>
        <v>5490.5867499999995</v>
      </c>
      <c r="M130" s="83">
        <f t="shared" ref="M130" si="187">M19</f>
        <v>5490.5867499999995</v>
      </c>
      <c r="N130" s="83">
        <f t="shared" ref="N130" si="188">N19</f>
        <v>5490.5867499999995</v>
      </c>
      <c r="O130" s="83">
        <f t="shared" ref="O130" si="189">O19</f>
        <v>5490.5867499999995</v>
      </c>
      <c r="P130" s="328"/>
      <c r="Q130" s="92">
        <f t="shared" ref="Q130" si="190">Q19</f>
        <v>5490.5867499999995</v>
      </c>
      <c r="R130" s="83">
        <f t="shared" ref="R130:T130" si="191">R19</f>
        <v>5490.5867499999995</v>
      </c>
      <c r="S130" s="328"/>
      <c r="T130" s="92">
        <f t="shared" si="191"/>
        <v>5490.5867499999995</v>
      </c>
      <c r="U130" s="83">
        <f t="shared" ref="U130" si="192">U19</f>
        <v>5490.5867499999995</v>
      </c>
      <c r="V130" s="83">
        <f t="shared" ref="V130" si="193">V19</f>
        <v>5490.5867499999995</v>
      </c>
      <c r="W130" s="83">
        <f t="shared" ref="W130" si="194">W19</f>
        <v>5490.5867499999995</v>
      </c>
      <c r="X130" s="83">
        <f t="shared" ref="X130:Y130" si="195">X19</f>
        <v>5490.5867499999995</v>
      </c>
      <c r="Y130" s="91">
        <f t="shared" si="195"/>
        <v>5490.5867499999995</v>
      </c>
      <c r="Z130" s="83">
        <f t="shared" ref="Z130:AB130" si="196">Z19</f>
        <v>5490.5867499999995</v>
      </c>
      <c r="AA130" s="370"/>
      <c r="AB130" s="83">
        <f t="shared" si="196"/>
        <v>5490.5867499999995</v>
      </c>
    </row>
    <row r="131" spans="1:28" x14ac:dyDescent="0.25">
      <c r="A131" s="36" t="s">
        <v>8</v>
      </c>
      <c r="B131" s="529" t="s">
        <v>20</v>
      </c>
      <c r="C131" s="529"/>
      <c r="D131" s="89">
        <f>D65</f>
        <v>2644.6123855999999</v>
      </c>
      <c r="E131" s="83">
        <f>E65</f>
        <v>2790.2923855999998</v>
      </c>
      <c r="F131" s="83">
        <f t="shared" ref="F131" si="197">F65</f>
        <v>2779.6123855999999</v>
      </c>
      <c r="G131" s="83">
        <f t="shared" ref="G131" si="198">G65</f>
        <v>2841.1184452400003</v>
      </c>
      <c r="H131" s="83">
        <f>H65</f>
        <v>2842.0284452400001</v>
      </c>
      <c r="I131" s="83">
        <f>I65</f>
        <v>2838.7784452400001</v>
      </c>
      <c r="J131" s="83">
        <f t="shared" ref="J131" si="199">J65</f>
        <v>2836.1384452399998</v>
      </c>
      <c r="K131" s="83">
        <f t="shared" ref="K131" si="200">K65</f>
        <v>2848.37844524</v>
      </c>
      <c r="L131" s="83">
        <f t="shared" ref="L131" si="201">L65</f>
        <v>2871.43844524</v>
      </c>
      <c r="M131" s="83">
        <f t="shared" ref="M131" si="202">M65</f>
        <v>2897.87844524</v>
      </c>
      <c r="N131" s="83">
        <f t="shared" ref="N131" si="203">N65</f>
        <v>2885.7384452400001</v>
      </c>
      <c r="O131" s="83">
        <f t="shared" ref="O131" si="204">O65</f>
        <v>2875.3484452399998</v>
      </c>
      <c r="P131" s="328"/>
      <c r="Q131" s="92">
        <f t="shared" ref="Q131" si="205">Q65</f>
        <v>2880.2311790333333</v>
      </c>
      <c r="R131" s="83">
        <f t="shared" ref="R131:T131" si="206">R65</f>
        <v>2890.1211790333332</v>
      </c>
      <c r="S131" s="328"/>
      <c r="T131" s="92">
        <f t="shared" si="206"/>
        <v>2890.1211790333332</v>
      </c>
      <c r="U131" s="83">
        <f t="shared" ref="U131" si="207">U65</f>
        <v>2923.7911790333333</v>
      </c>
      <c r="V131" s="83">
        <f t="shared" ref="V131" si="208">V65</f>
        <v>2960.6911790333334</v>
      </c>
      <c r="W131" s="83">
        <f t="shared" ref="W131" si="209">W65</f>
        <v>2915.4811790333333</v>
      </c>
      <c r="X131" s="83">
        <f t="shared" ref="X131:Y131" si="210">X65</f>
        <v>2917.5011790333333</v>
      </c>
      <c r="Y131" s="91">
        <f t="shared" si="210"/>
        <v>2923.0711790333335</v>
      </c>
      <c r="Z131" s="83">
        <f t="shared" ref="Z131:AB131" si="211">Z65</f>
        <v>2908.4511790333331</v>
      </c>
      <c r="AA131" s="370"/>
      <c r="AB131" s="83">
        <f t="shared" si="211"/>
        <v>2840.3679033333333</v>
      </c>
    </row>
    <row r="132" spans="1:28" x14ac:dyDescent="0.25">
      <c r="A132" s="36" t="s">
        <v>10</v>
      </c>
      <c r="B132" s="529" t="s">
        <v>77</v>
      </c>
      <c r="C132" s="529"/>
      <c r="D132" s="89">
        <f>D76</f>
        <v>407.61286379407409</v>
      </c>
      <c r="E132" s="83">
        <f>E76</f>
        <v>407.61286379407409</v>
      </c>
      <c r="F132" s="83">
        <f t="shared" ref="F132" si="212">F76</f>
        <v>407.61286379407409</v>
      </c>
      <c r="G132" s="83">
        <f t="shared" ref="G132" si="213">G76</f>
        <v>417.8031853889259</v>
      </c>
      <c r="H132" s="83">
        <f>H76</f>
        <v>417.8031853889259</v>
      </c>
      <c r="I132" s="83">
        <f>I76</f>
        <v>417.8031853889259</v>
      </c>
      <c r="J132" s="83">
        <f t="shared" ref="J132" si="214">J76</f>
        <v>417.8031853889259</v>
      </c>
      <c r="K132" s="83">
        <f t="shared" ref="K132" si="215">K76</f>
        <v>417.8031853889259</v>
      </c>
      <c r="L132" s="83">
        <f t="shared" ref="L132" si="216">L76</f>
        <v>417.8031853889259</v>
      </c>
      <c r="M132" s="83">
        <f t="shared" ref="M132" si="217">M76</f>
        <v>417.8031853889259</v>
      </c>
      <c r="N132" s="83">
        <f t="shared" ref="N132" si="218">N76</f>
        <v>417.8031853889259</v>
      </c>
      <c r="O132" s="83">
        <f t="shared" ref="O132" si="219">O76</f>
        <v>417.8031853889259</v>
      </c>
      <c r="P132" s="328"/>
      <c r="Q132" s="92">
        <f t="shared" ref="Q132" si="220">Q76</f>
        <v>417.12948854601848</v>
      </c>
      <c r="R132" s="83">
        <f t="shared" ref="R132:T132" si="221">R76</f>
        <v>417.12948854601848</v>
      </c>
      <c r="S132" s="328"/>
      <c r="T132" s="92">
        <f t="shared" si="221"/>
        <v>278.47177533841352</v>
      </c>
      <c r="U132" s="83">
        <f t="shared" ref="U132" si="222">U76</f>
        <v>278.47177533841352</v>
      </c>
      <c r="V132" s="83">
        <f t="shared" ref="V132" si="223">V76</f>
        <v>278.47177533841352</v>
      </c>
      <c r="W132" s="83">
        <f t="shared" ref="W132" si="224">W76</f>
        <v>278.47177533841352</v>
      </c>
      <c r="X132" s="83">
        <f t="shared" ref="X132:Y132" si="225">X76</f>
        <v>278.47177533841352</v>
      </c>
      <c r="Y132" s="91">
        <f t="shared" si="225"/>
        <v>278.47177533841352</v>
      </c>
      <c r="Z132" s="83">
        <f t="shared" ref="Z132:AB132" si="226">Z76</f>
        <v>278.47177533841352</v>
      </c>
      <c r="AA132" s="370"/>
      <c r="AB132" s="83">
        <f t="shared" si="226"/>
        <v>278.47177533841352</v>
      </c>
    </row>
    <row r="133" spans="1:28" x14ac:dyDescent="0.25">
      <c r="A133" s="36" t="s">
        <v>12</v>
      </c>
      <c r="B133" s="529" t="s">
        <v>52</v>
      </c>
      <c r="C133" s="529"/>
      <c r="D133" s="89">
        <f>D103</f>
        <v>67.381114154135702</v>
      </c>
      <c r="E133" s="83">
        <f>E103</f>
        <v>67.381114154135702</v>
      </c>
      <c r="F133" s="83">
        <f t="shared" ref="F133" si="227">F103</f>
        <v>67.381114154135702</v>
      </c>
      <c r="G133" s="83">
        <f t="shared" ref="G133" si="228">G103</f>
        <v>69.065642007989098</v>
      </c>
      <c r="H133" s="83">
        <f>H103</f>
        <v>69.065642007989098</v>
      </c>
      <c r="I133" s="83">
        <f>I103</f>
        <v>69.065642007989098</v>
      </c>
      <c r="J133" s="83">
        <f t="shared" ref="J133" si="229">J103</f>
        <v>69.065642007989098</v>
      </c>
      <c r="K133" s="83">
        <f t="shared" ref="K133" si="230">K103</f>
        <v>69.065642007989098</v>
      </c>
      <c r="L133" s="83">
        <f t="shared" ref="L133" si="231">L103</f>
        <v>69.065642007989098</v>
      </c>
      <c r="M133" s="83">
        <f t="shared" ref="M133" si="232">M103</f>
        <v>69.065642007989098</v>
      </c>
      <c r="N133" s="83">
        <f t="shared" ref="N133" si="233">N103</f>
        <v>69.065642007989098</v>
      </c>
      <c r="O133" s="83">
        <f t="shared" ref="O133" si="234">O103</f>
        <v>69.065642007989098</v>
      </c>
      <c r="P133" s="328"/>
      <c r="Q133" s="92">
        <f t="shared" ref="Q133" si="235">Q103</f>
        <v>69.040695976320293</v>
      </c>
      <c r="R133" s="83">
        <f t="shared" ref="R133:T133" si="236">R103</f>
        <v>69.040695976320293</v>
      </c>
      <c r="S133" s="328"/>
      <c r="T133" s="92">
        <f t="shared" si="236"/>
        <v>69.040695976320293</v>
      </c>
      <c r="U133" s="83">
        <f t="shared" ref="U133" si="237">U103</f>
        <v>69.040695976320293</v>
      </c>
      <c r="V133" s="83">
        <f t="shared" ref="V133" si="238">V103</f>
        <v>69.040695976320293</v>
      </c>
      <c r="W133" s="83">
        <f t="shared" ref="W133" si="239">W103</f>
        <v>69.040695976320293</v>
      </c>
      <c r="X133" s="83">
        <f t="shared" ref="X133:Y133" si="240">X103</f>
        <v>69.040695976320293</v>
      </c>
      <c r="Y133" s="91">
        <f t="shared" si="240"/>
        <v>69.040695976320293</v>
      </c>
      <c r="Z133" s="83">
        <f t="shared" ref="Z133:AB133" si="241">Z103</f>
        <v>69.040695976320293</v>
      </c>
      <c r="AA133" s="370"/>
      <c r="AB133" s="83">
        <f t="shared" si="241"/>
        <v>69.040695976320293</v>
      </c>
    </row>
    <row r="134" spans="1:28" x14ac:dyDescent="0.25">
      <c r="A134" s="36" t="s">
        <v>14</v>
      </c>
      <c r="B134" s="529" t="s">
        <v>66</v>
      </c>
      <c r="C134" s="529"/>
      <c r="D134" s="89">
        <f>D111</f>
        <v>0</v>
      </c>
      <c r="E134" s="83">
        <f>E111</f>
        <v>0</v>
      </c>
      <c r="F134" s="83">
        <f t="shared" ref="F134" si="242">F111</f>
        <v>0</v>
      </c>
      <c r="G134" s="83">
        <f t="shared" ref="G134" si="243">G111</f>
        <v>0</v>
      </c>
      <c r="H134" s="83">
        <f>H111</f>
        <v>0</v>
      </c>
      <c r="I134" s="83">
        <f>I111</f>
        <v>0</v>
      </c>
      <c r="J134" s="83">
        <f t="shared" ref="J134" si="244">J111</f>
        <v>0</v>
      </c>
      <c r="K134" s="83">
        <f t="shared" ref="K134" si="245">K111</f>
        <v>0</v>
      </c>
      <c r="L134" s="83">
        <f t="shared" ref="L134" si="246">L111</f>
        <v>0</v>
      </c>
      <c r="M134" s="83">
        <f t="shared" ref="M134" si="247">M111</f>
        <v>0</v>
      </c>
      <c r="N134" s="83">
        <f t="shared" ref="N134" si="248">N111</f>
        <v>0</v>
      </c>
      <c r="O134" s="83">
        <f t="shared" ref="O134" si="249">O111</f>
        <v>0</v>
      </c>
      <c r="P134" s="328"/>
      <c r="Q134" s="92">
        <f t="shared" ref="Q134" si="250">Q111</f>
        <v>0</v>
      </c>
      <c r="R134" s="83">
        <f t="shared" ref="R134:T134" si="251">R111</f>
        <v>0</v>
      </c>
      <c r="S134" s="328"/>
      <c r="T134" s="92">
        <f t="shared" si="251"/>
        <v>0</v>
      </c>
      <c r="U134" s="83">
        <f t="shared" ref="U134" si="252">U111</f>
        <v>0</v>
      </c>
      <c r="V134" s="83">
        <f t="shared" ref="V134" si="253">V111</f>
        <v>0</v>
      </c>
      <c r="W134" s="83">
        <f t="shared" ref="W134" si="254">W111</f>
        <v>0</v>
      </c>
      <c r="X134" s="83">
        <f t="shared" ref="X134:Y134" si="255">X111</f>
        <v>0</v>
      </c>
      <c r="Y134" s="91">
        <f t="shared" si="255"/>
        <v>0</v>
      </c>
      <c r="Z134" s="83">
        <f t="shared" ref="Z134:AB134" si="256">Z111</f>
        <v>0</v>
      </c>
      <c r="AA134" s="370"/>
      <c r="AB134" s="83">
        <f t="shared" si="256"/>
        <v>0</v>
      </c>
    </row>
    <row r="135" spans="1:28" x14ac:dyDescent="0.25">
      <c r="A135" s="530" t="s">
        <v>78</v>
      </c>
      <c r="B135" s="531"/>
      <c r="C135" s="531"/>
      <c r="D135" s="89">
        <f>SUM(D130:D134)</f>
        <v>8476.2763635482097</v>
      </c>
      <c r="E135" s="83">
        <f t="shared" ref="E135" si="257">SUM(E130:E134)</f>
        <v>8621.95636354821</v>
      </c>
      <c r="F135" s="83">
        <f t="shared" ref="F135" si="258">SUM(F130:F134)</f>
        <v>8611.2763635482097</v>
      </c>
      <c r="G135" s="83">
        <f t="shared" ref="G135" si="259">SUM(G130:G134)</f>
        <v>8818.5740226369144</v>
      </c>
      <c r="H135" s="83">
        <f>SUM(H130:H134)</f>
        <v>8819.4840226369142</v>
      </c>
      <c r="I135" s="83">
        <f>SUM(I130:I134)</f>
        <v>8816.2340226369142</v>
      </c>
      <c r="J135" s="83">
        <f t="shared" ref="J135" si="260">SUM(J130:J134)</f>
        <v>8813.5940226369148</v>
      </c>
      <c r="K135" s="83">
        <f t="shared" ref="K135" si="261">SUM(K130:K134)</f>
        <v>8825.8340226369146</v>
      </c>
      <c r="L135" s="83">
        <f t="shared" ref="L135" si="262">SUM(L130:L134)</f>
        <v>8848.8940226369141</v>
      </c>
      <c r="M135" s="83">
        <f t="shared" ref="M135" si="263">SUM(M130:M134)</f>
        <v>8875.3340226369146</v>
      </c>
      <c r="N135" s="83">
        <f t="shared" ref="N135" si="264">SUM(N130:N134)</f>
        <v>8863.1940226369134</v>
      </c>
      <c r="O135" s="83">
        <f t="shared" ref="O135" si="265">SUM(O130:O134)</f>
        <v>8852.8040226369139</v>
      </c>
      <c r="P135" s="328"/>
      <c r="Q135" s="92">
        <f t="shared" ref="Q135" si="266">SUM(Q130:Q134)</f>
        <v>8856.9881135556716</v>
      </c>
      <c r="R135" s="83">
        <f t="shared" ref="R135:T135" si="267">SUM(R130:R134)</f>
        <v>8866.8781135556728</v>
      </c>
      <c r="S135" s="328"/>
      <c r="T135" s="92">
        <f t="shared" si="267"/>
        <v>8728.2204003480674</v>
      </c>
      <c r="U135" s="83">
        <f t="shared" ref="U135" si="268">SUM(U130:U134)</f>
        <v>8761.8904003480675</v>
      </c>
      <c r="V135" s="83">
        <f t="shared" ref="V135" si="269">SUM(V130:V134)</f>
        <v>8798.7904003480671</v>
      </c>
      <c r="W135" s="83">
        <f t="shared" ref="W135" si="270">SUM(W130:W134)</f>
        <v>8753.5804003480662</v>
      </c>
      <c r="X135" s="83">
        <f t="shared" ref="X135:Y135" si="271">SUM(X130:X134)</f>
        <v>8755.6004003480666</v>
      </c>
      <c r="Y135" s="91">
        <f t="shared" si="271"/>
        <v>8761.1704003480663</v>
      </c>
      <c r="Z135" s="83">
        <f t="shared" ref="Z135:AB135" si="272">SUM(Z130:Z134)</f>
        <v>8746.5504003480673</v>
      </c>
      <c r="AA135" s="370"/>
      <c r="AB135" s="83">
        <f t="shared" si="272"/>
        <v>8678.4671246480666</v>
      </c>
    </row>
    <row r="136" spans="1:28" x14ac:dyDescent="0.25">
      <c r="A136" s="40" t="s">
        <v>16</v>
      </c>
      <c r="B136" s="532" t="s">
        <v>71</v>
      </c>
      <c r="C136" s="532"/>
      <c r="D136" s="89">
        <f>D124</f>
        <v>2144.2436364517866</v>
      </c>
      <c r="E136" s="83">
        <f>E124</f>
        <v>2181.096306133682</v>
      </c>
      <c r="F136" s="83">
        <f t="shared" ref="F136" si="273">F124</f>
        <v>2178.3945865276778</v>
      </c>
      <c r="G136" s="83">
        <f t="shared" ref="G136" si="274">G124</f>
        <v>2230.8346754638815</v>
      </c>
      <c r="H136" s="83">
        <f>H124</f>
        <v>2231.0648781643931</v>
      </c>
      <c r="I136" s="83">
        <f>I124</f>
        <v>2230.242725662566</v>
      </c>
      <c r="J136" s="83">
        <f t="shared" ref="J136" si="275">J124</f>
        <v>2229.5748848610815</v>
      </c>
      <c r="K136" s="83">
        <f t="shared" ref="K136" si="276">K124</f>
        <v>2232.6712376679625</v>
      </c>
      <c r="L136" s="83">
        <f t="shared" ref="L136" si="277">L124</f>
        <v>2238.5047258809259</v>
      </c>
      <c r="M136" s="83">
        <f t="shared" ref="M136" si="278">M124</f>
        <v>2245.1932526957894</v>
      </c>
      <c r="N136" s="83">
        <f t="shared" ref="N136" si="279">N124</f>
        <v>2242.1221968889645</v>
      </c>
      <c r="O136" s="83">
        <f t="shared" ref="O136" si="280">O124</f>
        <v>2239.4938385831238</v>
      </c>
      <c r="P136" s="328"/>
      <c r="Q136" s="92">
        <f t="shared" ref="Q136" si="281">Q124</f>
        <v>2240.5522880651943</v>
      </c>
      <c r="R136" s="83">
        <f t="shared" ref="R136:T136" si="282">R124</f>
        <v>2243.0541613707542</v>
      </c>
      <c r="S136" s="328"/>
      <c r="T136" s="92">
        <f t="shared" si="282"/>
        <v>2207.9779195826786</v>
      </c>
      <c r="U136" s="83">
        <f t="shared" ref="U136" si="283">U124</f>
        <v>2216.4954195016062</v>
      </c>
      <c r="V136" s="83">
        <f t="shared" ref="V136" si="284">V124</f>
        <v>2225.83001252235</v>
      </c>
      <c r="W136" s="83">
        <f t="shared" ref="W136" si="285">W124</f>
        <v>2214.3932387969348</v>
      </c>
      <c r="X136" s="83">
        <f t="shared" ref="X136:Y136" si="286">X124</f>
        <v>2214.9042381980703</v>
      </c>
      <c r="Y136" s="91">
        <f t="shared" si="286"/>
        <v>2216.3132811012015</v>
      </c>
      <c r="Z136" s="83">
        <f t="shared" ref="Z136:AB136" si="287">Z124</f>
        <v>2212.6148596929834</v>
      </c>
      <c r="AA136" s="370"/>
      <c r="AB136" s="83">
        <f t="shared" si="287"/>
        <v>2195.3918334008804</v>
      </c>
    </row>
    <row r="137" spans="1:28" ht="15.75" thickBot="1" x14ac:dyDescent="0.3">
      <c r="A137" s="527" t="s">
        <v>79</v>
      </c>
      <c r="B137" s="528"/>
      <c r="C137" s="528"/>
      <c r="D137" s="109">
        <f>SUM(D135:D136)</f>
        <v>10620.519999999997</v>
      </c>
      <c r="E137" s="213">
        <f t="shared" ref="E137" si="288">SUM(E135:E136)</f>
        <v>10803.052669681892</v>
      </c>
      <c r="F137" s="213">
        <f t="shared" ref="F137" si="289">SUM(F135:F136)</f>
        <v>10789.670950075888</v>
      </c>
      <c r="G137" s="213">
        <f t="shared" ref="G137" si="290">SUM(G135:G136)</f>
        <v>11049.408698100797</v>
      </c>
      <c r="H137" s="213">
        <f>SUM(H135:H136)</f>
        <v>11050.548900801306</v>
      </c>
      <c r="I137" s="213">
        <f>SUM(I135:I136)</f>
        <v>11046.476748299479</v>
      </c>
      <c r="J137" s="213">
        <f t="shared" ref="J137" si="291">SUM(J135:J136)</f>
        <v>11043.168907497997</v>
      </c>
      <c r="K137" s="213">
        <f t="shared" ref="K137" si="292">SUM(K135:K136)</f>
        <v>11058.505260304877</v>
      </c>
      <c r="L137" s="213">
        <f t="shared" ref="L137" si="293">SUM(L135:L136)</f>
        <v>11087.39874851784</v>
      </c>
      <c r="M137" s="213">
        <f t="shared" ref="M137" si="294">SUM(M135:M136)</f>
        <v>11120.527275332704</v>
      </c>
      <c r="N137" s="213">
        <f t="shared" ref="N137" si="295">SUM(N135:N136)</f>
        <v>11105.316219525877</v>
      </c>
      <c r="O137" s="213">
        <f t="shared" ref="O137" si="296">SUM(O135:O136)</f>
        <v>11092.297861220039</v>
      </c>
      <c r="P137" s="248"/>
      <c r="Q137" s="215">
        <f t="shared" ref="Q137" si="297">SUM(Q135:Q136)</f>
        <v>11097.540401620867</v>
      </c>
      <c r="R137" s="213">
        <f t="shared" ref="R137:T137" si="298">SUM(R135:R136)</f>
        <v>11109.932274926427</v>
      </c>
      <c r="S137" s="248"/>
      <c r="T137" s="215">
        <f t="shared" si="298"/>
        <v>10936.198319930747</v>
      </c>
      <c r="U137" s="213">
        <f t="shared" ref="U137" si="299">SUM(U135:U136)</f>
        <v>10978.385819849675</v>
      </c>
      <c r="V137" s="213">
        <f t="shared" ref="V137" si="300">SUM(V135:V136)</f>
        <v>11024.620412870418</v>
      </c>
      <c r="W137" s="213">
        <f t="shared" ref="W137" si="301">SUM(W135:W136)</f>
        <v>10967.973639145001</v>
      </c>
      <c r="X137" s="213">
        <f t="shared" ref="X137:Y137" si="302">SUM(X135:X136)</f>
        <v>10970.504638546137</v>
      </c>
      <c r="Y137" s="344">
        <f t="shared" si="302"/>
        <v>10977.483681449268</v>
      </c>
      <c r="Z137" s="213">
        <f t="shared" ref="Z137:AB137" si="303">SUM(Z135:Z136)</f>
        <v>10959.165260041051</v>
      </c>
      <c r="AA137" s="248"/>
      <c r="AB137" s="213">
        <f t="shared" si="303"/>
        <v>10873.858958048946</v>
      </c>
    </row>
  </sheetData>
  <mergeCells count="100"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  <mergeCell ref="A137:C137"/>
    <mergeCell ref="B131:C131"/>
    <mergeCell ref="B132:C132"/>
    <mergeCell ref="B133:C133"/>
    <mergeCell ref="B134:C134"/>
    <mergeCell ref="A135:C135"/>
    <mergeCell ref="B136:C136"/>
    <mergeCell ref="E1:Z3"/>
    <mergeCell ref="A1:D2"/>
    <mergeCell ref="S9:T9"/>
    <mergeCell ref="P4:Q4"/>
    <mergeCell ref="P5:Q5"/>
    <mergeCell ref="P6:Q6"/>
    <mergeCell ref="P7:Q7"/>
    <mergeCell ref="P8:Q8"/>
    <mergeCell ref="P9:Q9"/>
    <mergeCell ref="S4:T4"/>
    <mergeCell ref="S5:T5"/>
    <mergeCell ref="S6:T6"/>
    <mergeCell ref="S7:T7"/>
    <mergeCell ref="S8:T8"/>
    <mergeCell ref="AA8:AB8"/>
    <mergeCell ref="AA9:AB9"/>
    <mergeCell ref="AA1:AB3"/>
    <mergeCell ref="AA4:AB4"/>
    <mergeCell ref="AA5:AB5"/>
    <mergeCell ref="AA6:AB6"/>
    <mergeCell ref="AA7:AB7"/>
  </mergeCells>
  <dataValidations disablePrompts="1" count="1">
    <dataValidation type="list" allowBlank="1" showInputMessage="1" showErrorMessage="1" sqref="C115:AB115" xr:uid="{138E3717-6651-4576-8CE4-8878BFEEF23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608D-8969-4779-A613-FCCC4FE85035}">
  <dimension ref="A1:AB137"/>
  <sheetViews>
    <sheetView topLeftCell="K1" zoomScale="70" zoomScaleNormal="70" workbookViewId="0">
      <selection activeCell="AC15" sqref="AC15"/>
    </sheetView>
  </sheetViews>
  <sheetFormatPr defaultRowHeight="15" x14ac:dyDescent="0.25"/>
  <cols>
    <col min="1" max="1" width="6.7109375" style="216" bestFit="1" customWidth="1"/>
    <col min="2" max="2" width="73.5703125" style="217" bestFit="1" customWidth="1"/>
    <col min="3" max="3" width="18.7109375" style="217" bestFit="1" customWidth="1"/>
    <col min="4" max="4" width="13" style="216" bestFit="1" customWidth="1"/>
    <col min="5" max="26" width="20.7109375" style="216" customWidth="1"/>
    <col min="27" max="27" width="20.7109375" style="1" customWidth="1"/>
    <col min="28" max="28" width="20.7109375" customWidth="1"/>
  </cols>
  <sheetData>
    <row r="1" spans="1:28" x14ac:dyDescent="0.25">
      <c r="A1" s="625" t="s">
        <v>98</v>
      </c>
      <c r="B1" s="625"/>
      <c r="C1" s="625"/>
      <c r="D1" s="626"/>
      <c r="E1" s="627" t="s">
        <v>224</v>
      </c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628"/>
      <c r="Y1" s="628"/>
      <c r="Z1" s="629"/>
      <c r="AA1" s="581" t="s">
        <v>248</v>
      </c>
      <c r="AB1" s="582"/>
    </row>
    <row r="2" spans="1:28" x14ac:dyDescent="0.25">
      <c r="A2" s="498"/>
      <c r="B2" s="498"/>
      <c r="C2" s="498"/>
      <c r="D2" s="571"/>
      <c r="E2" s="630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2"/>
      <c r="AA2" s="583"/>
      <c r="AB2" s="584"/>
    </row>
    <row r="3" spans="1:28" ht="15.75" thickBot="1" x14ac:dyDescent="0.3">
      <c r="A3" s="467" t="s">
        <v>0</v>
      </c>
      <c r="B3" s="467"/>
      <c r="C3" s="467"/>
      <c r="D3" s="467"/>
      <c r="E3" s="633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634"/>
      <c r="AA3" s="583"/>
      <c r="AB3" s="584"/>
    </row>
    <row r="4" spans="1:28" x14ac:dyDescent="0.25">
      <c r="A4" s="330">
        <v>1</v>
      </c>
      <c r="B4" s="162" t="s">
        <v>1</v>
      </c>
      <c r="C4" s="512" t="s">
        <v>149</v>
      </c>
      <c r="D4" s="512"/>
      <c r="E4" s="114" t="s">
        <v>149</v>
      </c>
      <c r="F4" s="114" t="s">
        <v>149</v>
      </c>
      <c r="G4" s="114" t="s">
        <v>149</v>
      </c>
      <c r="H4" s="114" t="s">
        <v>149</v>
      </c>
      <c r="I4" s="114" t="s">
        <v>149</v>
      </c>
      <c r="J4" s="114" t="s">
        <v>149</v>
      </c>
      <c r="K4" s="114" t="s">
        <v>149</v>
      </c>
      <c r="L4" s="114" t="s">
        <v>149</v>
      </c>
      <c r="M4" s="114" t="s">
        <v>149</v>
      </c>
      <c r="N4" s="114" t="s">
        <v>149</v>
      </c>
      <c r="O4" s="114" t="s">
        <v>149</v>
      </c>
      <c r="P4" s="623" t="s">
        <v>149</v>
      </c>
      <c r="Q4" s="624"/>
      <c r="R4" s="114" t="s">
        <v>149</v>
      </c>
      <c r="S4" s="623" t="s">
        <v>149</v>
      </c>
      <c r="T4" s="624"/>
      <c r="U4" s="114" t="s">
        <v>149</v>
      </c>
      <c r="V4" s="114" t="s">
        <v>149</v>
      </c>
      <c r="W4" s="114" t="s">
        <v>149</v>
      </c>
      <c r="X4" s="114" t="s">
        <v>149</v>
      </c>
      <c r="Y4" s="114" t="s">
        <v>149</v>
      </c>
      <c r="Z4" s="336" t="s">
        <v>149</v>
      </c>
      <c r="AA4" s="623" t="s">
        <v>149</v>
      </c>
      <c r="AB4" s="624"/>
    </row>
    <row r="5" spans="1:28" x14ac:dyDescent="0.25">
      <c r="A5" s="335">
        <v>2</v>
      </c>
      <c r="B5" s="163" t="s">
        <v>2</v>
      </c>
      <c r="C5" s="491" t="s">
        <v>123</v>
      </c>
      <c r="D5" s="491"/>
      <c r="E5" s="115" t="s">
        <v>123</v>
      </c>
      <c r="F5" s="115" t="s">
        <v>123</v>
      </c>
      <c r="G5" s="115" t="s">
        <v>123</v>
      </c>
      <c r="H5" s="115" t="s">
        <v>123</v>
      </c>
      <c r="I5" s="115" t="s">
        <v>123</v>
      </c>
      <c r="J5" s="115" t="s">
        <v>123</v>
      </c>
      <c r="K5" s="115" t="s">
        <v>123</v>
      </c>
      <c r="L5" s="115" t="s">
        <v>123</v>
      </c>
      <c r="M5" s="115" t="s">
        <v>123</v>
      </c>
      <c r="N5" s="115" t="s">
        <v>123</v>
      </c>
      <c r="O5" s="115" t="s">
        <v>123</v>
      </c>
      <c r="P5" s="432" t="s">
        <v>123</v>
      </c>
      <c r="Q5" s="433"/>
      <c r="R5" s="115" t="s">
        <v>123</v>
      </c>
      <c r="S5" s="432" t="s">
        <v>123</v>
      </c>
      <c r="T5" s="433"/>
      <c r="U5" s="115" t="s">
        <v>123</v>
      </c>
      <c r="V5" s="115" t="s">
        <v>123</v>
      </c>
      <c r="W5" s="115" t="s">
        <v>123</v>
      </c>
      <c r="X5" s="115" t="s">
        <v>123</v>
      </c>
      <c r="Y5" s="119" t="s">
        <v>123</v>
      </c>
      <c r="Z5" s="353" t="s">
        <v>123</v>
      </c>
      <c r="AA5" s="432" t="s">
        <v>123</v>
      </c>
      <c r="AB5" s="433"/>
    </row>
    <row r="6" spans="1:28" x14ac:dyDescent="0.25">
      <c r="A6" s="335">
        <v>3</v>
      </c>
      <c r="B6" s="163" t="s">
        <v>100</v>
      </c>
      <c r="C6" s="492">
        <v>5805.28</v>
      </c>
      <c r="D6" s="492"/>
      <c r="E6" s="85">
        <f>C6</f>
        <v>5805.28</v>
      </c>
      <c r="F6" s="85">
        <f>E6</f>
        <v>5805.28</v>
      </c>
      <c r="G6" s="85">
        <f>F6*1.025</f>
        <v>5950.4119999999994</v>
      </c>
      <c r="H6" s="85">
        <f t="shared" ref="H6:P6" si="0">G6</f>
        <v>5950.4119999999994</v>
      </c>
      <c r="I6" s="85">
        <f t="shared" si="0"/>
        <v>5950.4119999999994</v>
      </c>
      <c r="J6" s="85">
        <f t="shared" si="0"/>
        <v>5950.4119999999994</v>
      </c>
      <c r="K6" s="85">
        <f t="shared" si="0"/>
        <v>5950.4119999999994</v>
      </c>
      <c r="L6" s="85">
        <f t="shared" si="0"/>
        <v>5950.4119999999994</v>
      </c>
      <c r="M6" s="85">
        <f t="shared" si="0"/>
        <v>5950.4119999999994</v>
      </c>
      <c r="N6" s="85">
        <f t="shared" si="0"/>
        <v>5950.4119999999994</v>
      </c>
      <c r="O6" s="85">
        <f t="shared" si="0"/>
        <v>5950.4119999999994</v>
      </c>
      <c r="P6" s="447">
        <f t="shared" si="0"/>
        <v>5950.4119999999994</v>
      </c>
      <c r="Q6" s="448"/>
      <c r="R6" s="85">
        <f>P6</f>
        <v>5950.4119999999994</v>
      </c>
      <c r="S6" s="447">
        <f>R6</f>
        <v>5950.4119999999994</v>
      </c>
      <c r="T6" s="448"/>
      <c r="U6" s="85">
        <f>S6</f>
        <v>5950.4119999999994</v>
      </c>
      <c r="V6" s="85">
        <f t="shared" ref="V6:AA6" si="1">U6</f>
        <v>5950.4119999999994</v>
      </c>
      <c r="W6" s="85">
        <f t="shared" si="1"/>
        <v>5950.4119999999994</v>
      </c>
      <c r="X6" s="85">
        <f t="shared" si="1"/>
        <v>5950.4119999999994</v>
      </c>
      <c r="Y6" s="120">
        <f t="shared" si="1"/>
        <v>5950.4119999999994</v>
      </c>
      <c r="Z6" s="354">
        <f t="shared" si="1"/>
        <v>5950.4119999999994</v>
      </c>
      <c r="AA6" s="447">
        <f t="shared" si="1"/>
        <v>5950.4119999999994</v>
      </c>
      <c r="AB6" s="448"/>
    </row>
    <row r="7" spans="1:28" x14ac:dyDescent="0.25">
      <c r="A7" s="335">
        <v>4</v>
      </c>
      <c r="B7" s="163" t="s">
        <v>101</v>
      </c>
      <c r="C7" s="493" t="s">
        <v>155</v>
      </c>
      <c r="D7" s="493"/>
      <c r="E7" s="104" t="s">
        <v>155</v>
      </c>
      <c r="F7" s="104" t="s">
        <v>155</v>
      </c>
      <c r="G7" s="104" t="s">
        <v>155</v>
      </c>
      <c r="H7" s="104" t="s">
        <v>155</v>
      </c>
      <c r="I7" s="104" t="s">
        <v>155</v>
      </c>
      <c r="J7" s="104" t="s">
        <v>155</v>
      </c>
      <c r="K7" s="104" t="s">
        <v>155</v>
      </c>
      <c r="L7" s="104" t="s">
        <v>155</v>
      </c>
      <c r="M7" s="104" t="s">
        <v>155</v>
      </c>
      <c r="N7" s="104" t="s">
        <v>155</v>
      </c>
      <c r="O7" s="104" t="s">
        <v>155</v>
      </c>
      <c r="P7" s="449" t="s">
        <v>155</v>
      </c>
      <c r="Q7" s="450"/>
      <c r="R7" s="104" t="s">
        <v>155</v>
      </c>
      <c r="S7" s="449" t="s">
        <v>155</v>
      </c>
      <c r="T7" s="450"/>
      <c r="U7" s="104" t="s">
        <v>155</v>
      </c>
      <c r="V7" s="104" t="s">
        <v>155</v>
      </c>
      <c r="W7" s="104" t="s">
        <v>155</v>
      </c>
      <c r="X7" s="104" t="s">
        <v>155</v>
      </c>
      <c r="Y7" s="121" t="s">
        <v>155</v>
      </c>
      <c r="Z7" s="355" t="s">
        <v>155</v>
      </c>
      <c r="AA7" s="449" t="s">
        <v>155</v>
      </c>
      <c r="AB7" s="450"/>
    </row>
    <row r="8" spans="1:28" x14ac:dyDescent="0.25">
      <c r="A8" s="335">
        <v>5</v>
      </c>
      <c r="B8" s="163" t="s">
        <v>3</v>
      </c>
      <c r="C8" s="494">
        <v>43922</v>
      </c>
      <c r="D8" s="491"/>
      <c r="E8" s="86">
        <v>44287</v>
      </c>
      <c r="F8" s="86">
        <v>44287</v>
      </c>
      <c r="G8" s="86">
        <v>44287</v>
      </c>
      <c r="H8" s="86">
        <v>44287</v>
      </c>
      <c r="I8" s="86">
        <v>44287</v>
      </c>
      <c r="J8" s="86">
        <v>44287</v>
      </c>
      <c r="K8" s="86">
        <v>44287</v>
      </c>
      <c r="L8" s="86">
        <v>44287</v>
      </c>
      <c r="M8" s="86">
        <v>44287</v>
      </c>
      <c r="N8" s="86">
        <v>44287</v>
      </c>
      <c r="O8" s="86">
        <v>44287</v>
      </c>
      <c r="P8" s="443">
        <v>44287</v>
      </c>
      <c r="Q8" s="444"/>
      <c r="R8" s="86">
        <v>44287</v>
      </c>
      <c r="S8" s="443">
        <v>44287</v>
      </c>
      <c r="T8" s="444"/>
      <c r="U8" s="86">
        <v>44287</v>
      </c>
      <c r="V8" s="86">
        <v>44287</v>
      </c>
      <c r="W8" s="86">
        <v>44287</v>
      </c>
      <c r="X8" s="86">
        <v>44287</v>
      </c>
      <c r="Y8" s="122">
        <v>44287</v>
      </c>
      <c r="Z8" s="356">
        <v>44287</v>
      </c>
      <c r="AA8" s="443">
        <v>44287</v>
      </c>
      <c r="AB8" s="444"/>
    </row>
    <row r="9" spans="1:28" x14ac:dyDescent="0.25">
      <c r="A9" s="335">
        <v>6</v>
      </c>
      <c r="B9" s="163" t="s">
        <v>102</v>
      </c>
      <c r="C9" s="494" t="s">
        <v>154</v>
      </c>
      <c r="D9" s="491"/>
      <c r="E9" s="86" t="s">
        <v>222</v>
      </c>
      <c r="F9" s="86" t="s">
        <v>222</v>
      </c>
      <c r="G9" s="86" t="s">
        <v>222</v>
      </c>
      <c r="H9" s="86" t="s">
        <v>222</v>
      </c>
      <c r="I9" s="86" t="s">
        <v>222</v>
      </c>
      <c r="J9" s="86" t="s">
        <v>222</v>
      </c>
      <c r="K9" s="86" t="s">
        <v>222</v>
      </c>
      <c r="L9" s="86" t="s">
        <v>222</v>
      </c>
      <c r="M9" s="86" t="s">
        <v>222</v>
      </c>
      <c r="N9" s="86" t="s">
        <v>222</v>
      </c>
      <c r="O9" s="86" t="s">
        <v>222</v>
      </c>
      <c r="P9" s="443" t="s">
        <v>222</v>
      </c>
      <c r="Q9" s="444"/>
      <c r="R9" s="86" t="s">
        <v>222</v>
      </c>
      <c r="S9" s="443" t="s">
        <v>222</v>
      </c>
      <c r="T9" s="444"/>
      <c r="U9" s="86" t="s">
        <v>222</v>
      </c>
      <c r="V9" s="86" t="s">
        <v>222</v>
      </c>
      <c r="W9" s="86" t="s">
        <v>222</v>
      </c>
      <c r="X9" s="86" t="s">
        <v>222</v>
      </c>
      <c r="Y9" s="122" t="s">
        <v>222</v>
      </c>
      <c r="Z9" s="356" t="s">
        <v>222</v>
      </c>
      <c r="AA9" s="443" t="s">
        <v>222</v>
      </c>
      <c r="AB9" s="444"/>
    </row>
    <row r="10" spans="1:28" x14ac:dyDescent="0.25"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328"/>
      <c r="Q10" s="329"/>
      <c r="R10" s="115"/>
      <c r="S10" s="328"/>
      <c r="T10" s="329"/>
      <c r="U10" s="115"/>
      <c r="V10" s="115"/>
      <c r="W10" s="115"/>
      <c r="X10" s="115"/>
      <c r="Y10" s="119"/>
      <c r="Z10" s="353"/>
      <c r="AA10" s="370"/>
      <c r="AB10" s="371"/>
    </row>
    <row r="11" spans="1:28" ht="45" x14ac:dyDescent="0.25">
      <c r="A11" s="416" t="s">
        <v>76</v>
      </c>
      <c r="B11" s="416"/>
      <c r="C11" s="416"/>
      <c r="D11" s="416"/>
      <c r="E11" s="240" t="s">
        <v>227</v>
      </c>
      <c r="F11" s="240" t="s">
        <v>227</v>
      </c>
      <c r="G11" s="240" t="s">
        <v>230</v>
      </c>
      <c r="H11" s="240" t="s">
        <v>227</v>
      </c>
      <c r="I11" s="240" t="s">
        <v>227</v>
      </c>
      <c r="J11" s="240" t="s">
        <v>227</v>
      </c>
      <c r="K11" s="240" t="s">
        <v>227</v>
      </c>
      <c r="L11" s="240" t="s">
        <v>227</v>
      </c>
      <c r="M11" s="240" t="s">
        <v>227</v>
      </c>
      <c r="N11" s="240" t="s">
        <v>227</v>
      </c>
      <c r="O11" s="240" t="s">
        <v>227</v>
      </c>
      <c r="P11" s="328"/>
      <c r="Q11" s="224" t="s">
        <v>228</v>
      </c>
      <c r="R11" s="240" t="s">
        <v>227</v>
      </c>
      <c r="S11" s="328"/>
      <c r="T11" s="224" t="s">
        <v>229</v>
      </c>
      <c r="U11" s="240" t="s">
        <v>227</v>
      </c>
      <c r="V11" s="240" t="s">
        <v>227</v>
      </c>
      <c r="W11" s="240" t="s">
        <v>227</v>
      </c>
      <c r="X11" s="240" t="s">
        <v>227</v>
      </c>
      <c r="Y11" s="345" t="s">
        <v>227</v>
      </c>
      <c r="Z11" s="357" t="s">
        <v>227</v>
      </c>
      <c r="AA11" s="370"/>
      <c r="AB11" s="224" t="s">
        <v>284</v>
      </c>
    </row>
    <row r="12" spans="1:28" ht="59.25" customHeight="1" x14ac:dyDescent="0.25">
      <c r="A12" s="332">
        <v>1</v>
      </c>
      <c r="B12" s="476" t="s">
        <v>4</v>
      </c>
      <c r="C12" s="476"/>
      <c r="D12" s="333" t="s">
        <v>5</v>
      </c>
      <c r="E12" s="169" t="s">
        <v>172</v>
      </c>
      <c r="F12" s="169" t="s">
        <v>173</v>
      </c>
      <c r="G12" s="169" t="s">
        <v>174</v>
      </c>
      <c r="H12" s="169" t="s">
        <v>175</v>
      </c>
      <c r="I12" s="169" t="s">
        <v>176</v>
      </c>
      <c r="J12" s="169" t="s">
        <v>177</v>
      </c>
      <c r="K12" s="169" t="s">
        <v>178</v>
      </c>
      <c r="L12" s="169" t="s">
        <v>167</v>
      </c>
      <c r="M12" s="169" t="s">
        <v>179</v>
      </c>
      <c r="N12" s="169" t="s">
        <v>180</v>
      </c>
      <c r="O12" s="169" t="s">
        <v>181</v>
      </c>
      <c r="P12" s="328"/>
      <c r="Q12" s="334" t="s">
        <v>182</v>
      </c>
      <c r="R12" s="169" t="s">
        <v>220</v>
      </c>
      <c r="S12" s="328"/>
      <c r="T12" s="334" t="s">
        <v>221</v>
      </c>
      <c r="U12" s="169" t="s">
        <v>183</v>
      </c>
      <c r="V12" s="169" t="s">
        <v>184</v>
      </c>
      <c r="W12" s="169" t="s">
        <v>185</v>
      </c>
      <c r="X12" s="169" t="s">
        <v>186</v>
      </c>
      <c r="Y12" s="337" t="s">
        <v>223</v>
      </c>
      <c r="Z12" s="326" t="s">
        <v>231</v>
      </c>
      <c r="AA12" s="370"/>
      <c r="AB12" s="378" t="s">
        <v>285</v>
      </c>
    </row>
    <row r="13" spans="1:28" x14ac:dyDescent="0.25">
      <c r="A13" s="346" t="s">
        <v>6</v>
      </c>
      <c r="B13" s="475" t="s">
        <v>7</v>
      </c>
      <c r="C13" s="475"/>
      <c r="D13" s="347">
        <f>C6</f>
        <v>5805.28</v>
      </c>
      <c r="E13" s="105">
        <f t="shared" ref="E13:O13" si="2">E6</f>
        <v>5805.28</v>
      </c>
      <c r="F13" s="83">
        <f t="shared" si="2"/>
        <v>5805.28</v>
      </c>
      <c r="G13" s="83">
        <f t="shared" si="2"/>
        <v>5950.4119999999994</v>
      </c>
      <c r="H13" s="83">
        <f t="shared" si="2"/>
        <v>5950.4119999999994</v>
      </c>
      <c r="I13" s="83">
        <f t="shared" si="2"/>
        <v>5950.4119999999994</v>
      </c>
      <c r="J13" s="83">
        <f t="shared" si="2"/>
        <v>5950.4119999999994</v>
      </c>
      <c r="K13" s="83">
        <f t="shared" si="2"/>
        <v>5950.4119999999994</v>
      </c>
      <c r="L13" s="83">
        <f t="shared" si="2"/>
        <v>5950.4119999999994</v>
      </c>
      <c r="M13" s="83">
        <f t="shared" si="2"/>
        <v>5950.4119999999994</v>
      </c>
      <c r="N13" s="83">
        <f t="shared" si="2"/>
        <v>5950.4119999999994</v>
      </c>
      <c r="O13" s="83">
        <f t="shared" si="2"/>
        <v>5950.4119999999994</v>
      </c>
      <c r="P13" s="328"/>
      <c r="Q13" s="92">
        <f t="shared" ref="Q13:T13" si="3">P6</f>
        <v>5950.4119999999994</v>
      </c>
      <c r="R13" s="105">
        <f>R6</f>
        <v>5950.4119999999994</v>
      </c>
      <c r="S13" s="328"/>
      <c r="T13" s="92">
        <f t="shared" si="3"/>
        <v>5950.4119999999994</v>
      </c>
      <c r="U13" s="105">
        <f t="shared" ref="U13:Z13" si="4">U6</f>
        <v>5950.4119999999994</v>
      </c>
      <c r="V13" s="105">
        <f t="shared" si="4"/>
        <v>5950.4119999999994</v>
      </c>
      <c r="W13" s="105">
        <f t="shared" si="4"/>
        <v>5950.4119999999994</v>
      </c>
      <c r="X13" s="105">
        <f t="shared" si="4"/>
        <v>5950.4119999999994</v>
      </c>
      <c r="Y13" s="123">
        <f t="shared" si="4"/>
        <v>5950.4119999999994</v>
      </c>
      <c r="Z13" s="358">
        <f t="shared" si="4"/>
        <v>5950.4119999999994</v>
      </c>
      <c r="AA13" s="370"/>
      <c r="AB13" s="366">
        <f>AA6</f>
        <v>5950.4119999999994</v>
      </c>
    </row>
    <row r="14" spans="1:28" x14ac:dyDescent="0.25">
      <c r="A14" s="346" t="s">
        <v>8</v>
      </c>
      <c r="B14" s="475" t="s">
        <v>9</v>
      </c>
      <c r="C14" s="475"/>
      <c r="D14" s="348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328"/>
      <c r="Q14" s="92">
        <v>0</v>
      </c>
      <c r="R14" s="83">
        <v>0</v>
      </c>
      <c r="S14" s="328"/>
      <c r="T14" s="92">
        <v>0</v>
      </c>
      <c r="U14" s="83">
        <v>0</v>
      </c>
      <c r="V14" s="83">
        <v>0</v>
      </c>
      <c r="W14" s="83">
        <v>0</v>
      </c>
      <c r="X14" s="83">
        <v>0</v>
      </c>
      <c r="Y14" s="91">
        <v>0</v>
      </c>
      <c r="Z14" s="359">
        <v>0</v>
      </c>
      <c r="AA14" s="370"/>
      <c r="AB14" s="92">
        <v>0</v>
      </c>
    </row>
    <row r="15" spans="1:28" x14ac:dyDescent="0.25">
      <c r="A15" s="346" t="s">
        <v>10</v>
      </c>
      <c r="B15" s="475" t="s">
        <v>11</v>
      </c>
      <c r="C15" s="475"/>
      <c r="D15" s="348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328"/>
      <c r="Q15" s="92">
        <v>0</v>
      </c>
      <c r="R15" s="83">
        <v>0</v>
      </c>
      <c r="S15" s="328"/>
      <c r="T15" s="92">
        <v>0</v>
      </c>
      <c r="U15" s="83">
        <v>0</v>
      </c>
      <c r="V15" s="83">
        <v>0</v>
      </c>
      <c r="W15" s="83">
        <v>0</v>
      </c>
      <c r="X15" s="83">
        <v>0</v>
      </c>
      <c r="Y15" s="91">
        <v>0</v>
      </c>
      <c r="Z15" s="359">
        <v>0</v>
      </c>
      <c r="AA15" s="370"/>
      <c r="AB15" s="92">
        <v>0</v>
      </c>
    </row>
    <row r="16" spans="1:28" x14ac:dyDescent="0.25">
      <c r="A16" s="346" t="s">
        <v>12</v>
      </c>
      <c r="B16" s="475" t="s">
        <v>13</v>
      </c>
      <c r="C16" s="475"/>
      <c r="D16" s="348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328"/>
      <c r="Q16" s="92">
        <v>0</v>
      </c>
      <c r="R16" s="83">
        <v>0</v>
      </c>
      <c r="S16" s="328"/>
      <c r="T16" s="92">
        <v>0</v>
      </c>
      <c r="U16" s="83">
        <v>0</v>
      </c>
      <c r="V16" s="83">
        <v>0</v>
      </c>
      <c r="W16" s="83">
        <v>0</v>
      </c>
      <c r="X16" s="83">
        <v>0</v>
      </c>
      <c r="Y16" s="91">
        <v>0</v>
      </c>
      <c r="Z16" s="359">
        <v>0</v>
      </c>
      <c r="AA16" s="370"/>
      <c r="AB16" s="92">
        <v>0</v>
      </c>
    </row>
    <row r="17" spans="1:28" x14ac:dyDescent="0.25">
      <c r="A17" s="346" t="s">
        <v>14</v>
      </c>
      <c r="B17" s="475" t="s">
        <v>15</v>
      </c>
      <c r="C17" s="475"/>
      <c r="D17" s="348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83">
        <v>0</v>
      </c>
      <c r="P17" s="328"/>
      <c r="Q17" s="92">
        <v>0</v>
      </c>
      <c r="R17" s="83">
        <v>0</v>
      </c>
      <c r="S17" s="328"/>
      <c r="T17" s="92">
        <v>0</v>
      </c>
      <c r="U17" s="83">
        <v>0</v>
      </c>
      <c r="V17" s="83">
        <v>0</v>
      </c>
      <c r="W17" s="83">
        <v>0</v>
      </c>
      <c r="X17" s="83">
        <v>0</v>
      </c>
      <c r="Y17" s="91">
        <v>0</v>
      </c>
      <c r="Z17" s="359">
        <v>0</v>
      </c>
      <c r="AA17" s="370"/>
      <c r="AB17" s="92">
        <v>0</v>
      </c>
    </row>
    <row r="18" spans="1:28" x14ac:dyDescent="0.25">
      <c r="A18" s="346" t="s">
        <v>16</v>
      </c>
      <c r="B18" s="475" t="s">
        <v>17</v>
      </c>
      <c r="C18" s="475"/>
      <c r="D18" s="348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328"/>
      <c r="Q18" s="92">
        <v>0</v>
      </c>
      <c r="R18" s="83">
        <v>0</v>
      </c>
      <c r="S18" s="328"/>
      <c r="T18" s="92">
        <v>0</v>
      </c>
      <c r="U18" s="83">
        <v>0</v>
      </c>
      <c r="V18" s="83">
        <v>0</v>
      </c>
      <c r="W18" s="83">
        <v>0</v>
      </c>
      <c r="X18" s="83">
        <v>0</v>
      </c>
      <c r="Y18" s="91">
        <v>0</v>
      </c>
      <c r="Z18" s="359">
        <v>0</v>
      </c>
      <c r="AA18" s="370"/>
      <c r="AB18" s="92">
        <v>0</v>
      </c>
    </row>
    <row r="19" spans="1:28" x14ac:dyDescent="0.25">
      <c r="A19" s="467" t="s">
        <v>18</v>
      </c>
      <c r="B19" s="467"/>
      <c r="C19" s="467"/>
      <c r="D19" s="347">
        <f>SUM(D13:D18)</f>
        <v>5805.28</v>
      </c>
      <c r="E19" s="83">
        <f>SUM(E13:E18)</f>
        <v>5805.28</v>
      </c>
      <c r="F19" s="83">
        <f t="shared" ref="F19:G19" si="5">SUM(F13:F18)</f>
        <v>5805.28</v>
      </c>
      <c r="G19" s="83">
        <f t="shared" si="5"/>
        <v>5950.4119999999994</v>
      </c>
      <c r="H19" s="83">
        <f>SUM(H13:H18)</f>
        <v>5950.4119999999994</v>
      </c>
      <c r="I19" s="83">
        <f>SUM(I13:I18)</f>
        <v>5950.4119999999994</v>
      </c>
      <c r="J19" s="83">
        <f t="shared" ref="J19:O19" si="6">SUM(J13:J18)</f>
        <v>5950.4119999999994</v>
      </c>
      <c r="K19" s="83">
        <f t="shared" si="6"/>
        <v>5950.4119999999994</v>
      </c>
      <c r="L19" s="83">
        <f t="shared" si="6"/>
        <v>5950.4119999999994</v>
      </c>
      <c r="M19" s="83">
        <f t="shared" si="6"/>
        <v>5950.4119999999994</v>
      </c>
      <c r="N19" s="83">
        <f t="shared" si="6"/>
        <v>5950.4119999999994</v>
      </c>
      <c r="O19" s="83">
        <f t="shared" si="6"/>
        <v>5950.4119999999994</v>
      </c>
      <c r="P19" s="328"/>
      <c r="Q19" s="92">
        <f t="shared" ref="Q19:R19" si="7">SUM(Q13:Q18)</f>
        <v>5950.4119999999994</v>
      </c>
      <c r="R19" s="83">
        <f t="shared" si="7"/>
        <v>5950.4119999999994</v>
      </c>
      <c r="S19" s="328"/>
      <c r="T19" s="92">
        <f t="shared" ref="T19:Z19" si="8">SUM(T13:T18)</f>
        <v>5950.4119999999994</v>
      </c>
      <c r="U19" s="83">
        <f t="shared" si="8"/>
        <v>5950.4119999999994</v>
      </c>
      <c r="V19" s="83">
        <f t="shared" si="8"/>
        <v>5950.4119999999994</v>
      </c>
      <c r="W19" s="83">
        <f t="shared" si="8"/>
        <v>5950.4119999999994</v>
      </c>
      <c r="X19" s="83">
        <f t="shared" si="8"/>
        <v>5950.4119999999994</v>
      </c>
      <c r="Y19" s="91">
        <f t="shared" si="8"/>
        <v>5950.4119999999994</v>
      </c>
      <c r="Z19" s="359">
        <f t="shared" si="8"/>
        <v>5950.4119999999994</v>
      </c>
      <c r="AA19" s="370"/>
      <c r="AB19" s="92">
        <f t="shared" ref="AB19" si="9">SUM(AB13:AB18)</f>
        <v>5950.4119999999994</v>
      </c>
    </row>
    <row r="20" spans="1:28" x14ac:dyDescent="0.25">
      <c r="A20" s="511" t="s">
        <v>19</v>
      </c>
      <c r="B20" s="511"/>
      <c r="C20" s="511"/>
      <c r="D20" s="511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28"/>
      <c r="Q20" s="329"/>
      <c r="R20" s="115"/>
      <c r="S20" s="328"/>
      <c r="T20" s="329"/>
      <c r="U20" s="115"/>
      <c r="V20" s="115"/>
      <c r="W20" s="115"/>
      <c r="X20" s="115"/>
      <c r="Y20" s="119"/>
      <c r="Z20" s="353"/>
      <c r="AA20" s="370"/>
      <c r="AB20" s="371"/>
    </row>
    <row r="21" spans="1:28" x14ac:dyDescent="0.25"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328"/>
      <c r="Q21" s="329"/>
      <c r="R21" s="115"/>
      <c r="S21" s="328"/>
      <c r="T21" s="329"/>
      <c r="U21" s="115"/>
      <c r="V21" s="115"/>
      <c r="W21" s="115"/>
      <c r="X21" s="115"/>
      <c r="Y21" s="119"/>
      <c r="Z21" s="353"/>
      <c r="AA21" s="370"/>
      <c r="AB21" s="371"/>
    </row>
    <row r="22" spans="1:28" x14ac:dyDescent="0.25">
      <c r="A22" s="467" t="s">
        <v>20</v>
      </c>
      <c r="B22" s="467"/>
      <c r="C22" s="467"/>
      <c r="D22" s="467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247"/>
      <c r="Q22" s="329"/>
      <c r="R22" s="115"/>
      <c r="S22" s="328"/>
      <c r="T22" s="329"/>
      <c r="U22" s="115"/>
      <c r="V22" s="115"/>
      <c r="W22" s="115"/>
      <c r="X22" s="115"/>
      <c r="Y22" s="119"/>
      <c r="Z22" s="353"/>
      <c r="AA22" s="370"/>
      <c r="AB22" s="371"/>
    </row>
    <row r="23" spans="1:28" x14ac:dyDescent="0.25">
      <c r="A23" s="467" t="s">
        <v>164</v>
      </c>
      <c r="B23" s="467"/>
      <c r="C23" s="467"/>
      <c r="D23" s="467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247"/>
      <c r="Q23" s="329"/>
      <c r="R23" s="115"/>
      <c r="S23" s="328"/>
      <c r="T23" s="329"/>
      <c r="U23" s="115"/>
      <c r="V23" s="115"/>
      <c r="W23" s="115"/>
      <c r="X23" s="115"/>
      <c r="Y23" s="119"/>
      <c r="Z23" s="353"/>
      <c r="AA23" s="370"/>
      <c r="AB23" s="371"/>
    </row>
    <row r="24" spans="1:28" x14ac:dyDescent="0.25">
      <c r="A24" s="327" t="s">
        <v>21</v>
      </c>
      <c r="B24" s="327" t="s">
        <v>163</v>
      </c>
      <c r="C24" s="333" t="s">
        <v>26</v>
      </c>
      <c r="D24" s="327" t="s">
        <v>5</v>
      </c>
      <c r="E24" s="169" t="s">
        <v>5</v>
      </c>
      <c r="F24" s="169" t="s">
        <v>5</v>
      </c>
      <c r="G24" s="169" t="s">
        <v>5</v>
      </c>
      <c r="H24" s="169" t="s">
        <v>5</v>
      </c>
      <c r="I24" s="169" t="s">
        <v>5</v>
      </c>
      <c r="J24" s="169" t="s">
        <v>5</v>
      </c>
      <c r="K24" s="169" t="s">
        <v>5</v>
      </c>
      <c r="L24" s="169" t="s">
        <v>5</v>
      </c>
      <c r="M24" s="169" t="s">
        <v>5</v>
      </c>
      <c r="N24" s="169" t="s">
        <v>5</v>
      </c>
      <c r="O24" s="169" t="s">
        <v>5</v>
      </c>
      <c r="P24" s="245"/>
      <c r="Q24" s="334" t="s">
        <v>5</v>
      </c>
      <c r="R24" s="169" t="s">
        <v>5</v>
      </c>
      <c r="S24" s="245"/>
      <c r="T24" s="334" t="s">
        <v>5</v>
      </c>
      <c r="U24" s="169" t="s">
        <v>5</v>
      </c>
      <c r="V24" s="169" t="s">
        <v>5</v>
      </c>
      <c r="W24" s="169" t="s">
        <v>5</v>
      </c>
      <c r="X24" s="169" t="s">
        <v>5</v>
      </c>
      <c r="Y24" s="337" t="s">
        <v>5</v>
      </c>
      <c r="Z24" s="326" t="s">
        <v>5</v>
      </c>
      <c r="AA24" s="245"/>
      <c r="AB24" s="378" t="s">
        <v>5</v>
      </c>
    </row>
    <row r="25" spans="1:28" x14ac:dyDescent="0.25">
      <c r="A25" s="346" t="s">
        <v>6</v>
      </c>
      <c r="B25" s="182" t="s">
        <v>22</v>
      </c>
      <c r="C25" s="183">
        <f>(1/11)</f>
        <v>9.0909090909090912E-2</v>
      </c>
      <c r="D25" s="205">
        <f>C25*$D$19</f>
        <v>527.75272727272727</v>
      </c>
      <c r="E25" s="83">
        <f t="shared" ref="E25:O26" si="10">$C25*E$19</f>
        <v>527.75272727272727</v>
      </c>
      <c r="F25" s="83">
        <f t="shared" si="10"/>
        <v>527.75272727272727</v>
      </c>
      <c r="G25" s="83">
        <f t="shared" si="10"/>
        <v>540.94654545454546</v>
      </c>
      <c r="H25" s="83">
        <f t="shared" si="10"/>
        <v>540.94654545454546</v>
      </c>
      <c r="I25" s="83">
        <f t="shared" si="10"/>
        <v>540.94654545454546</v>
      </c>
      <c r="J25" s="83">
        <f t="shared" si="10"/>
        <v>540.94654545454546</v>
      </c>
      <c r="K25" s="83">
        <f t="shared" si="10"/>
        <v>540.94654545454546</v>
      </c>
      <c r="L25" s="83">
        <f t="shared" si="10"/>
        <v>540.94654545454546</v>
      </c>
      <c r="M25" s="83">
        <f t="shared" si="10"/>
        <v>540.94654545454546</v>
      </c>
      <c r="N25" s="83">
        <f t="shared" si="10"/>
        <v>540.94654545454546</v>
      </c>
      <c r="O25" s="83">
        <f t="shared" si="10"/>
        <v>540.94654545454546</v>
      </c>
      <c r="P25" s="117"/>
      <c r="Q25" s="92">
        <f>$C25*Q$19</f>
        <v>540.94654545454546</v>
      </c>
      <c r="R25" s="83">
        <f>$C25*R$19</f>
        <v>540.94654545454546</v>
      </c>
      <c r="S25" s="117"/>
      <c r="T25" s="92">
        <f t="shared" ref="T25:Z26" si="11">$C25*T$19</f>
        <v>540.94654545454546</v>
      </c>
      <c r="U25" s="83">
        <f t="shared" si="11"/>
        <v>540.94654545454546</v>
      </c>
      <c r="V25" s="83">
        <f t="shared" si="11"/>
        <v>540.94654545454546</v>
      </c>
      <c r="W25" s="83">
        <f t="shared" si="11"/>
        <v>540.94654545454546</v>
      </c>
      <c r="X25" s="83">
        <f t="shared" si="11"/>
        <v>540.94654545454546</v>
      </c>
      <c r="Y25" s="91">
        <f t="shared" si="11"/>
        <v>540.94654545454546</v>
      </c>
      <c r="Z25" s="359">
        <f t="shared" si="11"/>
        <v>540.94654545454546</v>
      </c>
      <c r="AA25" s="117"/>
      <c r="AB25" s="92">
        <f t="shared" ref="AB25" si="12">$C25*AB$19</f>
        <v>540.94654545454546</v>
      </c>
    </row>
    <row r="26" spans="1:28" x14ac:dyDescent="0.25">
      <c r="A26" s="346" t="s">
        <v>8</v>
      </c>
      <c r="B26" s="182" t="s">
        <v>162</v>
      </c>
      <c r="C26" s="183">
        <f>((1/3)*(1/11))+1/11</f>
        <v>0.12121212121212122</v>
      </c>
      <c r="D26" s="205">
        <f>C26*$D$19</f>
        <v>703.67030303030299</v>
      </c>
      <c r="E26" s="83">
        <f t="shared" si="10"/>
        <v>703.67030303030299</v>
      </c>
      <c r="F26" s="83">
        <f t="shared" si="10"/>
        <v>703.67030303030299</v>
      </c>
      <c r="G26" s="83">
        <f t="shared" si="10"/>
        <v>721.26206060606057</v>
      </c>
      <c r="H26" s="83">
        <f t="shared" si="10"/>
        <v>721.26206060606057</v>
      </c>
      <c r="I26" s="83">
        <f t="shared" si="10"/>
        <v>721.26206060606057</v>
      </c>
      <c r="J26" s="83">
        <f t="shared" si="10"/>
        <v>721.26206060606057</v>
      </c>
      <c r="K26" s="83">
        <f t="shared" si="10"/>
        <v>721.26206060606057</v>
      </c>
      <c r="L26" s="83">
        <f t="shared" si="10"/>
        <v>721.26206060606057</v>
      </c>
      <c r="M26" s="83">
        <f t="shared" si="10"/>
        <v>721.26206060606057</v>
      </c>
      <c r="N26" s="83">
        <f t="shared" si="10"/>
        <v>721.26206060606057</v>
      </c>
      <c r="O26" s="83">
        <f t="shared" si="10"/>
        <v>721.26206060606057</v>
      </c>
      <c r="P26" s="117"/>
      <c r="Q26" s="92">
        <f>$C26*Q$19</f>
        <v>721.26206060606057</v>
      </c>
      <c r="R26" s="83">
        <f>$C26*R$19</f>
        <v>721.26206060606057</v>
      </c>
      <c r="S26" s="117"/>
      <c r="T26" s="92">
        <f t="shared" si="11"/>
        <v>721.26206060606057</v>
      </c>
      <c r="U26" s="83">
        <f t="shared" si="11"/>
        <v>721.26206060606057</v>
      </c>
      <c r="V26" s="83">
        <f t="shared" si="11"/>
        <v>721.26206060606057</v>
      </c>
      <c r="W26" s="83">
        <f t="shared" si="11"/>
        <v>721.26206060606057</v>
      </c>
      <c r="X26" s="83">
        <f t="shared" si="11"/>
        <v>721.26206060606057</v>
      </c>
      <c r="Y26" s="91">
        <f t="shared" si="11"/>
        <v>721.26206060606057</v>
      </c>
      <c r="Z26" s="359">
        <f t="shared" si="11"/>
        <v>721.26206060606057</v>
      </c>
      <c r="AA26" s="117"/>
      <c r="AB26" s="92">
        <f>$C26*AB$19</f>
        <v>721.26206060606057</v>
      </c>
    </row>
    <row r="27" spans="1:28" x14ac:dyDescent="0.25">
      <c r="A27" s="467" t="s">
        <v>18</v>
      </c>
      <c r="B27" s="467"/>
      <c r="C27" s="186">
        <f t="shared" ref="C27:O27" si="13">SUM(C25:C26)</f>
        <v>0.21212121212121213</v>
      </c>
      <c r="D27" s="205">
        <f t="shared" si="13"/>
        <v>1231.4230303030304</v>
      </c>
      <c r="E27" s="83">
        <f t="shared" si="13"/>
        <v>1231.4230303030304</v>
      </c>
      <c r="F27" s="83">
        <f t="shared" si="13"/>
        <v>1231.4230303030304</v>
      </c>
      <c r="G27" s="83">
        <f t="shared" si="13"/>
        <v>1262.2086060606061</v>
      </c>
      <c r="H27" s="83">
        <f t="shared" si="13"/>
        <v>1262.2086060606061</v>
      </c>
      <c r="I27" s="83">
        <f t="shared" si="13"/>
        <v>1262.2086060606061</v>
      </c>
      <c r="J27" s="83">
        <f t="shared" si="13"/>
        <v>1262.2086060606061</v>
      </c>
      <c r="K27" s="83">
        <f t="shared" si="13"/>
        <v>1262.2086060606061</v>
      </c>
      <c r="L27" s="83">
        <f t="shared" si="13"/>
        <v>1262.2086060606061</v>
      </c>
      <c r="M27" s="83">
        <f t="shared" si="13"/>
        <v>1262.2086060606061</v>
      </c>
      <c r="N27" s="83">
        <f t="shared" si="13"/>
        <v>1262.2086060606061</v>
      </c>
      <c r="O27" s="83">
        <f t="shared" si="13"/>
        <v>1262.2086060606061</v>
      </c>
      <c r="P27" s="117"/>
      <c r="Q27" s="92">
        <f>SUM(Q25:Q26)</f>
        <v>1262.2086060606061</v>
      </c>
      <c r="R27" s="83">
        <f>SUM(R25:R26)</f>
        <v>1262.2086060606061</v>
      </c>
      <c r="S27" s="117"/>
      <c r="T27" s="92">
        <f t="shared" ref="T27:Z27" si="14">SUM(T25:T26)</f>
        <v>1262.2086060606061</v>
      </c>
      <c r="U27" s="83">
        <f t="shared" si="14"/>
        <v>1262.2086060606061</v>
      </c>
      <c r="V27" s="83">
        <f t="shared" si="14"/>
        <v>1262.2086060606061</v>
      </c>
      <c r="W27" s="83">
        <f t="shared" si="14"/>
        <v>1262.2086060606061</v>
      </c>
      <c r="X27" s="83">
        <f t="shared" si="14"/>
        <v>1262.2086060606061</v>
      </c>
      <c r="Y27" s="91">
        <f t="shared" si="14"/>
        <v>1262.2086060606061</v>
      </c>
      <c r="Z27" s="359">
        <f t="shared" si="14"/>
        <v>1262.2086060606061</v>
      </c>
      <c r="AA27" s="117"/>
      <c r="AB27" s="92">
        <f>SUM(AB25:AB26)</f>
        <v>1262.2086060606061</v>
      </c>
    </row>
    <row r="28" spans="1:28" x14ac:dyDescent="0.25">
      <c r="A28" s="502" t="s">
        <v>103</v>
      </c>
      <c r="B28" s="502"/>
      <c r="C28" s="502"/>
      <c r="D28" s="502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247"/>
      <c r="Q28" s="329"/>
      <c r="R28" s="115"/>
      <c r="S28" s="328"/>
      <c r="T28" s="329"/>
      <c r="U28" s="115"/>
      <c r="V28" s="115"/>
      <c r="W28" s="115"/>
      <c r="X28" s="115"/>
      <c r="Y28" s="119"/>
      <c r="Z28" s="353"/>
      <c r="AA28" s="370"/>
      <c r="AB28" s="371"/>
    </row>
    <row r="29" spans="1:28" x14ac:dyDescent="0.25">
      <c r="A29" s="502" t="s">
        <v>104</v>
      </c>
      <c r="B29" s="502"/>
      <c r="C29" s="502"/>
      <c r="D29" s="502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247"/>
      <c r="Q29" s="329"/>
      <c r="R29" s="115"/>
      <c r="S29" s="328"/>
      <c r="T29" s="329"/>
      <c r="U29" s="115"/>
      <c r="V29" s="115"/>
      <c r="W29" s="115"/>
      <c r="X29" s="115"/>
      <c r="Y29" s="119"/>
      <c r="Z29" s="353"/>
      <c r="AA29" s="370"/>
      <c r="AB29" s="371"/>
    </row>
    <row r="30" spans="1:28" x14ac:dyDescent="0.25">
      <c r="A30" s="502" t="s">
        <v>105</v>
      </c>
      <c r="B30" s="502"/>
      <c r="C30" s="502"/>
      <c r="D30" s="502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328"/>
      <c r="Q30" s="329"/>
      <c r="R30" s="115"/>
      <c r="S30" s="328"/>
      <c r="T30" s="329"/>
      <c r="U30" s="115"/>
      <c r="V30" s="115"/>
      <c r="W30" s="115"/>
      <c r="X30" s="115"/>
      <c r="Y30" s="119"/>
      <c r="Z30" s="353"/>
      <c r="AA30" s="370"/>
      <c r="AB30" s="371"/>
    </row>
    <row r="31" spans="1:28" x14ac:dyDescent="0.25"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328"/>
      <c r="Q31" s="329"/>
      <c r="R31" s="115"/>
      <c r="S31" s="328"/>
      <c r="T31" s="329"/>
      <c r="U31" s="115"/>
      <c r="V31" s="115"/>
      <c r="W31" s="115"/>
      <c r="X31" s="115"/>
      <c r="Y31" s="119"/>
      <c r="Z31" s="353"/>
      <c r="AA31" s="370"/>
      <c r="AB31" s="371"/>
    </row>
    <row r="32" spans="1:28" x14ac:dyDescent="0.25">
      <c r="A32" s="472" t="s">
        <v>23</v>
      </c>
      <c r="B32" s="472"/>
      <c r="C32" s="472"/>
      <c r="D32" s="472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70"/>
      <c r="Q32" s="329"/>
      <c r="R32" s="115"/>
      <c r="S32" s="328"/>
      <c r="T32" s="329"/>
      <c r="U32" s="115"/>
      <c r="V32" s="115"/>
      <c r="W32" s="115"/>
      <c r="X32" s="115"/>
      <c r="Y32" s="119"/>
      <c r="Z32" s="353"/>
      <c r="AA32" s="370"/>
      <c r="AB32" s="371"/>
    </row>
    <row r="33" spans="1:28" x14ac:dyDescent="0.25">
      <c r="A33" s="332" t="s">
        <v>24</v>
      </c>
      <c r="B33" s="333" t="s">
        <v>25</v>
      </c>
      <c r="C33" s="333" t="s">
        <v>26</v>
      </c>
      <c r="D33" s="332" t="s">
        <v>5</v>
      </c>
      <c r="E33" s="189" t="s">
        <v>5</v>
      </c>
      <c r="F33" s="189" t="s">
        <v>5</v>
      </c>
      <c r="G33" s="189" t="s">
        <v>5</v>
      </c>
      <c r="H33" s="189" t="s">
        <v>5</v>
      </c>
      <c r="I33" s="189" t="s">
        <v>5</v>
      </c>
      <c r="J33" s="189" t="s">
        <v>5</v>
      </c>
      <c r="K33" s="189" t="s">
        <v>5</v>
      </c>
      <c r="L33" s="189" t="s">
        <v>5</v>
      </c>
      <c r="M33" s="189" t="s">
        <v>5</v>
      </c>
      <c r="N33" s="189" t="s">
        <v>5</v>
      </c>
      <c r="O33" s="189" t="s">
        <v>5</v>
      </c>
      <c r="P33" s="197" t="s">
        <v>26</v>
      </c>
      <c r="Q33" s="93" t="s">
        <v>5</v>
      </c>
      <c r="R33" s="189" t="s">
        <v>5</v>
      </c>
      <c r="S33" s="245"/>
      <c r="T33" s="93" t="s">
        <v>5</v>
      </c>
      <c r="U33" s="189" t="s">
        <v>5</v>
      </c>
      <c r="V33" s="189" t="s">
        <v>5</v>
      </c>
      <c r="W33" s="189" t="s">
        <v>5</v>
      </c>
      <c r="X33" s="189" t="s">
        <v>5</v>
      </c>
      <c r="Y33" s="338" t="s">
        <v>5</v>
      </c>
      <c r="Z33" s="360" t="s">
        <v>5</v>
      </c>
      <c r="AA33" s="197" t="s">
        <v>26</v>
      </c>
      <c r="AB33" s="93" t="s">
        <v>5</v>
      </c>
    </row>
    <row r="34" spans="1:28" x14ac:dyDescent="0.25">
      <c r="A34" s="346" t="s">
        <v>6</v>
      </c>
      <c r="B34" s="182" t="s">
        <v>27</v>
      </c>
      <c r="C34" s="191">
        <v>0</v>
      </c>
      <c r="D34" s="349">
        <f>C34*($D$19+$D$27)</f>
        <v>0</v>
      </c>
      <c r="E34" s="83">
        <f t="shared" ref="E34:E41" si="15">$C34*(E$19+E$27)</f>
        <v>0</v>
      </c>
      <c r="F34" s="83">
        <f t="shared" ref="F34:O41" si="16">$C34*(F$19+F$27)</f>
        <v>0</v>
      </c>
      <c r="G34" s="83">
        <f t="shared" si="16"/>
        <v>0</v>
      </c>
      <c r="H34" s="83">
        <f t="shared" si="16"/>
        <v>0</v>
      </c>
      <c r="I34" s="83">
        <f t="shared" si="16"/>
        <v>0</v>
      </c>
      <c r="J34" s="83">
        <f t="shared" si="16"/>
        <v>0</v>
      </c>
      <c r="K34" s="83">
        <f t="shared" si="16"/>
        <v>0</v>
      </c>
      <c r="L34" s="83">
        <f t="shared" si="16"/>
        <v>0</v>
      </c>
      <c r="M34" s="83">
        <f t="shared" si="16"/>
        <v>0</v>
      </c>
      <c r="N34" s="83">
        <f t="shared" si="16"/>
        <v>0</v>
      </c>
      <c r="O34" s="83">
        <f t="shared" si="16"/>
        <v>0</v>
      </c>
      <c r="P34" s="107">
        <v>0</v>
      </c>
      <c r="Q34" s="92">
        <f t="shared" ref="Q34:Z34" si="17">P34*(Q$19+Q$27)</f>
        <v>0</v>
      </c>
      <c r="R34" s="83">
        <f t="shared" si="17"/>
        <v>0</v>
      </c>
      <c r="S34" s="117"/>
      <c r="T34" s="92">
        <f t="shared" si="17"/>
        <v>0</v>
      </c>
      <c r="U34" s="83">
        <f t="shared" si="17"/>
        <v>0</v>
      </c>
      <c r="V34" s="83">
        <f t="shared" si="17"/>
        <v>0</v>
      </c>
      <c r="W34" s="83">
        <f t="shared" si="17"/>
        <v>0</v>
      </c>
      <c r="X34" s="83">
        <f t="shared" si="17"/>
        <v>0</v>
      </c>
      <c r="Y34" s="91">
        <f t="shared" si="17"/>
        <v>0</v>
      </c>
      <c r="Z34" s="359">
        <f t="shared" si="17"/>
        <v>0</v>
      </c>
      <c r="AA34" s="107">
        <v>0</v>
      </c>
      <c r="AB34" s="92">
        <f>AA34*(AB$19+AB$27)</f>
        <v>0</v>
      </c>
    </row>
    <row r="35" spans="1:28" x14ac:dyDescent="0.25">
      <c r="A35" s="346" t="s">
        <v>8</v>
      </c>
      <c r="B35" s="182" t="s">
        <v>28</v>
      </c>
      <c r="C35" s="191">
        <v>2.5000000000000001E-2</v>
      </c>
      <c r="D35" s="349">
        <f>C35*($D$19+$D$27)</f>
        <v>175.91757575757575</v>
      </c>
      <c r="E35" s="83">
        <f t="shared" si="15"/>
        <v>175.91757575757575</v>
      </c>
      <c r="F35" s="83">
        <f t="shared" si="16"/>
        <v>175.91757575757575</v>
      </c>
      <c r="G35" s="83">
        <f t="shared" si="16"/>
        <v>180.31551515151514</v>
      </c>
      <c r="H35" s="83">
        <f t="shared" si="16"/>
        <v>180.31551515151514</v>
      </c>
      <c r="I35" s="83">
        <f t="shared" si="16"/>
        <v>180.31551515151514</v>
      </c>
      <c r="J35" s="83">
        <f t="shared" si="16"/>
        <v>180.31551515151514</v>
      </c>
      <c r="K35" s="83">
        <f t="shared" si="16"/>
        <v>180.31551515151514</v>
      </c>
      <c r="L35" s="83">
        <f t="shared" si="16"/>
        <v>180.31551515151514</v>
      </c>
      <c r="M35" s="83">
        <f t="shared" si="16"/>
        <v>180.31551515151514</v>
      </c>
      <c r="N35" s="83">
        <f t="shared" si="16"/>
        <v>180.31551515151514</v>
      </c>
      <c r="O35" s="83">
        <f t="shared" si="16"/>
        <v>180.31551515151514</v>
      </c>
      <c r="P35" s="107">
        <v>2.5000000000000001E-2</v>
      </c>
      <c r="Q35" s="92">
        <f>$C35*(Q$19+Q$27)</f>
        <v>180.31551515151514</v>
      </c>
      <c r="R35" s="83">
        <f>$C35*(R$19+R$27)</f>
        <v>180.31551515151514</v>
      </c>
      <c r="S35" s="117"/>
      <c r="T35" s="92">
        <f t="shared" ref="T35:Z35" si="18">$C35*(T$19+T$27)</f>
        <v>180.31551515151514</v>
      </c>
      <c r="U35" s="83">
        <f t="shared" si="18"/>
        <v>180.31551515151514</v>
      </c>
      <c r="V35" s="83">
        <f t="shared" si="18"/>
        <v>180.31551515151514</v>
      </c>
      <c r="W35" s="83">
        <f t="shared" si="18"/>
        <v>180.31551515151514</v>
      </c>
      <c r="X35" s="83">
        <f t="shared" si="18"/>
        <v>180.31551515151514</v>
      </c>
      <c r="Y35" s="91">
        <f t="shared" si="18"/>
        <v>180.31551515151514</v>
      </c>
      <c r="Z35" s="359">
        <f t="shared" si="18"/>
        <v>180.31551515151514</v>
      </c>
      <c r="AA35" s="107">
        <v>2.5000000000000001E-2</v>
      </c>
      <c r="AB35" s="92">
        <f>$AA35*(AB$19+AB$27)</f>
        <v>180.31551515151514</v>
      </c>
    </row>
    <row r="36" spans="1:28" x14ac:dyDescent="0.25">
      <c r="A36" s="346" t="s">
        <v>10</v>
      </c>
      <c r="B36" s="182" t="s">
        <v>106</v>
      </c>
      <c r="C36" s="191">
        <f>2%*1.2718</f>
        <v>2.5436E-2</v>
      </c>
      <c r="D36" s="349">
        <f>C36*($D$19+$D$27)</f>
        <v>178.98557827878787</v>
      </c>
      <c r="E36" s="83">
        <f t="shared" si="15"/>
        <v>178.98557827878787</v>
      </c>
      <c r="F36" s="83">
        <f t="shared" si="16"/>
        <v>178.98557827878787</v>
      </c>
      <c r="G36" s="83">
        <f t="shared" si="16"/>
        <v>183.46021773575757</v>
      </c>
      <c r="H36" s="83">
        <f t="shared" si="16"/>
        <v>183.46021773575757</v>
      </c>
      <c r="I36" s="83">
        <f t="shared" si="16"/>
        <v>183.46021773575757</v>
      </c>
      <c r="J36" s="83">
        <f t="shared" si="16"/>
        <v>183.46021773575757</v>
      </c>
      <c r="K36" s="83">
        <f t="shared" si="16"/>
        <v>183.46021773575757</v>
      </c>
      <c r="L36" s="83">
        <f t="shared" si="16"/>
        <v>183.46021773575757</v>
      </c>
      <c r="M36" s="83">
        <f t="shared" si="16"/>
        <v>183.46021773575757</v>
      </c>
      <c r="N36" s="83">
        <f t="shared" si="16"/>
        <v>183.46021773575757</v>
      </c>
      <c r="O36" s="83">
        <f t="shared" si="16"/>
        <v>183.46021773575757</v>
      </c>
      <c r="P36" s="107">
        <f>2%*1.0115</f>
        <v>2.0230000000000001E-2</v>
      </c>
      <c r="Q36" s="92">
        <f>$P$36*(Q$19+Q$27)</f>
        <v>145.91131486060607</v>
      </c>
      <c r="R36" s="83">
        <f>$P$36*(R$19+R$27)</f>
        <v>145.91131486060607</v>
      </c>
      <c r="S36" s="117"/>
      <c r="T36" s="92">
        <f t="shared" ref="T36:Z36" si="19">$P$36*(T$19+T$27)</f>
        <v>145.91131486060607</v>
      </c>
      <c r="U36" s="83">
        <f t="shared" si="19"/>
        <v>145.91131486060607</v>
      </c>
      <c r="V36" s="83">
        <f t="shared" si="19"/>
        <v>145.91131486060607</v>
      </c>
      <c r="W36" s="83">
        <f t="shared" si="19"/>
        <v>145.91131486060607</v>
      </c>
      <c r="X36" s="83">
        <f t="shared" si="19"/>
        <v>145.91131486060607</v>
      </c>
      <c r="Y36" s="91">
        <f t="shared" si="19"/>
        <v>145.91131486060607</v>
      </c>
      <c r="Z36" s="359">
        <f t="shared" si="19"/>
        <v>145.91131486060607</v>
      </c>
      <c r="AA36" s="107">
        <f>2%*0.5</f>
        <v>0.01</v>
      </c>
      <c r="AB36" s="92">
        <f>$AA$36*(AB$19+AB$27)</f>
        <v>72.126206060606052</v>
      </c>
    </row>
    <row r="37" spans="1:28" x14ac:dyDescent="0.25">
      <c r="A37" s="346" t="s">
        <v>12</v>
      </c>
      <c r="B37" s="182" t="s">
        <v>29</v>
      </c>
      <c r="C37" s="191">
        <v>1.4999999999999999E-2</v>
      </c>
      <c r="D37" s="349">
        <f t="shared" ref="D37" si="20">C37*($D$19+$D$27)</f>
        <v>105.55054545454544</v>
      </c>
      <c r="E37" s="83">
        <f t="shared" si="15"/>
        <v>105.55054545454544</v>
      </c>
      <c r="F37" s="83">
        <f t="shared" si="16"/>
        <v>105.55054545454544</v>
      </c>
      <c r="G37" s="83">
        <f t="shared" si="16"/>
        <v>108.18930909090908</v>
      </c>
      <c r="H37" s="83">
        <f t="shared" si="16"/>
        <v>108.18930909090908</v>
      </c>
      <c r="I37" s="83">
        <f t="shared" si="16"/>
        <v>108.18930909090908</v>
      </c>
      <c r="J37" s="83">
        <f t="shared" si="16"/>
        <v>108.18930909090908</v>
      </c>
      <c r="K37" s="83">
        <f t="shared" si="16"/>
        <v>108.18930909090908</v>
      </c>
      <c r="L37" s="83">
        <f t="shared" si="16"/>
        <v>108.18930909090908</v>
      </c>
      <c r="M37" s="83">
        <f t="shared" si="16"/>
        <v>108.18930909090908</v>
      </c>
      <c r="N37" s="83">
        <f t="shared" si="16"/>
        <v>108.18930909090908</v>
      </c>
      <c r="O37" s="83">
        <f t="shared" si="16"/>
        <v>108.18930909090908</v>
      </c>
      <c r="P37" s="107">
        <v>1.4999999999999999E-2</v>
      </c>
      <c r="Q37" s="92">
        <f t="shared" ref="Q37:R41" si="21">$C37*(Q$19+Q$27)</f>
        <v>108.18930909090908</v>
      </c>
      <c r="R37" s="83">
        <f t="shared" si="21"/>
        <v>108.18930909090908</v>
      </c>
      <c r="S37" s="245"/>
      <c r="T37" s="92">
        <f t="shared" ref="T37:Z41" si="22">$C37*(T$19+T$27)</f>
        <v>108.18930909090908</v>
      </c>
      <c r="U37" s="83">
        <f t="shared" si="22"/>
        <v>108.18930909090908</v>
      </c>
      <c r="V37" s="83">
        <f t="shared" si="22"/>
        <v>108.18930909090908</v>
      </c>
      <c r="W37" s="83">
        <f t="shared" si="22"/>
        <v>108.18930909090908</v>
      </c>
      <c r="X37" s="83">
        <f t="shared" si="22"/>
        <v>108.18930909090908</v>
      </c>
      <c r="Y37" s="91">
        <f t="shared" si="22"/>
        <v>108.18930909090908</v>
      </c>
      <c r="Z37" s="359">
        <f t="shared" si="22"/>
        <v>108.18930909090908</v>
      </c>
      <c r="AA37" s="107">
        <v>1.4999999999999999E-2</v>
      </c>
      <c r="AB37" s="92">
        <f>$AA37*(AB$19+AB$27)</f>
        <v>108.18930909090908</v>
      </c>
    </row>
    <row r="38" spans="1:28" x14ac:dyDescent="0.25">
      <c r="A38" s="346" t="s">
        <v>14</v>
      </c>
      <c r="B38" s="182" t="s">
        <v>30</v>
      </c>
      <c r="C38" s="191">
        <v>0.01</v>
      </c>
      <c r="D38" s="349">
        <f>C38*($D$19+$D$27)</f>
        <v>70.367030303030305</v>
      </c>
      <c r="E38" s="83">
        <f t="shared" si="15"/>
        <v>70.367030303030305</v>
      </c>
      <c r="F38" s="83">
        <f t="shared" si="16"/>
        <v>70.367030303030305</v>
      </c>
      <c r="G38" s="83">
        <f t="shared" si="16"/>
        <v>72.126206060606052</v>
      </c>
      <c r="H38" s="83">
        <f t="shared" si="16"/>
        <v>72.126206060606052</v>
      </c>
      <c r="I38" s="83">
        <f t="shared" si="16"/>
        <v>72.126206060606052</v>
      </c>
      <c r="J38" s="83">
        <f t="shared" si="16"/>
        <v>72.126206060606052</v>
      </c>
      <c r="K38" s="83">
        <f t="shared" si="16"/>
        <v>72.126206060606052</v>
      </c>
      <c r="L38" s="83">
        <f t="shared" si="16"/>
        <v>72.126206060606052</v>
      </c>
      <c r="M38" s="83">
        <f t="shared" si="16"/>
        <v>72.126206060606052</v>
      </c>
      <c r="N38" s="83">
        <f t="shared" si="16"/>
        <v>72.126206060606052</v>
      </c>
      <c r="O38" s="83">
        <f t="shared" si="16"/>
        <v>72.126206060606052</v>
      </c>
      <c r="P38" s="107">
        <v>0.01</v>
      </c>
      <c r="Q38" s="92">
        <f t="shared" si="21"/>
        <v>72.126206060606052</v>
      </c>
      <c r="R38" s="83">
        <f t="shared" si="21"/>
        <v>72.126206060606052</v>
      </c>
      <c r="S38" s="117"/>
      <c r="T38" s="92">
        <f t="shared" si="22"/>
        <v>72.126206060606052</v>
      </c>
      <c r="U38" s="83">
        <f t="shared" si="22"/>
        <v>72.126206060606052</v>
      </c>
      <c r="V38" s="83">
        <f t="shared" si="22"/>
        <v>72.126206060606052</v>
      </c>
      <c r="W38" s="83">
        <f t="shared" si="22"/>
        <v>72.126206060606052</v>
      </c>
      <c r="X38" s="83">
        <f t="shared" si="22"/>
        <v>72.126206060606052</v>
      </c>
      <c r="Y38" s="91">
        <f t="shared" si="22"/>
        <v>72.126206060606052</v>
      </c>
      <c r="Z38" s="359">
        <f t="shared" si="22"/>
        <v>72.126206060606052</v>
      </c>
      <c r="AA38" s="107">
        <v>0.01</v>
      </c>
      <c r="AB38" s="92">
        <f>$AA38*(AB$19+AB$27)</f>
        <v>72.126206060606052</v>
      </c>
    </row>
    <row r="39" spans="1:28" x14ac:dyDescent="0.25">
      <c r="A39" s="346" t="s">
        <v>16</v>
      </c>
      <c r="B39" s="182" t="s">
        <v>31</v>
      </c>
      <c r="C39" s="191">
        <v>6.0000000000000001E-3</v>
      </c>
      <c r="D39" s="349">
        <f>C39*($D$19+$D$27)</f>
        <v>42.220218181818176</v>
      </c>
      <c r="E39" s="83">
        <f t="shared" si="15"/>
        <v>42.220218181818176</v>
      </c>
      <c r="F39" s="83">
        <f t="shared" si="16"/>
        <v>42.220218181818176</v>
      </c>
      <c r="G39" s="83">
        <f t="shared" si="16"/>
        <v>43.275723636363637</v>
      </c>
      <c r="H39" s="83">
        <f t="shared" si="16"/>
        <v>43.275723636363637</v>
      </c>
      <c r="I39" s="83">
        <f t="shared" si="16"/>
        <v>43.275723636363637</v>
      </c>
      <c r="J39" s="83">
        <f t="shared" si="16"/>
        <v>43.275723636363637</v>
      </c>
      <c r="K39" s="83">
        <f t="shared" si="16"/>
        <v>43.275723636363637</v>
      </c>
      <c r="L39" s="83">
        <f t="shared" si="16"/>
        <v>43.275723636363637</v>
      </c>
      <c r="M39" s="83">
        <f t="shared" si="16"/>
        <v>43.275723636363637</v>
      </c>
      <c r="N39" s="83">
        <f t="shared" si="16"/>
        <v>43.275723636363637</v>
      </c>
      <c r="O39" s="83">
        <f t="shared" si="16"/>
        <v>43.275723636363637</v>
      </c>
      <c r="P39" s="107">
        <v>6.0000000000000001E-3</v>
      </c>
      <c r="Q39" s="92">
        <f t="shared" si="21"/>
        <v>43.275723636363637</v>
      </c>
      <c r="R39" s="83">
        <f t="shared" si="21"/>
        <v>43.275723636363637</v>
      </c>
      <c r="S39" s="245"/>
      <c r="T39" s="92">
        <f t="shared" si="22"/>
        <v>43.275723636363637</v>
      </c>
      <c r="U39" s="83">
        <f t="shared" si="22"/>
        <v>43.275723636363637</v>
      </c>
      <c r="V39" s="83">
        <f t="shared" si="22"/>
        <v>43.275723636363637</v>
      </c>
      <c r="W39" s="83">
        <f t="shared" si="22"/>
        <v>43.275723636363637</v>
      </c>
      <c r="X39" s="83">
        <f t="shared" si="22"/>
        <v>43.275723636363637</v>
      </c>
      <c r="Y39" s="91">
        <f t="shared" si="22"/>
        <v>43.275723636363637</v>
      </c>
      <c r="Z39" s="359">
        <f t="shared" si="22"/>
        <v>43.275723636363637</v>
      </c>
      <c r="AA39" s="107">
        <v>6.0000000000000001E-3</v>
      </c>
      <c r="AB39" s="92">
        <f>$AA39*(AB$19+AB$27)</f>
        <v>43.275723636363637</v>
      </c>
    </row>
    <row r="40" spans="1:28" x14ac:dyDescent="0.25">
      <c r="A40" s="346" t="s">
        <v>32</v>
      </c>
      <c r="B40" s="182" t="s">
        <v>33</v>
      </c>
      <c r="C40" s="191">
        <v>2E-3</v>
      </c>
      <c r="D40" s="349">
        <f>C40*($D$19+$D$27)</f>
        <v>14.073406060606059</v>
      </c>
      <c r="E40" s="83">
        <f t="shared" si="15"/>
        <v>14.073406060606059</v>
      </c>
      <c r="F40" s="83">
        <f t="shared" si="16"/>
        <v>14.073406060606059</v>
      </c>
      <c r="G40" s="83">
        <f t="shared" si="16"/>
        <v>14.425241212121211</v>
      </c>
      <c r="H40" s="83">
        <f t="shared" si="16"/>
        <v>14.425241212121211</v>
      </c>
      <c r="I40" s="83">
        <f t="shared" si="16"/>
        <v>14.425241212121211</v>
      </c>
      <c r="J40" s="83">
        <f t="shared" si="16"/>
        <v>14.425241212121211</v>
      </c>
      <c r="K40" s="83">
        <f t="shared" si="16"/>
        <v>14.425241212121211</v>
      </c>
      <c r="L40" s="83">
        <f t="shared" si="16"/>
        <v>14.425241212121211</v>
      </c>
      <c r="M40" s="83">
        <f t="shared" si="16"/>
        <v>14.425241212121211</v>
      </c>
      <c r="N40" s="83">
        <f t="shared" si="16"/>
        <v>14.425241212121211</v>
      </c>
      <c r="O40" s="83">
        <f t="shared" si="16"/>
        <v>14.425241212121211</v>
      </c>
      <c r="P40" s="107">
        <v>2E-3</v>
      </c>
      <c r="Q40" s="92">
        <f t="shared" si="21"/>
        <v>14.425241212121211</v>
      </c>
      <c r="R40" s="83">
        <f t="shared" si="21"/>
        <v>14.425241212121211</v>
      </c>
      <c r="S40" s="117"/>
      <c r="T40" s="92">
        <f t="shared" si="22"/>
        <v>14.425241212121211</v>
      </c>
      <c r="U40" s="83">
        <f t="shared" si="22"/>
        <v>14.425241212121211</v>
      </c>
      <c r="V40" s="83">
        <f t="shared" si="22"/>
        <v>14.425241212121211</v>
      </c>
      <c r="W40" s="83">
        <f t="shared" si="22"/>
        <v>14.425241212121211</v>
      </c>
      <c r="X40" s="83">
        <f t="shared" si="22"/>
        <v>14.425241212121211</v>
      </c>
      <c r="Y40" s="91">
        <f t="shared" si="22"/>
        <v>14.425241212121211</v>
      </c>
      <c r="Z40" s="359">
        <f t="shared" si="22"/>
        <v>14.425241212121211</v>
      </c>
      <c r="AA40" s="107">
        <v>2E-3</v>
      </c>
      <c r="AB40" s="92">
        <f>$AA40*(AB$19+AB$27)</f>
        <v>14.425241212121211</v>
      </c>
    </row>
    <row r="41" spans="1:28" x14ac:dyDescent="0.25">
      <c r="A41" s="346" t="s">
        <v>34</v>
      </c>
      <c r="B41" s="182" t="s">
        <v>35</v>
      </c>
      <c r="C41" s="191">
        <v>0.08</v>
      </c>
      <c r="D41" s="349">
        <f>C41*($D$19+$D$27)</f>
        <v>562.93624242424244</v>
      </c>
      <c r="E41" s="83">
        <f t="shared" si="15"/>
        <v>562.93624242424244</v>
      </c>
      <c r="F41" s="83">
        <f t="shared" si="16"/>
        <v>562.93624242424244</v>
      </c>
      <c r="G41" s="83">
        <f t="shared" si="16"/>
        <v>577.00964848484841</v>
      </c>
      <c r="H41" s="83">
        <f t="shared" si="16"/>
        <v>577.00964848484841</v>
      </c>
      <c r="I41" s="83">
        <f t="shared" si="16"/>
        <v>577.00964848484841</v>
      </c>
      <c r="J41" s="83">
        <f t="shared" si="16"/>
        <v>577.00964848484841</v>
      </c>
      <c r="K41" s="83">
        <f t="shared" si="16"/>
        <v>577.00964848484841</v>
      </c>
      <c r="L41" s="83">
        <f t="shared" si="16"/>
        <v>577.00964848484841</v>
      </c>
      <c r="M41" s="83">
        <f t="shared" si="16"/>
        <v>577.00964848484841</v>
      </c>
      <c r="N41" s="83">
        <f t="shared" si="16"/>
        <v>577.00964848484841</v>
      </c>
      <c r="O41" s="83">
        <f t="shared" si="16"/>
        <v>577.00964848484841</v>
      </c>
      <c r="P41" s="107">
        <v>0.08</v>
      </c>
      <c r="Q41" s="92">
        <f t="shared" si="21"/>
        <v>577.00964848484841</v>
      </c>
      <c r="R41" s="83">
        <f t="shared" si="21"/>
        <v>577.00964848484841</v>
      </c>
      <c r="S41" s="117"/>
      <c r="T41" s="92">
        <f t="shared" si="22"/>
        <v>577.00964848484841</v>
      </c>
      <c r="U41" s="83">
        <f t="shared" si="22"/>
        <v>577.00964848484841</v>
      </c>
      <c r="V41" s="83">
        <f t="shared" si="22"/>
        <v>577.00964848484841</v>
      </c>
      <c r="W41" s="83">
        <f t="shared" si="22"/>
        <v>577.00964848484841</v>
      </c>
      <c r="X41" s="83">
        <f t="shared" si="22"/>
        <v>577.00964848484841</v>
      </c>
      <c r="Y41" s="91">
        <f t="shared" si="22"/>
        <v>577.00964848484841</v>
      </c>
      <c r="Z41" s="359">
        <f t="shared" si="22"/>
        <v>577.00964848484841</v>
      </c>
      <c r="AA41" s="107">
        <v>0.08</v>
      </c>
      <c r="AB41" s="92">
        <f>$AA41*(AB$19+AB$27)</f>
        <v>577.00964848484841</v>
      </c>
    </row>
    <row r="42" spans="1:28" x14ac:dyDescent="0.25">
      <c r="A42" s="503" t="s">
        <v>18</v>
      </c>
      <c r="B42" s="500"/>
      <c r="C42" s="193">
        <f>SUM(C34:C41)</f>
        <v>0.163436</v>
      </c>
      <c r="D42" s="349">
        <f>SUM(D34:D41)</f>
        <v>1150.0505964606059</v>
      </c>
      <c r="E42" s="83">
        <f>SUM(E34:E41)</f>
        <v>1150.0505964606059</v>
      </c>
      <c r="F42" s="83">
        <f t="shared" ref="F42:R42" si="23">SUM(F34:F41)</f>
        <v>1150.0505964606059</v>
      </c>
      <c r="G42" s="83">
        <f t="shared" si="23"/>
        <v>1178.801861372121</v>
      </c>
      <c r="H42" s="83">
        <f t="shared" si="23"/>
        <v>1178.801861372121</v>
      </c>
      <c r="I42" s="83">
        <f t="shared" si="23"/>
        <v>1178.801861372121</v>
      </c>
      <c r="J42" s="83">
        <f t="shared" si="23"/>
        <v>1178.801861372121</v>
      </c>
      <c r="K42" s="83">
        <f t="shared" si="23"/>
        <v>1178.801861372121</v>
      </c>
      <c r="L42" s="83">
        <f t="shared" si="23"/>
        <v>1178.801861372121</v>
      </c>
      <c r="M42" s="83">
        <f t="shared" si="23"/>
        <v>1178.801861372121</v>
      </c>
      <c r="N42" s="83">
        <f t="shared" si="23"/>
        <v>1178.801861372121</v>
      </c>
      <c r="O42" s="83">
        <f t="shared" si="23"/>
        <v>1178.801861372121</v>
      </c>
      <c r="P42" s="194">
        <f t="shared" si="23"/>
        <v>0.15823000000000001</v>
      </c>
      <c r="Q42" s="92">
        <f t="shared" si="23"/>
        <v>1141.2529584969698</v>
      </c>
      <c r="R42" s="83">
        <f t="shared" si="23"/>
        <v>1141.2529584969698</v>
      </c>
      <c r="S42" s="117"/>
      <c r="T42" s="92">
        <f t="shared" ref="T42:Z42" si="24">SUM(T34:T41)</f>
        <v>1141.2529584969698</v>
      </c>
      <c r="U42" s="83">
        <f t="shared" si="24"/>
        <v>1141.2529584969698</v>
      </c>
      <c r="V42" s="83">
        <f t="shared" si="24"/>
        <v>1141.2529584969698</v>
      </c>
      <c r="W42" s="83">
        <f t="shared" si="24"/>
        <v>1141.2529584969698</v>
      </c>
      <c r="X42" s="83">
        <f t="shared" si="24"/>
        <v>1141.2529584969698</v>
      </c>
      <c r="Y42" s="91">
        <f t="shared" si="24"/>
        <v>1141.2529584969698</v>
      </c>
      <c r="Z42" s="359">
        <f t="shared" si="24"/>
        <v>1141.2529584969698</v>
      </c>
      <c r="AA42" s="194">
        <f>SUM(AA34:AA41)</f>
        <v>0.14800000000000002</v>
      </c>
      <c r="AB42" s="92">
        <f t="shared" ref="AB42" si="25">SUM(AB34:AB41)</f>
        <v>1067.4678496969696</v>
      </c>
    </row>
    <row r="43" spans="1:28" x14ac:dyDescent="0.25">
      <c r="A43" s="502" t="s">
        <v>109</v>
      </c>
      <c r="B43" s="502"/>
      <c r="C43" s="502"/>
      <c r="D43" s="502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70"/>
      <c r="Q43" s="329"/>
      <c r="R43" s="115"/>
      <c r="S43" s="328"/>
      <c r="T43" s="329"/>
      <c r="U43" s="115"/>
      <c r="V43" s="115"/>
      <c r="W43" s="115"/>
      <c r="X43" s="115"/>
      <c r="Y43" s="119"/>
      <c r="Z43" s="353"/>
      <c r="AA43" s="370"/>
      <c r="AB43" s="371"/>
    </row>
    <row r="44" spans="1:28" x14ac:dyDescent="0.25">
      <c r="A44" s="502" t="s">
        <v>107</v>
      </c>
      <c r="B44" s="502"/>
      <c r="C44" s="502"/>
      <c r="D44" s="502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70"/>
      <c r="Q44" s="329"/>
      <c r="R44" s="115"/>
      <c r="S44" s="328"/>
      <c r="T44" s="329"/>
      <c r="U44" s="115"/>
      <c r="V44" s="115"/>
      <c r="W44" s="115"/>
      <c r="X44" s="115"/>
      <c r="Y44" s="119"/>
      <c r="Z44" s="353"/>
      <c r="AA44" s="370"/>
      <c r="AB44" s="371"/>
    </row>
    <row r="45" spans="1:28" x14ac:dyDescent="0.25">
      <c r="A45" s="502" t="s">
        <v>108</v>
      </c>
      <c r="B45" s="502"/>
      <c r="C45" s="502"/>
      <c r="D45" s="502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70"/>
      <c r="Q45" s="329"/>
      <c r="R45" s="115"/>
      <c r="S45" s="328"/>
      <c r="T45" s="329"/>
      <c r="U45" s="115"/>
      <c r="V45" s="115"/>
      <c r="W45" s="115"/>
      <c r="X45" s="115"/>
      <c r="Y45" s="119"/>
      <c r="Z45" s="353"/>
      <c r="AA45" s="370"/>
      <c r="AB45" s="371"/>
    </row>
    <row r="46" spans="1:28" x14ac:dyDescent="0.25">
      <c r="A46" s="502" t="s">
        <v>113</v>
      </c>
      <c r="B46" s="502"/>
      <c r="C46" s="502"/>
      <c r="D46" s="502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328"/>
      <c r="Q46" s="329"/>
      <c r="R46" s="115"/>
      <c r="S46" s="328"/>
      <c r="T46" s="329"/>
      <c r="U46" s="115"/>
      <c r="V46" s="115"/>
      <c r="W46" s="115"/>
      <c r="X46" s="115"/>
      <c r="Y46" s="119"/>
      <c r="Z46" s="353"/>
      <c r="AA46" s="370"/>
      <c r="AB46" s="371"/>
    </row>
    <row r="47" spans="1:28" x14ac:dyDescent="0.25">
      <c r="A47" s="502" t="s">
        <v>118</v>
      </c>
      <c r="B47" s="502"/>
      <c r="C47" s="502"/>
      <c r="D47" s="502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328"/>
      <c r="Q47" s="329"/>
      <c r="R47" s="115"/>
      <c r="S47" s="328"/>
      <c r="T47" s="329"/>
      <c r="U47" s="115"/>
      <c r="V47" s="115"/>
      <c r="W47" s="115"/>
      <c r="X47" s="115"/>
      <c r="Y47" s="119"/>
      <c r="Z47" s="353"/>
      <c r="AA47" s="370"/>
      <c r="AB47" s="371"/>
    </row>
    <row r="48" spans="1:28" x14ac:dyDescent="0.25"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328"/>
      <c r="Q48" s="329"/>
      <c r="R48" s="115"/>
      <c r="S48" s="328"/>
      <c r="T48" s="329"/>
      <c r="U48" s="115"/>
      <c r="V48" s="115"/>
      <c r="W48" s="115"/>
      <c r="X48" s="115"/>
      <c r="Y48" s="119"/>
      <c r="Z48" s="353"/>
      <c r="AA48" s="370"/>
      <c r="AB48" s="371"/>
    </row>
    <row r="49" spans="1:28" x14ac:dyDescent="0.25">
      <c r="A49" s="472" t="s">
        <v>36</v>
      </c>
      <c r="B49" s="472"/>
      <c r="C49" s="472"/>
      <c r="D49" s="472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328"/>
      <c r="Q49" s="329"/>
      <c r="R49" s="115"/>
      <c r="S49" s="328"/>
      <c r="T49" s="329"/>
      <c r="U49" s="115"/>
      <c r="V49" s="115"/>
      <c r="W49" s="115"/>
      <c r="X49" s="115"/>
      <c r="Y49" s="119"/>
      <c r="Z49" s="353"/>
      <c r="AA49" s="370"/>
      <c r="AB49" s="371"/>
    </row>
    <row r="50" spans="1:28" x14ac:dyDescent="0.25">
      <c r="A50" s="332" t="s">
        <v>37</v>
      </c>
      <c r="B50" s="333" t="s">
        <v>38</v>
      </c>
      <c r="C50" s="332" t="s">
        <v>96</v>
      </c>
      <c r="D50" s="333" t="s">
        <v>5</v>
      </c>
      <c r="E50" s="189" t="s">
        <v>5</v>
      </c>
      <c r="F50" s="189" t="s">
        <v>5</v>
      </c>
      <c r="G50" s="189" t="s">
        <v>5</v>
      </c>
      <c r="H50" s="189" t="s">
        <v>5</v>
      </c>
      <c r="I50" s="189" t="s">
        <v>5</v>
      </c>
      <c r="J50" s="189" t="s">
        <v>5</v>
      </c>
      <c r="K50" s="189" t="s">
        <v>5</v>
      </c>
      <c r="L50" s="189" t="s">
        <v>5</v>
      </c>
      <c r="M50" s="189" t="s">
        <v>5</v>
      </c>
      <c r="N50" s="189" t="s">
        <v>5</v>
      </c>
      <c r="O50" s="189" t="s">
        <v>5</v>
      </c>
      <c r="P50" s="245"/>
      <c r="Q50" s="93" t="s">
        <v>5</v>
      </c>
      <c r="R50" s="189" t="s">
        <v>5</v>
      </c>
      <c r="S50" s="245"/>
      <c r="T50" s="93" t="s">
        <v>5</v>
      </c>
      <c r="U50" s="189" t="s">
        <v>5</v>
      </c>
      <c r="V50" s="189" t="s">
        <v>5</v>
      </c>
      <c r="W50" s="189" t="s">
        <v>5</v>
      </c>
      <c r="X50" s="189" t="s">
        <v>5</v>
      </c>
      <c r="Y50" s="338" t="s">
        <v>5</v>
      </c>
      <c r="Z50" s="360" t="s">
        <v>5</v>
      </c>
      <c r="AA50" s="245"/>
      <c r="AB50" s="93" t="s">
        <v>5</v>
      </c>
    </row>
    <row r="51" spans="1:28" x14ac:dyDescent="0.25">
      <c r="A51" s="346" t="s">
        <v>6</v>
      </c>
      <c r="B51" s="182" t="s">
        <v>39</v>
      </c>
      <c r="C51" s="195">
        <v>22</v>
      </c>
      <c r="D51" s="205">
        <f>IF(((5.5*2*C51)-D19*6%)&lt;0,0,((5.5*2*C51)-D19*6%))</f>
        <v>0</v>
      </c>
      <c r="E51" s="83">
        <f>IF(((5.5*2*$C51)-E$19*6%)&lt;0,0,((5.5*2*$C51)-E$19*6%))</f>
        <v>0</v>
      </c>
      <c r="F51" s="83">
        <f t="shared" ref="F51:Z51" si="26">IF(((5.5*2*$C51)-F$19*6%)&lt;0,0,((5.5*2*$C51)-F$19*6%))</f>
        <v>0</v>
      </c>
      <c r="G51" s="83">
        <f t="shared" si="26"/>
        <v>0</v>
      </c>
      <c r="H51" s="83">
        <f t="shared" si="26"/>
        <v>0</v>
      </c>
      <c r="I51" s="83">
        <f t="shared" si="26"/>
        <v>0</v>
      </c>
      <c r="J51" s="83">
        <f t="shared" si="26"/>
        <v>0</v>
      </c>
      <c r="K51" s="83">
        <f t="shared" si="26"/>
        <v>0</v>
      </c>
      <c r="L51" s="83">
        <f t="shared" si="26"/>
        <v>0</v>
      </c>
      <c r="M51" s="83">
        <f t="shared" si="26"/>
        <v>0</v>
      </c>
      <c r="N51" s="83">
        <f t="shared" si="26"/>
        <v>0</v>
      </c>
      <c r="O51" s="83">
        <f t="shared" si="26"/>
        <v>0</v>
      </c>
      <c r="P51" s="247"/>
      <c r="Q51" s="92">
        <f t="shared" si="26"/>
        <v>0</v>
      </c>
      <c r="R51" s="83">
        <f t="shared" si="26"/>
        <v>0</v>
      </c>
      <c r="S51" s="247"/>
      <c r="T51" s="92">
        <f t="shared" si="26"/>
        <v>0</v>
      </c>
      <c r="U51" s="83">
        <f t="shared" si="26"/>
        <v>0</v>
      </c>
      <c r="V51" s="83">
        <f t="shared" si="26"/>
        <v>0</v>
      </c>
      <c r="W51" s="83">
        <f t="shared" si="26"/>
        <v>0</v>
      </c>
      <c r="X51" s="83">
        <f t="shared" si="26"/>
        <v>0</v>
      </c>
      <c r="Y51" s="91">
        <f t="shared" si="26"/>
        <v>0</v>
      </c>
      <c r="Z51" s="359">
        <f t="shared" si="26"/>
        <v>0</v>
      </c>
      <c r="AA51" s="247"/>
      <c r="AB51" s="92">
        <f t="shared" ref="AB51" si="27">IF(((5.5*2*$C51)-AB$19*6%)&lt;0,0,((5.5*2*$C51)-AB$19*6%))</f>
        <v>0</v>
      </c>
    </row>
    <row r="52" spans="1:28" x14ac:dyDescent="0.25">
      <c r="A52" s="346" t="s">
        <v>8</v>
      </c>
      <c r="B52" s="182" t="s">
        <v>40</v>
      </c>
      <c r="C52" s="195">
        <v>22</v>
      </c>
      <c r="D52" s="205">
        <v>445.76</v>
      </c>
      <c r="E52" s="83">
        <v>591.44000000000005</v>
      </c>
      <c r="F52" s="83">
        <v>580.76</v>
      </c>
      <c r="G52" s="83">
        <v>587.33000000000004</v>
      </c>
      <c r="H52" s="83">
        <v>588.24</v>
      </c>
      <c r="I52" s="83">
        <v>584.99</v>
      </c>
      <c r="J52" s="83">
        <v>582.35</v>
      </c>
      <c r="K52" s="83">
        <v>594.59</v>
      </c>
      <c r="L52" s="83">
        <v>617.65</v>
      </c>
      <c r="M52" s="83">
        <v>644.09</v>
      </c>
      <c r="N52" s="83">
        <v>631.95000000000005</v>
      </c>
      <c r="O52" s="83">
        <v>621.55999999999995</v>
      </c>
      <c r="P52" s="247"/>
      <c r="Q52" s="92">
        <v>661.09</v>
      </c>
      <c r="R52" s="83">
        <v>670.98</v>
      </c>
      <c r="S52" s="247"/>
      <c r="T52" s="92">
        <v>670.98</v>
      </c>
      <c r="U52" s="83">
        <v>704.65</v>
      </c>
      <c r="V52" s="83">
        <v>741.55</v>
      </c>
      <c r="W52" s="83">
        <v>696.34</v>
      </c>
      <c r="X52" s="83">
        <v>698.36</v>
      </c>
      <c r="Y52" s="91">
        <v>703.93</v>
      </c>
      <c r="Z52" s="359">
        <v>689.31</v>
      </c>
      <c r="AA52" s="247"/>
      <c r="AB52" s="92">
        <v>689.31</v>
      </c>
    </row>
    <row r="53" spans="1:28" x14ac:dyDescent="0.25">
      <c r="A53" s="346" t="s">
        <v>10</v>
      </c>
      <c r="B53" s="182" t="s">
        <v>41</v>
      </c>
      <c r="C53" s="195"/>
      <c r="D53" s="205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247"/>
      <c r="Q53" s="92">
        <v>0</v>
      </c>
      <c r="R53" s="83">
        <v>0</v>
      </c>
      <c r="S53" s="247"/>
      <c r="T53" s="92">
        <v>0</v>
      </c>
      <c r="U53" s="83">
        <v>0</v>
      </c>
      <c r="V53" s="83">
        <v>0</v>
      </c>
      <c r="W53" s="83">
        <v>0</v>
      </c>
      <c r="X53" s="83">
        <v>0</v>
      </c>
      <c r="Y53" s="91">
        <v>0</v>
      </c>
      <c r="Z53" s="359">
        <v>0</v>
      </c>
      <c r="AA53" s="247"/>
      <c r="AB53" s="92">
        <v>0</v>
      </c>
    </row>
    <row r="54" spans="1:28" x14ac:dyDescent="0.25">
      <c r="A54" s="346" t="s">
        <v>12</v>
      </c>
      <c r="B54" s="182" t="s">
        <v>97</v>
      </c>
      <c r="C54" s="195"/>
      <c r="D54" s="205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247"/>
      <c r="Q54" s="92">
        <v>0</v>
      </c>
      <c r="R54" s="83">
        <v>0</v>
      </c>
      <c r="S54" s="247"/>
      <c r="T54" s="92">
        <v>0</v>
      </c>
      <c r="U54" s="83">
        <v>0</v>
      </c>
      <c r="V54" s="83">
        <v>0</v>
      </c>
      <c r="W54" s="83">
        <v>0</v>
      </c>
      <c r="X54" s="83">
        <v>0</v>
      </c>
      <c r="Y54" s="91">
        <v>0</v>
      </c>
      <c r="Z54" s="359">
        <v>0</v>
      </c>
      <c r="AA54" s="247"/>
      <c r="AB54" s="92">
        <v>0</v>
      </c>
    </row>
    <row r="55" spans="1:28" x14ac:dyDescent="0.25">
      <c r="A55" s="346" t="s">
        <v>14</v>
      </c>
      <c r="B55" s="182" t="s">
        <v>158</v>
      </c>
      <c r="C55" s="195">
        <v>1</v>
      </c>
      <c r="D55" s="205">
        <v>1.41</v>
      </c>
      <c r="E55" s="83">
        <v>1.41</v>
      </c>
      <c r="F55" s="83">
        <v>1.41</v>
      </c>
      <c r="G55" s="83">
        <v>1.41</v>
      </c>
      <c r="H55" s="83">
        <v>1.41</v>
      </c>
      <c r="I55" s="83">
        <v>1.41</v>
      </c>
      <c r="J55" s="83">
        <v>1.41</v>
      </c>
      <c r="K55" s="83">
        <v>1.41</v>
      </c>
      <c r="L55" s="83">
        <v>1.41</v>
      </c>
      <c r="M55" s="83">
        <v>1.41</v>
      </c>
      <c r="N55" s="83">
        <v>1.41</v>
      </c>
      <c r="O55" s="83">
        <v>1.41</v>
      </c>
      <c r="P55" s="247"/>
      <c r="Q55" s="92">
        <v>1.41</v>
      </c>
      <c r="R55" s="83">
        <v>1.41</v>
      </c>
      <c r="S55" s="247"/>
      <c r="T55" s="92">
        <v>1.41</v>
      </c>
      <c r="U55" s="83">
        <v>1.41</v>
      </c>
      <c r="V55" s="83">
        <v>1.41</v>
      </c>
      <c r="W55" s="83">
        <v>1.41</v>
      </c>
      <c r="X55" s="83">
        <v>1.41</v>
      </c>
      <c r="Y55" s="91">
        <v>1.41</v>
      </c>
      <c r="Z55" s="359">
        <v>1.41</v>
      </c>
      <c r="AA55" s="247"/>
      <c r="AB55" s="92">
        <v>1.41</v>
      </c>
    </row>
    <row r="56" spans="1:28" x14ac:dyDescent="0.25">
      <c r="A56" s="467" t="s">
        <v>18</v>
      </c>
      <c r="B56" s="467"/>
      <c r="C56" s="467"/>
      <c r="D56" s="205">
        <f>SUM(D51:D55)</f>
        <v>447.17</v>
      </c>
      <c r="E56" s="83">
        <f t="shared" ref="E56:G56" si="28">SUM(E51:E55)</f>
        <v>592.85</v>
      </c>
      <c r="F56" s="83">
        <f t="shared" si="28"/>
        <v>582.16999999999996</v>
      </c>
      <c r="G56" s="83">
        <f t="shared" si="28"/>
        <v>588.74</v>
      </c>
      <c r="H56" s="83">
        <f>SUM(H51:H55)</f>
        <v>589.65</v>
      </c>
      <c r="I56" s="83">
        <f>SUM(I51:I55)</f>
        <v>586.4</v>
      </c>
      <c r="J56" s="83">
        <f t="shared" ref="J56:O56" si="29">SUM(J51:J55)</f>
        <v>583.76</v>
      </c>
      <c r="K56" s="83">
        <f t="shared" si="29"/>
        <v>596</v>
      </c>
      <c r="L56" s="83">
        <f t="shared" si="29"/>
        <v>619.05999999999995</v>
      </c>
      <c r="M56" s="83">
        <f t="shared" si="29"/>
        <v>645.5</v>
      </c>
      <c r="N56" s="83">
        <f t="shared" si="29"/>
        <v>633.36</v>
      </c>
      <c r="O56" s="83">
        <f t="shared" si="29"/>
        <v>622.96999999999991</v>
      </c>
      <c r="P56" s="328"/>
      <c r="Q56" s="92">
        <f t="shared" ref="Q56:Z56" si="30">SUM(Q51:Q55)</f>
        <v>662.5</v>
      </c>
      <c r="R56" s="83">
        <f t="shared" si="30"/>
        <v>672.39</v>
      </c>
      <c r="S56" s="328"/>
      <c r="T56" s="92">
        <f t="shared" si="30"/>
        <v>672.39</v>
      </c>
      <c r="U56" s="83">
        <f t="shared" si="30"/>
        <v>706.06</v>
      </c>
      <c r="V56" s="83">
        <f t="shared" si="30"/>
        <v>742.95999999999992</v>
      </c>
      <c r="W56" s="83">
        <f t="shared" si="30"/>
        <v>697.75</v>
      </c>
      <c r="X56" s="83">
        <f t="shared" si="30"/>
        <v>699.77</v>
      </c>
      <c r="Y56" s="91">
        <f t="shared" si="30"/>
        <v>705.33999999999992</v>
      </c>
      <c r="Z56" s="359">
        <f t="shared" si="30"/>
        <v>690.71999999999991</v>
      </c>
      <c r="AA56" s="370"/>
      <c r="AB56" s="92">
        <f t="shared" ref="AB56" si="31">SUM(AB51:AB55)</f>
        <v>690.71999999999991</v>
      </c>
    </row>
    <row r="57" spans="1:28" x14ac:dyDescent="0.25">
      <c r="A57" s="502" t="s">
        <v>44</v>
      </c>
      <c r="B57" s="502"/>
      <c r="C57" s="502"/>
      <c r="D57" s="502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328"/>
      <c r="Q57" s="329"/>
      <c r="R57" s="115"/>
      <c r="S57" s="328"/>
      <c r="T57" s="329"/>
      <c r="U57" s="115"/>
      <c r="V57" s="115"/>
      <c r="W57" s="115"/>
      <c r="X57" s="115"/>
      <c r="Y57" s="119"/>
      <c r="Z57" s="353"/>
      <c r="AA57" s="370"/>
      <c r="AB57" s="371"/>
    </row>
    <row r="58" spans="1:28" x14ac:dyDescent="0.25">
      <c r="A58" s="502" t="s">
        <v>110</v>
      </c>
      <c r="B58" s="502"/>
      <c r="C58" s="502"/>
      <c r="D58" s="502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328"/>
      <c r="Q58" s="329"/>
      <c r="R58" s="115"/>
      <c r="S58" s="328"/>
      <c r="T58" s="329"/>
      <c r="U58" s="115"/>
      <c r="V58" s="115"/>
      <c r="W58" s="115"/>
      <c r="X58" s="115"/>
      <c r="Y58" s="119"/>
      <c r="Z58" s="353"/>
      <c r="AA58" s="370"/>
      <c r="AB58" s="371"/>
    </row>
    <row r="59" spans="1:28" x14ac:dyDescent="0.25"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328"/>
      <c r="Q59" s="329"/>
      <c r="R59" s="115"/>
      <c r="S59" s="328"/>
      <c r="T59" s="329"/>
      <c r="U59" s="115"/>
      <c r="V59" s="115"/>
      <c r="W59" s="115"/>
      <c r="X59" s="115"/>
      <c r="Y59" s="119"/>
      <c r="Z59" s="353"/>
      <c r="AA59" s="370"/>
      <c r="AB59" s="371"/>
    </row>
    <row r="60" spans="1:28" x14ac:dyDescent="0.25">
      <c r="A60" s="472" t="s">
        <v>42</v>
      </c>
      <c r="B60" s="472"/>
      <c r="C60" s="472"/>
      <c r="D60" s="472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328"/>
      <c r="Q60" s="329"/>
      <c r="R60" s="115"/>
      <c r="S60" s="328"/>
      <c r="T60" s="329"/>
      <c r="U60" s="115"/>
      <c r="V60" s="115"/>
      <c r="W60" s="115"/>
      <c r="X60" s="115"/>
      <c r="Y60" s="119"/>
      <c r="Z60" s="353"/>
      <c r="AA60" s="370"/>
      <c r="AB60" s="371"/>
    </row>
    <row r="61" spans="1:28" x14ac:dyDescent="0.25">
      <c r="A61" s="333">
        <v>2</v>
      </c>
      <c r="B61" s="476" t="s">
        <v>43</v>
      </c>
      <c r="C61" s="476"/>
      <c r="D61" s="333" t="s">
        <v>5</v>
      </c>
      <c r="E61" s="189" t="s">
        <v>5</v>
      </c>
      <c r="F61" s="189" t="s">
        <v>5</v>
      </c>
      <c r="G61" s="189" t="s">
        <v>5</v>
      </c>
      <c r="H61" s="189" t="s">
        <v>5</v>
      </c>
      <c r="I61" s="189" t="s">
        <v>5</v>
      </c>
      <c r="J61" s="189" t="s">
        <v>5</v>
      </c>
      <c r="K61" s="189" t="s">
        <v>5</v>
      </c>
      <c r="L61" s="189" t="s">
        <v>5</v>
      </c>
      <c r="M61" s="189" t="s">
        <v>5</v>
      </c>
      <c r="N61" s="189" t="s">
        <v>5</v>
      </c>
      <c r="O61" s="189" t="s">
        <v>5</v>
      </c>
      <c r="P61" s="328"/>
      <c r="Q61" s="93" t="s">
        <v>5</v>
      </c>
      <c r="R61" s="189" t="s">
        <v>5</v>
      </c>
      <c r="S61" s="328"/>
      <c r="T61" s="93" t="s">
        <v>5</v>
      </c>
      <c r="U61" s="189" t="s">
        <v>5</v>
      </c>
      <c r="V61" s="189" t="s">
        <v>5</v>
      </c>
      <c r="W61" s="189" t="s">
        <v>5</v>
      </c>
      <c r="X61" s="189" t="s">
        <v>5</v>
      </c>
      <c r="Y61" s="338" t="s">
        <v>5</v>
      </c>
      <c r="Z61" s="360" t="s">
        <v>5</v>
      </c>
      <c r="AA61" s="370"/>
      <c r="AB61" s="93" t="s">
        <v>5</v>
      </c>
    </row>
    <row r="62" spans="1:28" x14ac:dyDescent="0.25">
      <c r="A62" s="330" t="s">
        <v>21</v>
      </c>
      <c r="B62" s="474" t="s">
        <v>163</v>
      </c>
      <c r="C62" s="474"/>
      <c r="D62" s="205">
        <f>D27</f>
        <v>1231.4230303030304</v>
      </c>
      <c r="E62" s="83">
        <f>E27</f>
        <v>1231.4230303030304</v>
      </c>
      <c r="F62" s="83">
        <f t="shared" ref="F62:G62" si="32">F27</f>
        <v>1231.4230303030304</v>
      </c>
      <c r="G62" s="83">
        <f t="shared" si="32"/>
        <v>1262.2086060606061</v>
      </c>
      <c r="H62" s="83">
        <f>H27</f>
        <v>1262.2086060606061</v>
      </c>
      <c r="I62" s="83">
        <f>I27</f>
        <v>1262.2086060606061</v>
      </c>
      <c r="J62" s="83">
        <f t="shared" ref="J62:O62" si="33">J27</f>
        <v>1262.2086060606061</v>
      </c>
      <c r="K62" s="83">
        <f t="shared" si="33"/>
        <v>1262.2086060606061</v>
      </c>
      <c r="L62" s="83">
        <f t="shared" si="33"/>
        <v>1262.2086060606061</v>
      </c>
      <c r="M62" s="83">
        <f t="shared" si="33"/>
        <v>1262.2086060606061</v>
      </c>
      <c r="N62" s="83">
        <f t="shared" si="33"/>
        <v>1262.2086060606061</v>
      </c>
      <c r="O62" s="83">
        <f t="shared" si="33"/>
        <v>1262.2086060606061</v>
      </c>
      <c r="P62" s="170"/>
      <c r="Q62" s="92">
        <f t="shared" ref="Q62:Z62" si="34">Q27</f>
        <v>1262.2086060606061</v>
      </c>
      <c r="R62" s="83">
        <f t="shared" si="34"/>
        <v>1262.2086060606061</v>
      </c>
      <c r="S62" s="328"/>
      <c r="T62" s="92">
        <f t="shared" si="34"/>
        <v>1262.2086060606061</v>
      </c>
      <c r="U62" s="83">
        <f t="shared" si="34"/>
        <v>1262.2086060606061</v>
      </c>
      <c r="V62" s="83">
        <f t="shared" si="34"/>
        <v>1262.2086060606061</v>
      </c>
      <c r="W62" s="83">
        <f t="shared" si="34"/>
        <v>1262.2086060606061</v>
      </c>
      <c r="X62" s="83">
        <f t="shared" si="34"/>
        <v>1262.2086060606061</v>
      </c>
      <c r="Y62" s="91">
        <f t="shared" si="34"/>
        <v>1262.2086060606061</v>
      </c>
      <c r="Z62" s="359">
        <f t="shared" si="34"/>
        <v>1262.2086060606061</v>
      </c>
      <c r="AA62" s="370"/>
      <c r="AB62" s="92">
        <f t="shared" ref="AB62" si="35">AB27</f>
        <v>1262.2086060606061</v>
      </c>
    </row>
    <row r="63" spans="1:28" x14ac:dyDescent="0.25">
      <c r="A63" s="330" t="s">
        <v>24</v>
      </c>
      <c r="B63" s="475" t="s">
        <v>25</v>
      </c>
      <c r="C63" s="475"/>
      <c r="D63" s="205">
        <f>D42</f>
        <v>1150.0505964606059</v>
      </c>
      <c r="E63" s="83">
        <f>E42</f>
        <v>1150.0505964606059</v>
      </c>
      <c r="F63" s="83">
        <f t="shared" ref="F63:G63" si="36">F42</f>
        <v>1150.0505964606059</v>
      </c>
      <c r="G63" s="83">
        <f t="shared" si="36"/>
        <v>1178.801861372121</v>
      </c>
      <c r="H63" s="83">
        <f>H42</f>
        <v>1178.801861372121</v>
      </c>
      <c r="I63" s="83">
        <f>I42</f>
        <v>1178.801861372121</v>
      </c>
      <c r="J63" s="83">
        <f t="shared" ref="J63:O63" si="37">J42</f>
        <v>1178.801861372121</v>
      </c>
      <c r="K63" s="83">
        <f t="shared" si="37"/>
        <v>1178.801861372121</v>
      </c>
      <c r="L63" s="83">
        <f t="shared" si="37"/>
        <v>1178.801861372121</v>
      </c>
      <c r="M63" s="83">
        <f t="shared" si="37"/>
        <v>1178.801861372121</v>
      </c>
      <c r="N63" s="83">
        <f t="shared" si="37"/>
        <v>1178.801861372121</v>
      </c>
      <c r="O63" s="83">
        <f t="shared" si="37"/>
        <v>1178.801861372121</v>
      </c>
      <c r="P63" s="170"/>
      <c r="Q63" s="92">
        <f t="shared" ref="Q63:Z63" si="38">Q42</f>
        <v>1141.2529584969698</v>
      </c>
      <c r="R63" s="83">
        <f t="shared" si="38"/>
        <v>1141.2529584969698</v>
      </c>
      <c r="S63" s="328"/>
      <c r="T63" s="92">
        <f t="shared" si="38"/>
        <v>1141.2529584969698</v>
      </c>
      <c r="U63" s="83">
        <f t="shared" si="38"/>
        <v>1141.2529584969698</v>
      </c>
      <c r="V63" s="83">
        <f t="shared" si="38"/>
        <v>1141.2529584969698</v>
      </c>
      <c r="W63" s="83">
        <f t="shared" si="38"/>
        <v>1141.2529584969698</v>
      </c>
      <c r="X63" s="83">
        <f t="shared" si="38"/>
        <v>1141.2529584969698</v>
      </c>
      <c r="Y63" s="91">
        <f t="shared" si="38"/>
        <v>1141.2529584969698</v>
      </c>
      <c r="Z63" s="359">
        <f t="shared" si="38"/>
        <v>1141.2529584969698</v>
      </c>
      <c r="AA63" s="370"/>
      <c r="AB63" s="92">
        <f t="shared" ref="AB63" si="39">AB42</f>
        <v>1067.4678496969696</v>
      </c>
    </row>
    <row r="64" spans="1:28" x14ac:dyDescent="0.25">
      <c r="A64" s="330" t="s">
        <v>37</v>
      </c>
      <c r="B64" s="475" t="s">
        <v>38</v>
      </c>
      <c r="C64" s="475"/>
      <c r="D64" s="205">
        <f>D56</f>
        <v>447.17</v>
      </c>
      <c r="E64" s="83">
        <f>E56</f>
        <v>592.85</v>
      </c>
      <c r="F64" s="83">
        <f t="shared" ref="F64:G64" si="40">F56</f>
        <v>582.16999999999996</v>
      </c>
      <c r="G64" s="83">
        <f t="shared" si="40"/>
        <v>588.74</v>
      </c>
      <c r="H64" s="83">
        <f>H56</f>
        <v>589.65</v>
      </c>
      <c r="I64" s="83">
        <f>I56</f>
        <v>586.4</v>
      </c>
      <c r="J64" s="83">
        <f t="shared" ref="J64:O64" si="41">J56</f>
        <v>583.76</v>
      </c>
      <c r="K64" s="83">
        <f t="shared" si="41"/>
        <v>596</v>
      </c>
      <c r="L64" s="83">
        <f t="shared" si="41"/>
        <v>619.05999999999995</v>
      </c>
      <c r="M64" s="83">
        <f t="shared" si="41"/>
        <v>645.5</v>
      </c>
      <c r="N64" s="83">
        <f t="shared" si="41"/>
        <v>633.36</v>
      </c>
      <c r="O64" s="83">
        <f t="shared" si="41"/>
        <v>622.96999999999991</v>
      </c>
      <c r="P64" s="170"/>
      <c r="Q64" s="92">
        <f t="shared" ref="Q64:Z64" si="42">Q56</f>
        <v>662.5</v>
      </c>
      <c r="R64" s="83">
        <f t="shared" si="42"/>
        <v>672.39</v>
      </c>
      <c r="S64" s="328"/>
      <c r="T64" s="92">
        <f t="shared" si="42"/>
        <v>672.39</v>
      </c>
      <c r="U64" s="83">
        <f t="shared" si="42"/>
        <v>706.06</v>
      </c>
      <c r="V64" s="83">
        <f t="shared" si="42"/>
        <v>742.95999999999992</v>
      </c>
      <c r="W64" s="83">
        <f t="shared" si="42"/>
        <v>697.75</v>
      </c>
      <c r="X64" s="83">
        <f t="shared" si="42"/>
        <v>699.77</v>
      </c>
      <c r="Y64" s="91">
        <f t="shared" si="42"/>
        <v>705.33999999999992</v>
      </c>
      <c r="Z64" s="359">
        <f t="shared" si="42"/>
        <v>690.71999999999991</v>
      </c>
      <c r="AA64" s="370"/>
      <c r="AB64" s="92">
        <f t="shared" ref="AB64" si="43">AB56</f>
        <v>690.71999999999991</v>
      </c>
    </row>
    <row r="65" spans="1:28" x14ac:dyDescent="0.25">
      <c r="A65" s="503" t="s">
        <v>18</v>
      </c>
      <c r="B65" s="507"/>
      <c r="C65" s="500"/>
      <c r="D65" s="205">
        <f>SUM(D62:D64)</f>
        <v>2828.6436267636363</v>
      </c>
      <c r="E65" s="83">
        <f t="shared" ref="E65:G65" si="44">SUM(E62:E64)</f>
        <v>2974.3236267636362</v>
      </c>
      <c r="F65" s="83">
        <f t="shared" si="44"/>
        <v>2963.6436267636363</v>
      </c>
      <c r="G65" s="83">
        <f t="shared" si="44"/>
        <v>3029.7504674327274</v>
      </c>
      <c r="H65" s="83">
        <f>SUM(H62:H64)</f>
        <v>3030.6604674327273</v>
      </c>
      <c r="I65" s="83">
        <f>SUM(I62:I64)</f>
        <v>3027.4104674327273</v>
      </c>
      <c r="J65" s="83">
        <f t="shared" ref="J65:O65" si="45">SUM(J62:J64)</f>
        <v>3024.7704674327269</v>
      </c>
      <c r="K65" s="83">
        <f t="shared" si="45"/>
        <v>3037.0104674327272</v>
      </c>
      <c r="L65" s="83">
        <f t="shared" si="45"/>
        <v>3060.0704674327271</v>
      </c>
      <c r="M65" s="83">
        <f t="shared" si="45"/>
        <v>3086.5104674327272</v>
      </c>
      <c r="N65" s="83">
        <f t="shared" si="45"/>
        <v>3074.3704674327273</v>
      </c>
      <c r="O65" s="83">
        <f t="shared" si="45"/>
        <v>3063.980467432727</v>
      </c>
      <c r="P65" s="170"/>
      <c r="Q65" s="92">
        <f t="shared" ref="Q65:Z65" si="46">SUM(Q62:Q64)</f>
        <v>3065.9615645575759</v>
      </c>
      <c r="R65" s="83">
        <f t="shared" si="46"/>
        <v>3075.8515645575758</v>
      </c>
      <c r="S65" s="328"/>
      <c r="T65" s="92">
        <f t="shared" si="46"/>
        <v>3075.8515645575758</v>
      </c>
      <c r="U65" s="83">
        <f t="shared" si="46"/>
        <v>3109.5215645575759</v>
      </c>
      <c r="V65" s="83">
        <f t="shared" si="46"/>
        <v>3146.4215645575759</v>
      </c>
      <c r="W65" s="83">
        <f t="shared" si="46"/>
        <v>3101.2115645575759</v>
      </c>
      <c r="X65" s="83">
        <f t="shared" si="46"/>
        <v>3103.2315645575759</v>
      </c>
      <c r="Y65" s="91">
        <f t="shared" si="46"/>
        <v>3108.8015645575761</v>
      </c>
      <c r="Z65" s="359">
        <f t="shared" si="46"/>
        <v>3094.1815645575757</v>
      </c>
      <c r="AA65" s="370"/>
      <c r="AB65" s="92">
        <f t="shared" ref="AB65" si="47">SUM(AB62:AB64)</f>
        <v>3020.3964557575755</v>
      </c>
    </row>
    <row r="66" spans="1:28" x14ac:dyDescent="0.25"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70"/>
      <c r="Q66" s="329"/>
      <c r="R66" s="115"/>
      <c r="S66" s="328"/>
      <c r="T66" s="329"/>
      <c r="U66" s="115"/>
      <c r="V66" s="115"/>
      <c r="W66" s="115"/>
      <c r="X66" s="115"/>
      <c r="Y66" s="119"/>
      <c r="Z66" s="353"/>
      <c r="AA66" s="370"/>
      <c r="AB66" s="371"/>
    </row>
    <row r="67" spans="1:28" x14ac:dyDescent="0.25">
      <c r="A67" s="472" t="s">
        <v>77</v>
      </c>
      <c r="B67" s="472"/>
      <c r="C67" s="472"/>
      <c r="D67" s="472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328"/>
      <c r="Q67" s="329"/>
      <c r="R67" s="115"/>
      <c r="S67" s="328"/>
      <c r="T67" s="329"/>
      <c r="U67" s="115"/>
      <c r="V67" s="115"/>
      <c r="W67" s="115"/>
      <c r="X67" s="115"/>
      <c r="Y67" s="119"/>
      <c r="Z67" s="353"/>
      <c r="AA67" s="370"/>
      <c r="AB67" s="371"/>
    </row>
    <row r="68" spans="1:28" x14ac:dyDescent="0.25">
      <c r="A68" s="333">
        <v>3</v>
      </c>
      <c r="B68" s="333" t="s">
        <v>45</v>
      </c>
      <c r="C68" s="333" t="s">
        <v>26</v>
      </c>
      <c r="D68" s="333" t="s">
        <v>5</v>
      </c>
      <c r="E68" s="189" t="s">
        <v>5</v>
      </c>
      <c r="F68" s="189" t="s">
        <v>5</v>
      </c>
      <c r="G68" s="189" t="s">
        <v>5</v>
      </c>
      <c r="H68" s="189" t="s">
        <v>5</v>
      </c>
      <c r="I68" s="189" t="s">
        <v>5</v>
      </c>
      <c r="J68" s="189" t="s">
        <v>5</v>
      </c>
      <c r="K68" s="189" t="s">
        <v>5</v>
      </c>
      <c r="L68" s="189" t="s">
        <v>5</v>
      </c>
      <c r="M68" s="189" t="s">
        <v>5</v>
      </c>
      <c r="N68" s="189" t="s">
        <v>5</v>
      </c>
      <c r="O68" s="189" t="s">
        <v>5</v>
      </c>
      <c r="P68" s="190" t="s">
        <v>26</v>
      </c>
      <c r="Q68" s="93" t="s">
        <v>5</v>
      </c>
      <c r="R68" s="189" t="s">
        <v>5</v>
      </c>
      <c r="S68" s="197" t="s">
        <v>26</v>
      </c>
      <c r="T68" s="93" t="s">
        <v>5</v>
      </c>
      <c r="U68" s="189" t="s">
        <v>5</v>
      </c>
      <c r="V68" s="189" t="s">
        <v>5</v>
      </c>
      <c r="W68" s="189" t="s">
        <v>5</v>
      </c>
      <c r="X68" s="189" t="s">
        <v>5</v>
      </c>
      <c r="Y68" s="338" t="s">
        <v>5</v>
      </c>
      <c r="Z68" s="360" t="s">
        <v>5</v>
      </c>
      <c r="AA68" s="197" t="s">
        <v>26</v>
      </c>
      <c r="AB68" s="93" t="s">
        <v>5</v>
      </c>
    </row>
    <row r="69" spans="1:28" x14ac:dyDescent="0.25">
      <c r="A69" s="330" t="s">
        <v>6</v>
      </c>
      <c r="B69" s="163" t="s">
        <v>46</v>
      </c>
      <c r="C69" s="191">
        <f>(1/12)*5%</f>
        <v>4.1666666666666666E-3</v>
      </c>
      <c r="D69" s="349">
        <f t="shared" ref="D69:D75" si="48">C69*($D$19+$D$27)</f>
        <v>29.319595959595958</v>
      </c>
      <c r="E69" s="83">
        <f t="shared" ref="E69:E75" si="49">$C69*(E$19+E$27)</f>
        <v>29.319595959595958</v>
      </c>
      <c r="F69" s="83">
        <f t="shared" ref="F69:O75" si="50">$C69*(F$19+F$27)</f>
        <v>29.319595959595958</v>
      </c>
      <c r="G69" s="83">
        <f t="shared" si="50"/>
        <v>30.052585858585857</v>
      </c>
      <c r="H69" s="83">
        <f t="shared" si="50"/>
        <v>30.052585858585857</v>
      </c>
      <c r="I69" s="83">
        <f t="shared" si="50"/>
        <v>30.052585858585857</v>
      </c>
      <c r="J69" s="83">
        <f t="shared" si="50"/>
        <v>30.052585858585857</v>
      </c>
      <c r="K69" s="83">
        <f t="shared" si="50"/>
        <v>30.052585858585857</v>
      </c>
      <c r="L69" s="83">
        <f t="shared" si="50"/>
        <v>30.052585858585857</v>
      </c>
      <c r="M69" s="83">
        <f t="shared" si="50"/>
        <v>30.052585858585857</v>
      </c>
      <c r="N69" s="83">
        <f t="shared" si="50"/>
        <v>30.052585858585857</v>
      </c>
      <c r="O69" s="83">
        <f t="shared" si="50"/>
        <v>30.052585858585857</v>
      </c>
      <c r="P69" s="107">
        <f t="shared" ref="P69:S69" si="51">(1/12)*5%</f>
        <v>4.1666666666666666E-3</v>
      </c>
      <c r="Q69" s="92">
        <f t="shared" ref="Q69:R72" si="52">$C69*(Q$19+Q$27)</f>
        <v>30.052585858585857</v>
      </c>
      <c r="R69" s="83">
        <f t="shared" si="52"/>
        <v>30.052585858585857</v>
      </c>
      <c r="S69" s="107">
        <f t="shared" si="51"/>
        <v>4.1666666666666666E-3</v>
      </c>
      <c r="T69" s="92">
        <f t="shared" ref="T69:Z71" si="53">$C69*(T$19+T$27)</f>
        <v>30.052585858585857</v>
      </c>
      <c r="U69" s="83">
        <f t="shared" si="53"/>
        <v>30.052585858585857</v>
      </c>
      <c r="V69" s="83">
        <f t="shared" si="53"/>
        <v>30.052585858585857</v>
      </c>
      <c r="W69" s="83">
        <f t="shared" si="53"/>
        <v>30.052585858585857</v>
      </c>
      <c r="X69" s="83">
        <f t="shared" si="53"/>
        <v>30.052585858585857</v>
      </c>
      <c r="Y69" s="91">
        <f t="shared" si="53"/>
        <v>30.052585858585857</v>
      </c>
      <c r="Z69" s="359">
        <f t="shared" si="53"/>
        <v>30.052585858585857</v>
      </c>
      <c r="AA69" s="107">
        <f t="shared" ref="AA69" si="54">(1/12)*5%</f>
        <v>4.1666666666666666E-3</v>
      </c>
      <c r="AB69" s="92">
        <f t="shared" ref="AB69:AB71" si="55">$C69*(AB$19+AB$27)</f>
        <v>30.052585858585857</v>
      </c>
    </row>
    <row r="70" spans="1:28" x14ac:dyDescent="0.25">
      <c r="A70" s="330" t="s">
        <v>8</v>
      </c>
      <c r="B70" s="163" t="s">
        <v>47</v>
      </c>
      <c r="C70" s="191">
        <f>C69*C41</f>
        <v>3.3333333333333332E-4</v>
      </c>
      <c r="D70" s="349">
        <f t="shared" si="48"/>
        <v>2.3455676767676765</v>
      </c>
      <c r="E70" s="83">
        <f t="shared" si="49"/>
        <v>2.3455676767676765</v>
      </c>
      <c r="F70" s="83">
        <f t="shared" si="50"/>
        <v>2.3455676767676765</v>
      </c>
      <c r="G70" s="83">
        <f t="shared" si="50"/>
        <v>2.4042068686868685</v>
      </c>
      <c r="H70" s="83">
        <f t="shared" si="50"/>
        <v>2.4042068686868685</v>
      </c>
      <c r="I70" s="83">
        <f t="shared" si="50"/>
        <v>2.4042068686868685</v>
      </c>
      <c r="J70" s="83">
        <f t="shared" si="50"/>
        <v>2.4042068686868685</v>
      </c>
      <c r="K70" s="83">
        <f t="shared" si="50"/>
        <v>2.4042068686868685</v>
      </c>
      <c r="L70" s="83">
        <f t="shared" si="50"/>
        <v>2.4042068686868685</v>
      </c>
      <c r="M70" s="83">
        <f t="shared" si="50"/>
        <v>2.4042068686868685</v>
      </c>
      <c r="N70" s="83">
        <f t="shared" si="50"/>
        <v>2.4042068686868685</v>
      </c>
      <c r="O70" s="83">
        <f t="shared" si="50"/>
        <v>2.4042068686868685</v>
      </c>
      <c r="P70" s="107">
        <f t="shared" ref="P70" si="56">P69*P41</f>
        <v>3.3333333333333332E-4</v>
      </c>
      <c r="Q70" s="92">
        <f t="shared" si="52"/>
        <v>2.4042068686868685</v>
      </c>
      <c r="R70" s="83">
        <f t="shared" si="52"/>
        <v>2.4042068686868685</v>
      </c>
      <c r="S70" s="107">
        <f>S69*C41</f>
        <v>3.3333333333333332E-4</v>
      </c>
      <c r="T70" s="92">
        <f t="shared" si="53"/>
        <v>2.4042068686868685</v>
      </c>
      <c r="U70" s="83">
        <f t="shared" si="53"/>
        <v>2.4042068686868685</v>
      </c>
      <c r="V70" s="83">
        <f t="shared" si="53"/>
        <v>2.4042068686868685</v>
      </c>
      <c r="W70" s="83">
        <f t="shared" si="53"/>
        <v>2.4042068686868685</v>
      </c>
      <c r="X70" s="83">
        <f t="shared" si="53"/>
        <v>2.4042068686868685</v>
      </c>
      <c r="Y70" s="91">
        <f t="shared" si="53"/>
        <v>2.4042068686868685</v>
      </c>
      <c r="Z70" s="359">
        <f t="shared" si="53"/>
        <v>2.4042068686868685</v>
      </c>
      <c r="AA70" s="107">
        <f>AA69*K41</f>
        <v>2.4042068686868685</v>
      </c>
      <c r="AB70" s="92">
        <f t="shared" si="55"/>
        <v>2.4042068686868685</v>
      </c>
    </row>
    <row r="71" spans="1:28" x14ac:dyDescent="0.25">
      <c r="A71" s="330" t="s">
        <v>10</v>
      </c>
      <c r="B71" s="163" t="s">
        <v>48</v>
      </c>
      <c r="C71" s="191">
        <f>C69*8%*40%</f>
        <v>1.3333333333333334E-4</v>
      </c>
      <c r="D71" s="349">
        <f t="shared" si="48"/>
        <v>0.93822707070707068</v>
      </c>
      <c r="E71" s="83">
        <f t="shared" si="49"/>
        <v>0.93822707070707068</v>
      </c>
      <c r="F71" s="83">
        <f t="shared" si="50"/>
        <v>0.93822707070707068</v>
      </c>
      <c r="G71" s="83">
        <f t="shared" si="50"/>
        <v>0.96168274747474747</v>
      </c>
      <c r="H71" s="83">
        <f t="shared" si="50"/>
        <v>0.96168274747474747</v>
      </c>
      <c r="I71" s="83">
        <f t="shared" si="50"/>
        <v>0.96168274747474747</v>
      </c>
      <c r="J71" s="83">
        <f t="shared" si="50"/>
        <v>0.96168274747474747</v>
      </c>
      <c r="K71" s="83">
        <f t="shared" si="50"/>
        <v>0.96168274747474747</v>
      </c>
      <c r="L71" s="83">
        <f t="shared" si="50"/>
        <v>0.96168274747474747</v>
      </c>
      <c r="M71" s="83">
        <f t="shared" si="50"/>
        <v>0.96168274747474747</v>
      </c>
      <c r="N71" s="83">
        <f t="shared" si="50"/>
        <v>0.96168274747474747</v>
      </c>
      <c r="O71" s="83">
        <f t="shared" si="50"/>
        <v>0.96168274747474747</v>
      </c>
      <c r="P71" s="107">
        <f t="shared" ref="P71" si="57">P69*8%*40%</f>
        <v>1.3333333333333334E-4</v>
      </c>
      <c r="Q71" s="92">
        <f t="shared" si="52"/>
        <v>0.96168274747474747</v>
      </c>
      <c r="R71" s="83">
        <f t="shared" si="52"/>
        <v>0.96168274747474747</v>
      </c>
      <c r="S71" s="107">
        <f>S69*8%*40%</f>
        <v>1.3333333333333334E-4</v>
      </c>
      <c r="T71" s="92">
        <f t="shared" si="53"/>
        <v>0.96168274747474747</v>
      </c>
      <c r="U71" s="83">
        <f t="shared" si="53"/>
        <v>0.96168274747474747</v>
      </c>
      <c r="V71" s="83">
        <f t="shared" si="53"/>
        <v>0.96168274747474747</v>
      </c>
      <c r="W71" s="83">
        <f t="shared" si="53"/>
        <v>0.96168274747474747</v>
      </c>
      <c r="X71" s="83">
        <f t="shared" si="53"/>
        <v>0.96168274747474747</v>
      </c>
      <c r="Y71" s="91">
        <f t="shared" si="53"/>
        <v>0.96168274747474747</v>
      </c>
      <c r="Z71" s="359">
        <f t="shared" si="53"/>
        <v>0.96168274747474747</v>
      </c>
      <c r="AA71" s="107">
        <f>AA69*8%*40%</f>
        <v>1.3333333333333334E-4</v>
      </c>
      <c r="AB71" s="92">
        <f t="shared" si="55"/>
        <v>0.96168274747474747</v>
      </c>
    </row>
    <row r="72" spans="1:28" x14ac:dyDescent="0.25">
      <c r="A72" s="330" t="s">
        <v>12</v>
      </c>
      <c r="B72" s="163" t="s">
        <v>49</v>
      </c>
      <c r="C72" s="191">
        <f>(7/30/12)*100%</f>
        <v>1.9444444444444445E-2</v>
      </c>
      <c r="D72" s="349">
        <f t="shared" si="48"/>
        <v>136.82478114478113</v>
      </c>
      <c r="E72" s="83">
        <f t="shared" si="49"/>
        <v>136.82478114478113</v>
      </c>
      <c r="F72" s="83">
        <f t="shared" si="50"/>
        <v>136.82478114478113</v>
      </c>
      <c r="G72" s="83">
        <f t="shared" si="50"/>
        <v>140.24540067340067</v>
      </c>
      <c r="H72" s="83">
        <f t="shared" si="50"/>
        <v>140.24540067340067</v>
      </c>
      <c r="I72" s="83">
        <f t="shared" si="50"/>
        <v>140.24540067340067</v>
      </c>
      <c r="J72" s="83">
        <f t="shared" si="50"/>
        <v>140.24540067340067</v>
      </c>
      <c r="K72" s="83">
        <f t="shared" si="50"/>
        <v>140.24540067340067</v>
      </c>
      <c r="L72" s="83">
        <f t="shared" si="50"/>
        <v>140.24540067340067</v>
      </c>
      <c r="M72" s="83">
        <f t="shared" si="50"/>
        <v>140.24540067340067</v>
      </c>
      <c r="N72" s="83">
        <f t="shared" si="50"/>
        <v>140.24540067340067</v>
      </c>
      <c r="O72" s="83">
        <f t="shared" si="50"/>
        <v>140.24540067340067</v>
      </c>
      <c r="P72" s="107">
        <f t="shared" ref="P72" si="58">(7/30/12)*100%</f>
        <v>1.9444444444444445E-2</v>
      </c>
      <c r="Q72" s="92">
        <f t="shared" si="52"/>
        <v>140.24540067340067</v>
      </c>
      <c r="R72" s="83">
        <f t="shared" si="52"/>
        <v>140.24540067340067</v>
      </c>
      <c r="S72" s="107">
        <v>1.9400000000000001E-3</v>
      </c>
      <c r="T72" s="92">
        <f t="shared" ref="T72:Z72" si="59">$S$72*(T$19+T$27)</f>
        <v>13.992483975757576</v>
      </c>
      <c r="U72" s="83">
        <f t="shared" si="59"/>
        <v>13.992483975757576</v>
      </c>
      <c r="V72" s="83">
        <f t="shared" si="59"/>
        <v>13.992483975757576</v>
      </c>
      <c r="W72" s="83">
        <f t="shared" si="59"/>
        <v>13.992483975757576</v>
      </c>
      <c r="X72" s="83">
        <f t="shared" si="59"/>
        <v>13.992483975757576</v>
      </c>
      <c r="Y72" s="91">
        <f t="shared" si="59"/>
        <v>13.992483975757576</v>
      </c>
      <c r="Z72" s="359">
        <f t="shared" si="59"/>
        <v>13.992483975757576</v>
      </c>
      <c r="AA72" s="107">
        <v>1.9400000000000001E-3</v>
      </c>
      <c r="AB72" s="92">
        <f t="shared" ref="AB72" si="60">$S$72*(AB$19+AB$27)</f>
        <v>13.992483975757576</v>
      </c>
    </row>
    <row r="73" spans="1:28" x14ac:dyDescent="0.25">
      <c r="A73" s="330" t="s">
        <v>14</v>
      </c>
      <c r="B73" s="163" t="s">
        <v>50</v>
      </c>
      <c r="C73" s="191">
        <f>C72*C42</f>
        <v>3.1779222222222221E-3</v>
      </c>
      <c r="D73" s="349">
        <f t="shared" si="48"/>
        <v>22.362094931178447</v>
      </c>
      <c r="E73" s="83">
        <f t="shared" si="49"/>
        <v>22.362094931178447</v>
      </c>
      <c r="F73" s="83">
        <f t="shared" si="50"/>
        <v>22.362094931178447</v>
      </c>
      <c r="G73" s="83">
        <f t="shared" si="50"/>
        <v>22.921147304457911</v>
      </c>
      <c r="H73" s="83">
        <f t="shared" si="50"/>
        <v>22.921147304457911</v>
      </c>
      <c r="I73" s="83">
        <f t="shared" si="50"/>
        <v>22.921147304457911</v>
      </c>
      <c r="J73" s="83">
        <f t="shared" si="50"/>
        <v>22.921147304457911</v>
      </c>
      <c r="K73" s="83">
        <f t="shared" si="50"/>
        <v>22.921147304457911</v>
      </c>
      <c r="L73" s="83">
        <f t="shared" si="50"/>
        <v>22.921147304457911</v>
      </c>
      <c r="M73" s="83">
        <f t="shared" si="50"/>
        <v>22.921147304457911</v>
      </c>
      <c r="N73" s="83">
        <f t="shared" si="50"/>
        <v>22.921147304457911</v>
      </c>
      <c r="O73" s="83">
        <f t="shared" si="50"/>
        <v>22.921147304457911</v>
      </c>
      <c r="P73" s="107">
        <f t="shared" ref="P73" si="61">P72*P42</f>
        <v>3.0766944444444448E-3</v>
      </c>
      <c r="Q73" s="92">
        <f>$P$73*(Q$19+Q$27)</f>
        <v>22.191029748552189</v>
      </c>
      <c r="R73" s="83">
        <f>$P$73*(R$19+R$27)</f>
        <v>22.191029748552189</v>
      </c>
      <c r="S73" s="107">
        <f>S72*P42</f>
        <v>3.0696620000000006E-4</v>
      </c>
      <c r="T73" s="92">
        <f t="shared" ref="T73:Z73" si="62">$S$73*(T$19+T$27)</f>
        <v>2.2140307394841217</v>
      </c>
      <c r="U73" s="83">
        <f t="shared" si="62"/>
        <v>2.2140307394841217</v>
      </c>
      <c r="V73" s="83">
        <f t="shared" si="62"/>
        <v>2.2140307394841217</v>
      </c>
      <c r="W73" s="83">
        <f t="shared" si="62"/>
        <v>2.2140307394841217</v>
      </c>
      <c r="X73" s="83">
        <f t="shared" si="62"/>
        <v>2.2140307394841217</v>
      </c>
      <c r="Y73" s="91">
        <f t="shared" si="62"/>
        <v>2.2140307394841217</v>
      </c>
      <c r="Z73" s="359">
        <f t="shared" si="62"/>
        <v>2.2140307394841217</v>
      </c>
      <c r="AA73" s="107">
        <f>AA72*X42</f>
        <v>2.2140307394841217</v>
      </c>
      <c r="AB73" s="92">
        <f t="shared" ref="AB73" si="63">$S$73*(AB$19+AB$27)</f>
        <v>2.2140307394841217</v>
      </c>
    </row>
    <row r="74" spans="1:28" x14ac:dyDescent="0.25">
      <c r="A74" s="330" t="s">
        <v>16</v>
      </c>
      <c r="B74" s="163" t="s">
        <v>51</v>
      </c>
      <c r="C74" s="191">
        <f>C72*8%*40%</f>
        <v>6.2222222222222236E-4</v>
      </c>
      <c r="D74" s="349">
        <f t="shared" si="48"/>
        <v>4.3783929966329973</v>
      </c>
      <c r="E74" s="83">
        <f t="shared" si="49"/>
        <v>4.3783929966329973</v>
      </c>
      <c r="F74" s="83">
        <f t="shared" si="50"/>
        <v>4.3783929966329973</v>
      </c>
      <c r="G74" s="83">
        <f t="shared" si="50"/>
        <v>4.487852821548822</v>
      </c>
      <c r="H74" s="83">
        <f t="shared" si="50"/>
        <v>4.487852821548822</v>
      </c>
      <c r="I74" s="83">
        <f t="shared" si="50"/>
        <v>4.487852821548822</v>
      </c>
      <c r="J74" s="83">
        <f t="shared" si="50"/>
        <v>4.487852821548822</v>
      </c>
      <c r="K74" s="83">
        <f t="shared" si="50"/>
        <v>4.487852821548822</v>
      </c>
      <c r="L74" s="83">
        <f t="shared" si="50"/>
        <v>4.487852821548822</v>
      </c>
      <c r="M74" s="83">
        <f t="shared" si="50"/>
        <v>4.487852821548822</v>
      </c>
      <c r="N74" s="83">
        <f t="shared" si="50"/>
        <v>4.487852821548822</v>
      </c>
      <c r="O74" s="83">
        <f t="shared" si="50"/>
        <v>4.487852821548822</v>
      </c>
      <c r="P74" s="107">
        <f t="shared" ref="P74" si="64">P72*8%*40%</f>
        <v>6.2222222222222236E-4</v>
      </c>
      <c r="Q74" s="92">
        <f>$C74*(Q$19+Q$27)</f>
        <v>4.487852821548822</v>
      </c>
      <c r="R74" s="83">
        <f>$C74*(R$19+R$27)</f>
        <v>4.487852821548822</v>
      </c>
      <c r="S74" s="107">
        <f>S72*8%*40%</f>
        <v>6.2080000000000002E-5</v>
      </c>
      <c r="T74" s="92">
        <f t="shared" ref="T74:Z74" si="65">$S74*(T$19+T$27)</f>
        <v>0.44775948722424241</v>
      </c>
      <c r="U74" s="83">
        <f t="shared" si="65"/>
        <v>0.44775948722424241</v>
      </c>
      <c r="V74" s="83">
        <f t="shared" si="65"/>
        <v>0.44775948722424241</v>
      </c>
      <c r="W74" s="83">
        <f t="shared" si="65"/>
        <v>0.44775948722424241</v>
      </c>
      <c r="X74" s="83">
        <f t="shared" si="65"/>
        <v>0.44775948722424241</v>
      </c>
      <c r="Y74" s="91">
        <f t="shared" si="65"/>
        <v>0.44775948722424241</v>
      </c>
      <c r="Z74" s="359">
        <f t="shared" si="65"/>
        <v>0.44775948722424241</v>
      </c>
      <c r="AA74" s="107">
        <f>AA72*8%*40%</f>
        <v>6.2080000000000002E-5</v>
      </c>
      <c r="AB74" s="92">
        <f t="shared" ref="AB74" si="66">$S74*(AB$19+AB$27)</f>
        <v>0.44775948722424241</v>
      </c>
    </row>
    <row r="75" spans="1:28" x14ac:dyDescent="0.25">
      <c r="A75" s="330" t="s">
        <v>32</v>
      </c>
      <c r="B75" s="163" t="s">
        <v>133</v>
      </c>
      <c r="C75" s="191">
        <v>3.49E-2</v>
      </c>
      <c r="D75" s="349">
        <f t="shared" si="48"/>
        <v>245.58093575757573</v>
      </c>
      <c r="E75" s="83">
        <f t="shared" si="49"/>
        <v>245.58093575757573</v>
      </c>
      <c r="F75" s="83">
        <f t="shared" si="50"/>
        <v>245.58093575757573</v>
      </c>
      <c r="G75" s="83">
        <f t="shared" si="50"/>
        <v>251.72045915151514</v>
      </c>
      <c r="H75" s="83">
        <f t="shared" si="50"/>
        <v>251.72045915151514</v>
      </c>
      <c r="I75" s="83">
        <f t="shared" si="50"/>
        <v>251.72045915151514</v>
      </c>
      <c r="J75" s="83">
        <f t="shared" si="50"/>
        <v>251.72045915151514</v>
      </c>
      <c r="K75" s="83">
        <f t="shared" si="50"/>
        <v>251.72045915151514</v>
      </c>
      <c r="L75" s="83">
        <f t="shared" si="50"/>
        <v>251.72045915151514</v>
      </c>
      <c r="M75" s="83">
        <f t="shared" si="50"/>
        <v>251.72045915151514</v>
      </c>
      <c r="N75" s="83">
        <f t="shared" si="50"/>
        <v>251.72045915151514</v>
      </c>
      <c r="O75" s="83">
        <f t="shared" si="50"/>
        <v>251.72045915151514</v>
      </c>
      <c r="P75" s="107">
        <v>3.49E-2</v>
      </c>
      <c r="Q75" s="92">
        <f>$C75*(Q$19+Q$27)</f>
        <v>251.72045915151514</v>
      </c>
      <c r="R75" s="83">
        <f>$C75*(R$19+R$27)</f>
        <v>251.72045915151514</v>
      </c>
      <c r="S75" s="107">
        <v>3.49E-2</v>
      </c>
      <c r="T75" s="92">
        <f t="shared" ref="T75:Z75" si="67">$C75*(T$19+T$27)</f>
        <v>251.72045915151514</v>
      </c>
      <c r="U75" s="83">
        <f t="shared" si="67"/>
        <v>251.72045915151514</v>
      </c>
      <c r="V75" s="83">
        <f t="shared" si="67"/>
        <v>251.72045915151514</v>
      </c>
      <c r="W75" s="83">
        <f t="shared" si="67"/>
        <v>251.72045915151514</v>
      </c>
      <c r="X75" s="83">
        <f t="shared" si="67"/>
        <v>251.72045915151514</v>
      </c>
      <c r="Y75" s="91">
        <f t="shared" si="67"/>
        <v>251.72045915151514</v>
      </c>
      <c r="Z75" s="359">
        <f t="shared" si="67"/>
        <v>251.72045915151514</v>
      </c>
      <c r="AA75" s="107">
        <v>3.49E-2</v>
      </c>
      <c r="AB75" s="92">
        <f t="shared" ref="AB75" si="68">$C75*(AB$19+AB$27)</f>
        <v>251.72045915151514</v>
      </c>
    </row>
    <row r="76" spans="1:28" x14ac:dyDescent="0.25">
      <c r="A76" s="503" t="s">
        <v>161</v>
      </c>
      <c r="B76" s="500"/>
      <c r="C76" s="186">
        <f>SUM(C69:C75)</f>
        <v>6.2777922222222227E-2</v>
      </c>
      <c r="D76" s="205">
        <f>SUM(D69:D75)</f>
        <v>441.74959553723903</v>
      </c>
      <c r="E76" s="83">
        <f>SUM(E69:E75)</f>
        <v>441.74959553723903</v>
      </c>
      <c r="F76" s="83">
        <f t="shared" ref="F76:AB76" si="69">SUM(F69:F75)</f>
        <v>441.74959553723903</v>
      </c>
      <c r="G76" s="83">
        <f t="shared" si="69"/>
        <v>452.79333542567002</v>
      </c>
      <c r="H76" s="83">
        <f t="shared" si="69"/>
        <v>452.79333542567002</v>
      </c>
      <c r="I76" s="83">
        <f t="shared" si="69"/>
        <v>452.79333542567002</v>
      </c>
      <c r="J76" s="83">
        <f t="shared" si="69"/>
        <v>452.79333542567002</v>
      </c>
      <c r="K76" s="83">
        <f t="shared" si="69"/>
        <v>452.79333542567002</v>
      </c>
      <c r="L76" s="83">
        <f t="shared" si="69"/>
        <v>452.79333542567002</v>
      </c>
      <c r="M76" s="83">
        <f t="shared" si="69"/>
        <v>452.79333542567002</v>
      </c>
      <c r="N76" s="83">
        <f t="shared" si="69"/>
        <v>452.79333542567002</v>
      </c>
      <c r="O76" s="83">
        <f t="shared" si="69"/>
        <v>452.79333542567002</v>
      </c>
      <c r="P76" s="108">
        <f t="shared" si="69"/>
        <v>6.2676694444444445E-2</v>
      </c>
      <c r="Q76" s="92">
        <f t="shared" si="69"/>
        <v>452.06321786976429</v>
      </c>
      <c r="R76" s="83">
        <f t="shared" si="69"/>
        <v>452.06321786976429</v>
      </c>
      <c r="S76" s="108">
        <f t="shared" si="69"/>
        <v>4.1842379533333335E-2</v>
      </c>
      <c r="T76" s="92">
        <f t="shared" si="69"/>
        <v>301.79320882872855</v>
      </c>
      <c r="U76" s="83">
        <f t="shared" si="69"/>
        <v>301.79320882872855</v>
      </c>
      <c r="V76" s="83">
        <f t="shared" si="69"/>
        <v>301.79320882872855</v>
      </c>
      <c r="W76" s="83">
        <f t="shared" si="69"/>
        <v>301.79320882872855</v>
      </c>
      <c r="X76" s="83">
        <f t="shared" si="69"/>
        <v>301.79320882872855</v>
      </c>
      <c r="Y76" s="91">
        <f t="shared" si="69"/>
        <v>301.79320882872855</v>
      </c>
      <c r="Z76" s="359">
        <f t="shared" si="69"/>
        <v>301.79320882872855</v>
      </c>
      <c r="AA76" s="108">
        <f t="shared" si="69"/>
        <v>4.6594396881709903</v>
      </c>
      <c r="AB76" s="92">
        <f t="shared" si="69"/>
        <v>301.79320882872855</v>
      </c>
    </row>
    <row r="77" spans="1:28" x14ac:dyDescent="0.25">
      <c r="A77" s="502" t="s">
        <v>111</v>
      </c>
      <c r="B77" s="502"/>
      <c r="C77" s="502"/>
      <c r="D77" s="502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70"/>
      <c r="Q77" s="329"/>
      <c r="R77" s="115"/>
      <c r="S77" s="328"/>
      <c r="T77" s="329"/>
      <c r="U77" s="115"/>
      <c r="V77" s="115"/>
      <c r="W77" s="115"/>
      <c r="X77" s="115"/>
      <c r="Y77" s="119"/>
      <c r="Z77" s="353"/>
      <c r="AA77" s="370"/>
      <c r="AB77" s="371"/>
    </row>
    <row r="78" spans="1:28" x14ac:dyDescent="0.25">
      <c r="A78" s="502" t="s">
        <v>119</v>
      </c>
      <c r="B78" s="502"/>
      <c r="C78" s="502"/>
      <c r="D78" s="502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70"/>
      <c r="Q78" s="329"/>
      <c r="R78" s="115"/>
      <c r="S78" s="328"/>
      <c r="T78" s="329"/>
      <c r="U78" s="115"/>
      <c r="V78" s="115"/>
      <c r="W78" s="115"/>
      <c r="X78" s="115"/>
      <c r="Y78" s="119"/>
      <c r="Z78" s="353"/>
      <c r="AA78" s="370"/>
      <c r="AB78" s="371"/>
    </row>
    <row r="79" spans="1:28" x14ac:dyDescent="0.25"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70"/>
      <c r="Q79" s="329"/>
      <c r="R79" s="115"/>
      <c r="S79" s="328"/>
      <c r="T79" s="329"/>
      <c r="U79" s="115"/>
      <c r="V79" s="115"/>
      <c r="W79" s="115"/>
      <c r="X79" s="115"/>
      <c r="Y79" s="119"/>
      <c r="Z79" s="353"/>
      <c r="AA79" s="370"/>
      <c r="AB79" s="371"/>
    </row>
    <row r="80" spans="1:28" x14ac:dyDescent="0.25">
      <c r="A80" s="472" t="s">
        <v>52</v>
      </c>
      <c r="B80" s="472"/>
      <c r="C80" s="472"/>
      <c r="D80" s="472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328"/>
      <c r="Q80" s="329"/>
      <c r="R80" s="115"/>
      <c r="S80" s="328"/>
      <c r="T80" s="329"/>
      <c r="U80" s="115"/>
      <c r="V80" s="115"/>
      <c r="W80" s="115"/>
      <c r="X80" s="115"/>
      <c r="Y80" s="119"/>
      <c r="Z80" s="353"/>
      <c r="AA80" s="370"/>
      <c r="AB80" s="371"/>
    </row>
    <row r="81" spans="1:28" x14ac:dyDescent="0.25">
      <c r="A81" s="469" t="s">
        <v>112</v>
      </c>
      <c r="B81" s="469"/>
      <c r="C81" s="469"/>
      <c r="D81" s="469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328"/>
      <c r="Q81" s="329"/>
      <c r="R81" s="115"/>
      <c r="S81" s="328"/>
      <c r="T81" s="329"/>
      <c r="U81" s="115"/>
      <c r="V81" s="115"/>
      <c r="W81" s="115"/>
      <c r="X81" s="115"/>
      <c r="Y81" s="119"/>
      <c r="Z81" s="353"/>
      <c r="AA81" s="370"/>
      <c r="AB81" s="371"/>
    </row>
    <row r="82" spans="1:28" x14ac:dyDescent="0.25"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328"/>
      <c r="Q82" s="329"/>
      <c r="R82" s="115"/>
      <c r="S82" s="328"/>
      <c r="T82" s="329"/>
      <c r="U82" s="115"/>
      <c r="V82" s="115"/>
      <c r="W82" s="115"/>
      <c r="X82" s="115"/>
      <c r="Y82" s="119"/>
      <c r="Z82" s="353"/>
      <c r="AA82" s="370"/>
      <c r="AB82" s="371"/>
    </row>
    <row r="83" spans="1:28" x14ac:dyDescent="0.25">
      <c r="A83" s="472" t="s">
        <v>114</v>
      </c>
      <c r="B83" s="472"/>
      <c r="C83" s="472"/>
      <c r="D83" s="472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328"/>
      <c r="Q83" s="329"/>
      <c r="R83" s="115"/>
      <c r="S83" s="328"/>
      <c r="T83" s="329"/>
      <c r="U83" s="115"/>
      <c r="V83" s="115"/>
      <c r="W83" s="115"/>
      <c r="X83" s="115"/>
      <c r="Y83" s="119"/>
      <c r="Z83" s="353"/>
      <c r="AA83" s="370"/>
      <c r="AB83" s="371"/>
    </row>
    <row r="84" spans="1:28" x14ac:dyDescent="0.25">
      <c r="A84" s="332" t="s">
        <v>53</v>
      </c>
      <c r="B84" s="333" t="s">
        <v>54</v>
      </c>
      <c r="C84" s="333" t="s">
        <v>26</v>
      </c>
      <c r="D84" s="333" t="s">
        <v>5</v>
      </c>
      <c r="E84" s="189" t="s">
        <v>5</v>
      </c>
      <c r="F84" s="189" t="s">
        <v>5</v>
      </c>
      <c r="G84" s="189" t="s">
        <v>5</v>
      </c>
      <c r="H84" s="189" t="s">
        <v>5</v>
      </c>
      <c r="I84" s="189" t="s">
        <v>5</v>
      </c>
      <c r="J84" s="189" t="s">
        <v>5</v>
      </c>
      <c r="K84" s="189" t="s">
        <v>5</v>
      </c>
      <c r="L84" s="189" t="s">
        <v>5</v>
      </c>
      <c r="M84" s="189" t="s">
        <v>5</v>
      </c>
      <c r="N84" s="189" t="s">
        <v>5</v>
      </c>
      <c r="O84" s="189" t="s">
        <v>5</v>
      </c>
      <c r="P84" s="197" t="s">
        <v>26</v>
      </c>
      <c r="Q84" s="93" t="s">
        <v>5</v>
      </c>
      <c r="R84" s="189" t="s">
        <v>5</v>
      </c>
      <c r="S84" s="197" t="s">
        <v>26</v>
      </c>
      <c r="T84" s="93" t="s">
        <v>5</v>
      </c>
      <c r="U84" s="189" t="s">
        <v>5</v>
      </c>
      <c r="V84" s="189" t="s">
        <v>5</v>
      </c>
      <c r="W84" s="189" t="s">
        <v>5</v>
      </c>
      <c r="X84" s="189" t="s">
        <v>5</v>
      </c>
      <c r="Y84" s="338" t="s">
        <v>5</v>
      </c>
      <c r="Z84" s="360" t="s">
        <v>5</v>
      </c>
      <c r="AA84" s="197" t="s">
        <v>26</v>
      </c>
      <c r="AB84" s="93" t="s">
        <v>5</v>
      </c>
    </row>
    <row r="85" spans="1:28" x14ac:dyDescent="0.25">
      <c r="A85" s="330" t="s">
        <v>6</v>
      </c>
      <c r="B85" s="163" t="s">
        <v>55</v>
      </c>
      <c r="C85" s="191">
        <v>6.8999999999999999E-3</v>
      </c>
      <c r="D85" s="349">
        <f t="shared" ref="D85:D90" si="70">C85*($D$19+$D$27)</f>
        <v>48.553250909090906</v>
      </c>
      <c r="E85" s="83">
        <f t="shared" ref="E85:E90" si="71">$C85*(E$19+E$27)</f>
        <v>48.553250909090906</v>
      </c>
      <c r="F85" s="83">
        <f t="shared" ref="F85:O90" si="72">$C85*(F$19+F$27)</f>
        <v>48.553250909090906</v>
      </c>
      <c r="G85" s="83">
        <f t="shared" si="72"/>
        <v>49.767082181818175</v>
      </c>
      <c r="H85" s="83">
        <f t="shared" si="72"/>
        <v>49.767082181818175</v>
      </c>
      <c r="I85" s="83">
        <f t="shared" si="72"/>
        <v>49.767082181818175</v>
      </c>
      <c r="J85" s="83">
        <f t="shared" si="72"/>
        <v>49.767082181818175</v>
      </c>
      <c r="K85" s="83">
        <f t="shared" si="72"/>
        <v>49.767082181818175</v>
      </c>
      <c r="L85" s="83">
        <f t="shared" si="72"/>
        <v>49.767082181818175</v>
      </c>
      <c r="M85" s="83">
        <f t="shared" si="72"/>
        <v>49.767082181818175</v>
      </c>
      <c r="N85" s="83">
        <f t="shared" si="72"/>
        <v>49.767082181818175</v>
      </c>
      <c r="O85" s="83">
        <f t="shared" si="72"/>
        <v>49.767082181818175</v>
      </c>
      <c r="P85" s="107">
        <v>6.8999999999999999E-3</v>
      </c>
      <c r="Q85" s="92">
        <f t="shared" ref="Q85:R88" si="73">$C85*(Q$19+Q$27)</f>
        <v>49.767082181818175</v>
      </c>
      <c r="R85" s="83">
        <f t="shared" si="73"/>
        <v>49.767082181818175</v>
      </c>
      <c r="S85" s="107">
        <v>6.8999999999999999E-3</v>
      </c>
      <c r="T85" s="92">
        <f t="shared" ref="T85:Z88" si="74">$C85*(T$19+T$27)</f>
        <v>49.767082181818175</v>
      </c>
      <c r="U85" s="83">
        <f t="shared" si="74"/>
        <v>49.767082181818175</v>
      </c>
      <c r="V85" s="83">
        <f t="shared" si="74"/>
        <v>49.767082181818175</v>
      </c>
      <c r="W85" s="83">
        <f t="shared" si="74"/>
        <v>49.767082181818175</v>
      </c>
      <c r="X85" s="83">
        <f t="shared" si="74"/>
        <v>49.767082181818175</v>
      </c>
      <c r="Y85" s="91">
        <f t="shared" si="74"/>
        <v>49.767082181818175</v>
      </c>
      <c r="Z85" s="359">
        <f t="shared" si="74"/>
        <v>49.767082181818175</v>
      </c>
      <c r="AA85" s="107">
        <v>6.8999999999999999E-3</v>
      </c>
      <c r="AB85" s="92">
        <f t="shared" ref="AB85:AB88" si="75">$C85*(AB$19+AB$27)</f>
        <v>49.767082181818175</v>
      </c>
    </row>
    <row r="86" spans="1:28" x14ac:dyDescent="0.25">
      <c r="A86" s="330" t="s">
        <v>8</v>
      </c>
      <c r="B86" s="163" t="s">
        <v>56</v>
      </c>
      <c r="C86" s="191">
        <f>(1/30)*(1/12)</f>
        <v>2.7777777777777775E-3</v>
      </c>
      <c r="D86" s="349">
        <f t="shared" si="70"/>
        <v>19.546397306397303</v>
      </c>
      <c r="E86" s="83">
        <f t="shared" si="71"/>
        <v>19.546397306397303</v>
      </c>
      <c r="F86" s="83">
        <f t="shared" si="72"/>
        <v>19.546397306397303</v>
      </c>
      <c r="G86" s="83">
        <f t="shared" si="72"/>
        <v>20.035057239057235</v>
      </c>
      <c r="H86" s="83">
        <f t="shared" si="72"/>
        <v>20.035057239057235</v>
      </c>
      <c r="I86" s="83">
        <f t="shared" si="72"/>
        <v>20.035057239057235</v>
      </c>
      <c r="J86" s="83">
        <f t="shared" si="72"/>
        <v>20.035057239057235</v>
      </c>
      <c r="K86" s="83">
        <f t="shared" si="72"/>
        <v>20.035057239057235</v>
      </c>
      <c r="L86" s="83">
        <f t="shared" si="72"/>
        <v>20.035057239057235</v>
      </c>
      <c r="M86" s="83">
        <f t="shared" si="72"/>
        <v>20.035057239057235</v>
      </c>
      <c r="N86" s="83">
        <f t="shared" si="72"/>
        <v>20.035057239057235</v>
      </c>
      <c r="O86" s="83">
        <f t="shared" si="72"/>
        <v>20.035057239057235</v>
      </c>
      <c r="P86" s="107">
        <f>(1/30)*(1/12)</f>
        <v>2.7777777777777775E-3</v>
      </c>
      <c r="Q86" s="92">
        <f t="shared" si="73"/>
        <v>20.035057239057235</v>
      </c>
      <c r="R86" s="83">
        <f t="shared" si="73"/>
        <v>20.035057239057235</v>
      </c>
      <c r="S86" s="107">
        <f t="shared" ref="S86" si="76">(1/30)*(1/12)</f>
        <v>2.7777777777777775E-3</v>
      </c>
      <c r="T86" s="92">
        <f t="shared" si="74"/>
        <v>20.035057239057235</v>
      </c>
      <c r="U86" s="83">
        <f t="shared" si="74"/>
        <v>20.035057239057235</v>
      </c>
      <c r="V86" s="83">
        <f t="shared" si="74"/>
        <v>20.035057239057235</v>
      </c>
      <c r="W86" s="83">
        <f t="shared" si="74"/>
        <v>20.035057239057235</v>
      </c>
      <c r="X86" s="83">
        <f t="shared" si="74"/>
        <v>20.035057239057235</v>
      </c>
      <c r="Y86" s="91">
        <f t="shared" si="74"/>
        <v>20.035057239057235</v>
      </c>
      <c r="Z86" s="359">
        <f t="shared" si="74"/>
        <v>20.035057239057235</v>
      </c>
      <c r="AA86" s="107">
        <f t="shared" ref="AA86" si="77">(1/30)*(1/12)</f>
        <v>2.7777777777777775E-3</v>
      </c>
      <c r="AB86" s="92">
        <f t="shared" si="75"/>
        <v>20.035057239057235</v>
      </c>
    </row>
    <row r="87" spans="1:28" x14ac:dyDescent="0.25">
      <c r="A87" s="330" t="s">
        <v>10</v>
      </c>
      <c r="B87" s="163" t="s">
        <v>57</v>
      </c>
      <c r="C87" s="191">
        <f>(5/30/12)*1.5%</f>
        <v>2.0833333333333332E-4</v>
      </c>
      <c r="D87" s="349">
        <f t="shared" si="70"/>
        <v>1.4659797979797977</v>
      </c>
      <c r="E87" s="83">
        <f t="shared" si="71"/>
        <v>1.4659797979797977</v>
      </c>
      <c r="F87" s="83">
        <f t="shared" si="72"/>
        <v>1.4659797979797977</v>
      </c>
      <c r="G87" s="83">
        <f t="shared" si="72"/>
        <v>1.5026292929292928</v>
      </c>
      <c r="H87" s="83">
        <f t="shared" si="72"/>
        <v>1.5026292929292928</v>
      </c>
      <c r="I87" s="83">
        <f t="shared" si="72"/>
        <v>1.5026292929292928</v>
      </c>
      <c r="J87" s="83">
        <f t="shared" si="72"/>
        <v>1.5026292929292928</v>
      </c>
      <c r="K87" s="83">
        <f t="shared" si="72"/>
        <v>1.5026292929292928</v>
      </c>
      <c r="L87" s="83">
        <f t="shared" si="72"/>
        <v>1.5026292929292928</v>
      </c>
      <c r="M87" s="83">
        <f t="shared" si="72"/>
        <v>1.5026292929292928</v>
      </c>
      <c r="N87" s="83">
        <f t="shared" si="72"/>
        <v>1.5026292929292928</v>
      </c>
      <c r="O87" s="83">
        <f t="shared" si="72"/>
        <v>1.5026292929292928</v>
      </c>
      <c r="P87" s="107">
        <f>(5/30/12)*1.5%</f>
        <v>2.0833333333333332E-4</v>
      </c>
      <c r="Q87" s="92">
        <f t="shared" si="73"/>
        <v>1.5026292929292928</v>
      </c>
      <c r="R87" s="83">
        <f t="shared" si="73"/>
        <v>1.5026292929292928</v>
      </c>
      <c r="S87" s="107">
        <f t="shared" ref="S87" si="78">(5/30/12)*1.5%</f>
        <v>2.0833333333333332E-4</v>
      </c>
      <c r="T87" s="92">
        <f t="shared" si="74"/>
        <v>1.5026292929292928</v>
      </c>
      <c r="U87" s="83">
        <f t="shared" si="74"/>
        <v>1.5026292929292928</v>
      </c>
      <c r="V87" s="83">
        <f t="shared" si="74"/>
        <v>1.5026292929292928</v>
      </c>
      <c r="W87" s="83">
        <f t="shared" si="74"/>
        <v>1.5026292929292928</v>
      </c>
      <c r="X87" s="83">
        <f t="shared" si="74"/>
        <v>1.5026292929292928</v>
      </c>
      <c r="Y87" s="91">
        <f t="shared" si="74"/>
        <v>1.5026292929292928</v>
      </c>
      <c r="Z87" s="359">
        <f t="shared" si="74"/>
        <v>1.5026292929292928</v>
      </c>
      <c r="AA87" s="107">
        <f t="shared" ref="AA87" si="79">(5/30/12)*1.5%</f>
        <v>2.0833333333333332E-4</v>
      </c>
      <c r="AB87" s="92">
        <f t="shared" si="75"/>
        <v>1.5026292929292928</v>
      </c>
    </row>
    <row r="88" spans="1:28" x14ac:dyDescent="0.25">
      <c r="A88" s="330" t="s">
        <v>12</v>
      </c>
      <c r="B88" s="163" t="s">
        <v>58</v>
      </c>
      <c r="C88" s="191">
        <f>(15/30/12)*0.78%</f>
        <v>3.2499999999999999E-4</v>
      </c>
      <c r="D88" s="349">
        <f t="shared" si="70"/>
        <v>2.2869284848484845</v>
      </c>
      <c r="E88" s="83">
        <f t="shared" si="71"/>
        <v>2.2869284848484845</v>
      </c>
      <c r="F88" s="83">
        <f t="shared" si="72"/>
        <v>2.2869284848484845</v>
      </c>
      <c r="G88" s="83">
        <f t="shared" si="72"/>
        <v>2.3441016969696968</v>
      </c>
      <c r="H88" s="83">
        <f t="shared" si="72"/>
        <v>2.3441016969696968</v>
      </c>
      <c r="I88" s="83">
        <f t="shared" si="72"/>
        <v>2.3441016969696968</v>
      </c>
      <c r="J88" s="83">
        <f t="shared" si="72"/>
        <v>2.3441016969696968</v>
      </c>
      <c r="K88" s="83">
        <f t="shared" si="72"/>
        <v>2.3441016969696968</v>
      </c>
      <c r="L88" s="83">
        <f t="shared" si="72"/>
        <v>2.3441016969696968</v>
      </c>
      <c r="M88" s="83">
        <f t="shared" si="72"/>
        <v>2.3441016969696968</v>
      </c>
      <c r="N88" s="83">
        <f t="shared" si="72"/>
        <v>2.3441016969696968</v>
      </c>
      <c r="O88" s="83">
        <f t="shared" si="72"/>
        <v>2.3441016969696968</v>
      </c>
      <c r="P88" s="107">
        <f>(15/30/12)*0.78%</f>
        <v>3.2499999999999999E-4</v>
      </c>
      <c r="Q88" s="92">
        <f t="shared" si="73"/>
        <v>2.3441016969696968</v>
      </c>
      <c r="R88" s="83">
        <f t="shared" si="73"/>
        <v>2.3441016969696968</v>
      </c>
      <c r="S88" s="107">
        <f t="shared" ref="S88" si="80">(15/30/12)*0.78%</f>
        <v>3.2499999999999999E-4</v>
      </c>
      <c r="T88" s="92">
        <f t="shared" si="74"/>
        <v>2.3441016969696968</v>
      </c>
      <c r="U88" s="83">
        <f t="shared" si="74"/>
        <v>2.3441016969696968</v>
      </c>
      <c r="V88" s="83">
        <f t="shared" si="74"/>
        <v>2.3441016969696968</v>
      </c>
      <c r="W88" s="83">
        <f t="shared" si="74"/>
        <v>2.3441016969696968</v>
      </c>
      <c r="X88" s="83">
        <f t="shared" si="74"/>
        <v>2.3441016969696968</v>
      </c>
      <c r="Y88" s="91">
        <f t="shared" si="74"/>
        <v>2.3441016969696968</v>
      </c>
      <c r="Z88" s="359">
        <f t="shared" si="74"/>
        <v>2.3441016969696968</v>
      </c>
      <c r="AA88" s="107">
        <f t="shared" ref="AA88" si="81">(15/30/12)*0.78%</f>
        <v>3.2499999999999999E-4</v>
      </c>
      <c r="AB88" s="92">
        <f t="shared" si="75"/>
        <v>2.3441016969696968</v>
      </c>
    </row>
    <row r="89" spans="1:28" x14ac:dyDescent="0.25">
      <c r="A89" s="330" t="s">
        <v>14</v>
      </c>
      <c r="B89" s="163" t="s">
        <v>59</v>
      </c>
      <c r="C89" s="191">
        <f>(1.44%*10%*(C34+C36+C25+C41+C75)*6/12)</f>
        <v>1.6649646545454546E-4</v>
      </c>
      <c r="D89" s="349">
        <f t="shared" si="70"/>
        <v>1.1715861829987437</v>
      </c>
      <c r="E89" s="83">
        <f t="shared" si="71"/>
        <v>1.1715861829987437</v>
      </c>
      <c r="F89" s="83">
        <f t="shared" si="72"/>
        <v>1.1715861829987437</v>
      </c>
      <c r="G89" s="83">
        <f t="shared" si="72"/>
        <v>1.2008758375737123</v>
      </c>
      <c r="H89" s="83">
        <f t="shared" si="72"/>
        <v>1.2008758375737123</v>
      </c>
      <c r="I89" s="83">
        <f t="shared" si="72"/>
        <v>1.2008758375737123</v>
      </c>
      <c r="J89" s="83">
        <f t="shared" si="72"/>
        <v>1.2008758375737123</v>
      </c>
      <c r="K89" s="83">
        <f t="shared" si="72"/>
        <v>1.2008758375737123</v>
      </c>
      <c r="L89" s="83">
        <f t="shared" si="72"/>
        <v>1.2008758375737123</v>
      </c>
      <c r="M89" s="83">
        <f t="shared" si="72"/>
        <v>1.2008758375737123</v>
      </c>
      <c r="N89" s="83">
        <f t="shared" si="72"/>
        <v>1.2008758375737123</v>
      </c>
      <c r="O89" s="83">
        <f t="shared" si="72"/>
        <v>1.2008758375737123</v>
      </c>
      <c r="P89" s="107">
        <f>(1.44%*10%*(P34+P36+$C25+P41+P75)*6/12)</f>
        <v>1.6274814545454546E-4</v>
      </c>
      <c r="Q89" s="92">
        <f>$P$89*(Q$19+Q$27)</f>
        <v>1.1738406275036033</v>
      </c>
      <c r="R89" s="83">
        <f>$P$89*(R$19+R$27)</f>
        <v>1.1738406275036033</v>
      </c>
      <c r="S89" s="107">
        <f>(1.44%*10%*(P34+P36+$C25+P41+S75)*6/12)</f>
        <v>1.6274814545454546E-4</v>
      </c>
      <c r="T89" s="92">
        <f>$S$89*(T$19+T$27)</f>
        <v>1.1738406275036033</v>
      </c>
      <c r="U89" s="83">
        <f t="shared" ref="U89:Z89" si="82">$S$89*(U$19+U$27)</f>
        <v>1.1738406275036033</v>
      </c>
      <c r="V89" s="83">
        <f t="shared" si="82"/>
        <v>1.1738406275036033</v>
      </c>
      <c r="W89" s="83">
        <f t="shared" si="82"/>
        <v>1.1738406275036033</v>
      </c>
      <c r="X89" s="83">
        <f t="shared" si="82"/>
        <v>1.1738406275036033</v>
      </c>
      <c r="Y89" s="91">
        <f t="shared" si="82"/>
        <v>1.1738406275036033</v>
      </c>
      <c r="Z89" s="359">
        <f t="shared" si="82"/>
        <v>1.1738406275036033</v>
      </c>
      <c r="AA89" s="107">
        <f>(1.44%*10%*(X34+X36+$C25+X41+AA75)*6/12)</f>
        <v>0.52059367615418173</v>
      </c>
      <c r="AB89" s="92">
        <f t="shared" ref="AB89" si="83">$S$89*(AB$19+AB$27)</f>
        <v>1.1738406275036033</v>
      </c>
    </row>
    <row r="90" spans="1:28" x14ac:dyDescent="0.25">
      <c r="A90" s="330" t="s">
        <v>16</v>
      </c>
      <c r="B90" s="163" t="s">
        <v>60</v>
      </c>
      <c r="C90" s="191">
        <v>0</v>
      </c>
      <c r="D90" s="349">
        <f t="shared" si="70"/>
        <v>0</v>
      </c>
      <c r="E90" s="83">
        <f t="shared" si="71"/>
        <v>0</v>
      </c>
      <c r="F90" s="83">
        <f t="shared" si="72"/>
        <v>0</v>
      </c>
      <c r="G90" s="83">
        <f t="shared" si="72"/>
        <v>0</v>
      </c>
      <c r="H90" s="83">
        <f t="shared" si="72"/>
        <v>0</v>
      </c>
      <c r="I90" s="83">
        <f t="shared" si="72"/>
        <v>0</v>
      </c>
      <c r="J90" s="83">
        <f t="shared" si="72"/>
        <v>0</v>
      </c>
      <c r="K90" s="83">
        <f t="shared" si="72"/>
        <v>0</v>
      </c>
      <c r="L90" s="83">
        <f t="shared" si="72"/>
        <v>0</v>
      </c>
      <c r="M90" s="83">
        <f t="shared" si="72"/>
        <v>0</v>
      </c>
      <c r="N90" s="83">
        <f t="shared" si="72"/>
        <v>0</v>
      </c>
      <c r="O90" s="83">
        <f t="shared" si="72"/>
        <v>0</v>
      </c>
      <c r="P90" s="107">
        <v>0</v>
      </c>
      <c r="Q90" s="92">
        <f>$C90*(Q$19+Q$27)</f>
        <v>0</v>
      </c>
      <c r="R90" s="83">
        <f>$C90*(R$19+R$27)</f>
        <v>0</v>
      </c>
      <c r="S90" s="107">
        <v>0</v>
      </c>
      <c r="T90" s="92">
        <f t="shared" ref="T90:Z90" si="84">$C90*(T$19+T$27)</f>
        <v>0</v>
      </c>
      <c r="U90" s="83">
        <f t="shared" si="84"/>
        <v>0</v>
      </c>
      <c r="V90" s="83">
        <f t="shared" si="84"/>
        <v>0</v>
      </c>
      <c r="W90" s="83">
        <f t="shared" si="84"/>
        <v>0</v>
      </c>
      <c r="X90" s="83">
        <f t="shared" si="84"/>
        <v>0</v>
      </c>
      <c r="Y90" s="91">
        <f t="shared" si="84"/>
        <v>0</v>
      </c>
      <c r="Z90" s="359">
        <f t="shared" si="84"/>
        <v>0</v>
      </c>
      <c r="AA90" s="107">
        <v>0</v>
      </c>
      <c r="AB90" s="92">
        <f t="shared" ref="AB90" si="85">$C90*(AB$19+AB$27)</f>
        <v>0</v>
      </c>
    </row>
    <row r="91" spans="1:28" x14ac:dyDescent="0.25">
      <c r="A91" s="503" t="s">
        <v>18</v>
      </c>
      <c r="B91" s="500"/>
      <c r="C91" s="186">
        <f>SUM(C85:C90)</f>
        <v>1.0377607576565657E-2</v>
      </c>
      <c r="D91" s="205">
        <f>SUM(D85:D90)</f>
        <v>73.024142681315226</v>
      </c>
      <c r="E91" s="83">
        <f>SUM(E85:E90)</f>
        <v>73.024142681315226</v>
      </c>
      <c r="F91" s="83">
        <f t="shared" ref="F91:AB91" si="86">SUM(F85:F90)</f>
        <v>73.024142681315226</v>
      </c>
      <c r="G91" s="83">
        <f t="shared" si="86"/>
        <v>74.849746248348126</v>
      </c>
      <c r="H91" s="83">
        <f t="shared" si="86"/>
        <v>74.849746248348126</v>
      </c>
      <c r="I91" s="83">
        <f t="shared" si="86"/>
        <v>74.849746248348126</v>
      </c>
      <c r="J91" s="83">
        <f t="shared" si="86"/>
        <v>74.849746248348126</v>
      </c>
      <c r="K91" s="83">
        <f t="shared" si="86"/>
        <v>74.849746248348126</v>
      </c>
      <c r="L91" s="83">
        <f t="shared" si="86"/>
        <v>74.849746248348126</v>
      </c>
      <c r="M91" s="83">
        <f t="shared" si="86"/>
        <v>74.849746248348126</v>
      </c>
      <c r="N91" s="83">
        <f t="shared" si="86"/>
        <v>74.849746248348126</v>
      </c>
      <c r="O91" s="83">
        <f t="shared" si="86"/>
        <v>74.849746248348126</v>
      </c>
      <c r="P91" s="108">
        <f t="shared" si="86"/>
        <v>1.0373859256565657E-2</v>
      </c>
      <c r="Q91" s="92">
        <f t="shared" si="86"/>
        <v>74.822711038278015</v>
      </c>
      <c r="R91" s="83">
        <f t="shared" si="86"/>
        <v>74.822711038278015</v>
      </c>
      <c r="S91" s="108">
        <f t="shared" si="86"/>
        <v>1.0373859256565657E-2</v>
      </c>
      <c r="T91" s="92">
        <f t="shared" si="86"/>
        <v>74.822711038278015</v>
      </c>
      <c r="U91" s="83">
        <f t="shared" si="86"/>
        <v>74.822711038278015</v>
      </c>
      <c r="V91" s="83">
        <f t="shared" si="86"/>
        <v>74.822711038278015</v>
      </c>
      <c r="W91" s="83">
        <f t="shared" si="86"/>
        <v>74.822711038278015</v>
      </c>
      <c r="X91" s="83">
        <f t="shared" si="86"/>
        <v>74.822711038278015</v>
      </c>
      <c r="Y91" s="91">
        <f t="shared" si="86"/>
        <v>74.822711038278015</v>
      </c>
      <c r="Z91" s="359">
        <f t="shared" si="86"/>
        <v>74.822711038278015</v>
      </c>
      <c r="AA91" s="108">
        <f t="shared" si="86"/>
        <v>0.53080478726529279</v>
      </c>
      <c r="AB91" s="92">
        <f t="shared" si="86"/>
        <v>74.822711038278015</v>
      </c>
    </row>
    <row r="92" spans="1:28" x14ac:dyDescent="0.25">
      <c r="A92" s="502" t="s">
        <v>120</v>
      </c>
      <c r="B92" s="502"/>
      <c r="C92" s="502"/>
      <c r="D92" s="502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328"/>
      <c r="Q92" s="329"/>
      <c r="R92" s="115"/>
      <c r="S92" s="328"/>
      <c r="T92" s="329"/>
      <c r="U92" s="115"/>
      <c r="V92" s="115"/>
      <c r="W92" s="115"/>
      <c r="X92" s="115"/>
      <c r="Y92" s="119"/>
      <c r="Z92" s="353"/>
      <c r="AA92" s="370"/>
      <c r="AB92" s="371"/>
    </row>
    <row r="93" spans="1:28" x14ac:dyDescent="0.25"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328"/>
      <c r="Q93" s="329"/>
      <c r="R93" s="115"/>
      <c r="S93" s="328"/>
      <c r="T93" s="329"/>
      <c r="U93" s="115"/>
      <c r="V93" s="115"/>
      <c r="W93" s="115"/>
      <c r="X93" s="115"/>
      <c r="Y93" s="119"/>
      <c r="Z93" s="353"/>
      <c r="AA93" s="370"/>
      <c r="AB93" s="371"/>
    </row>
    <row r="94" spans="1:28" x14ac:dyDescent="0.25">
      <c r="A94" s="467" t="s">
        <v>115</v>
      </c>
      <c r="B94" s="467"/>
      <c r="C94" s="467"/>
      <c r="D94" s="467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328"/>
      <c r="Q94" s="329"/>
      <c r="R94" s="115"/>
      <c r="S94" s="328"/>
      <c r="T94" s="329"/>
      <c r="U94" s="115"/>
      <c r="V94" s="115"/>
      <c r="W94" s="115"/>
      <c r="X94" s="115"/>
      <c r="Y94" s="119"/>
      <c r="Z94" s="353"/>
      <c r="AA94" s="370"/>
      <c r="AB94" s="371"/>
    </row>
    <row r="95" spans="1:28" x14ac:dyDescent="0.25">
      <c r="A95" s="332" t="s">
        <v>61</v>
      </c>
      <c r="B95" s="333" t="s">
        <v>62</v>
      </c>
      <c r="C95" s="333" t="s">
        <v>5</v>
      </c>
      <c r="D95" s="332"/>
      <c r="E95" s="189" t="s">
        <v>5</v>
      </c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97" t="s">
        <v>5</v>
      </c>
      <c r="Q95" s="93"/>
      <c r="R95" s="189"/>
      <c r="S95" s="197" t="s">
        <v>5</v>
      </c>
      <c r="T95" s="93"/>
      <c r="U95" s="189"/>
      <c r="V95" s="189"/>
      <c r="W95" s="189"/>
      <c r="X95" s="189"/>
      <c r="Y95" s="338"/>
      <c r="Z95" s="360"/>
      <c r="AA95" s="197" t="s">
        <v>5</v>
      </c>
      <c r="AB95" s="93"/>
    </row>
    <row r="96" spans="1:28" x14ac:dyDescent="0.25">
      <c r="A96" s="330" t="s">
        <v>6</v>
      </c>
      <c r="B96" s="163" t="s">
        <v>63</v>
      </c>
      <c r="C96" s="203"/>
      <c r="D96" s="350"/>
      <c r="E96" s="207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39"/>
      <c r="Q96" s="255"/>
      <c r="R96" s="254"/>
      <c r="S96" s="239"/>
      <c r="T96" s="255"/>
      <c r="U96" s="254"/>
      <c r="V96" s="254"/>
      <c r="W96" s="254"/>
      <c r="X96" s="254"/>
      <c r="Y96" s="339"/>
      <c r="Z96" s="361"/>
      <c r="AA96" s="239"/>
      <c r="AB96" s="255"/>
    </row>
    <row r="97" spans="1:28" x14ac:dyDescent="0.25">
      <c r="A97" s="503" t="s">
        <v>18</v>
      </c>
      <c r="B97" s="500"/>
      <c r="C97" s="205">
        <f>SUM(C96)</f>
        <v>0</v>
      </c>
      <c r="D97" s="350"/>
      <c r="E97" s="83">
        <f t="shared" ref="E97" si="87">SUM(E96)</f>
        <v>0</v>
      </c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38">
        <f t="shared" ref="P97" si="88">SUM(P96)</f>
        <v>0</v>
      </c>
      <c r="Q97" s="255"/>
      <c r="R97" s="254"/>
      <c r="S97" s="238">
        <f t="shared" ref="S97" si="89">SUM(S96)</f>
        <v>0</v>
      </c>
      <c r="T97" s="255"/>
      <c r="U97" s="254"/>
      <c r="V97" s="254"/>
      <c r="W97" s="254"/>
      <c r="X97" s="254"/>
      <c r="Y97" s="339"/>
      <c r="Z97" s="361"/>
      <c r="AA97" s="238">
        <f t="shared" ref="AA97" si="90">SUM(AA96)</f>
        <v>0</v>
      </c>
      <c r="AB97" s="255"/>
    </row>
    <row r="98" spans="1:28" x14ac:dyDescent="0.25"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328"/>
      <c r="Q98" s="329"/>
      <c r="R98" s="115"/>
      <c r="S98" s="328"/>
      <c r="T98" s="329"/>
      <c r="U98" s="115"/>
      <c r="V98" s="115"/>
      <c r="W98" s="115"/>
      <c r="X98" s="115"/>
      <c r="Y98" s="119"/>
      <c r="Z98" s="353"/>
      <c r="AA98" s="370"/>
      <c r="AB98" s="371"/>
    </row>
    <row r="99" spans="1:28" x14ac:dyDescent="0.25">
      <c r="A99" s="416" t="s">
        <v>116</v>
      </c>
      <c r="B99" s="416"/>
      <c r="C99" s="416"/>
      <c r="D99" s="416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328"/>
      <c r="Q99" s="329"/>
      <c r="R99" s="115"/>
      <c r="S99" s="328"/>
      <c r="T99" s="329"/>
      <c r="U99" s="115"/>
      <c r="V99" s="115"/>
      <c r="W99" s="115"/>
      <c r="X99" s="115"/>
      <c r="Y99" s="119"/>
      <c r="Z99" s="353"/>
      <c r="AA99" s="370"/>
      <c r="AB99" s="371"/>
    </row>
    <row r="100" spans="1:28" x14ac:dyDescent="0.25">
      <c r="A100" s="332">
        <v>4</v>
      </c>
      <c r="B100" s="476" t="s">
        <v>64</v>
      </c>
      <c r="C100" s="476"/>
      <c r="D100" s="333" t="s">
        <v>5</v>
      </c>
      <c r="E100" s="189" t="s">
        <v>5</v>
      </c>
      <c r="F100" s="189" t="s">
        <v>5</v>
      </c>
      <c r="G100" s="189" t="s">
        <v>5</v>
      </c>
      <c r="H100" s="189" t="s">
        <v>5</v>
      </c>
      <c r="I100" s="189" t="s">
        <v>5</v>
      </c>
      <c r="J100" s="189" t="s">
        <v>5</v>
      </c>
      <c r="K100" s="189" t="s">
        <v>5</v>
      </c>
      <c r="L100" s="189" t="s">
        <v>5</v>
      </c>
      <c r="M100" s="189" t="s">
        <v>5</v>
      </c>
      <c r="N100" s="189" t="s">
        <v>5</v>
      </c>
      <c r="O100" s="189" t="s">
        <v>5</v>
      </c>
      <c r="P100" s="328"/>
      <c r="Q100" s="93" t="s">
        <v>5</v>
      </c>
      <c r="R100" s="189" t="s">
        <v>5</v>
      </c>
      <c r="S100" s="328"/>
      <c r="T100" s="93" t="s">
        <v>5</v>
      </c>
      <c r="U100" s="189" t="s">
        <v>5</v>
      </c>
      <c r="V100" s="189" t="s">
        <v>5</v>
      </c>
      <c r="W100" s="189" t="s">
        <v>5</v>
      </c>
      <c r="X100" s="189" t="s">
        <v>5</v>
      </c>
      <c r="Y100" s="338" t="s">
        <v>5</v>
      </c>
      <c r="Z100" s="360" t="s">
        <v>5</v>
      </c>
      <c r="AA100" s="370"/>
      <c r="AB100" s="93" t="s">
        <v>5</v>
      </c>
    </row>
    <row r="101" spans="1:28" x14ac:dyDescent="0.25">
      <c r="A101" s="346" t="s">
        <v>53</v>
      </c>
      <c r="B101" s="475" t="s">
        <v>54</v>
      </c>
      <c r="C101" s="475"/>
      <c r="D101" s="205">
        <f>D91</f>
        <v>73.024142681315226</v>
      </c>
      <c r="E101" s="83">
        <f>E91</f>
        <v>73.024142681315226</v>
      </c>
      <c r="F101" s="83">
        <f t="shared" ref="F101:O101" si="91">F91</f>
        <v>73.024142681315226</v>
      </c>
      <c r="G101" s="83">
        <f t="shared" si="91"/>
        <v>74.849746248348126</v>
      </c>
      <c r="H101" s="83">
        <f t="shared" si="91"/>
        <v>74.849746248348126</v>
      </c>
      <c r="I101" s="83">
        <f t="shared" si="91"/>
        <v>74.849746248348126</v>
      </c>
      <c r="J101" s="83">
        <f t="shared" si="91"/>
        <v>74.849746248348126</v>
      </c>
      <c r="K101" s="83">
        <f t="shared" si="91"/>
        <v>74.849746248348126</v>
      </c>
      <c r="L101" s="83">
        <f t="shared" si="91"/>
        <v>74.849746248348126</v>
      </c>
      <c r="M101" s="83">
        <f t="shared" si="91"/>
        <v>74.849746248348126</v>
      </c>
      <c r="N101" s="83">
        <f t="shared" si="91"/>
        <v>74.849746248348126</v>
      </c>
      <c r="O101" s="83">
        <f t="shared" si="91"/>
        <v>74.849746248348126</v>
      </c>
      <c r="P101" s="328"/>
      <c r="Q101" s="92">
        <f t="shared" ref="Q101:R101" si="92">Q91</f>
        <v>74.822711038278015</v>
      </c>
      <c r="R101" s="83">
        <f t="shared" si="92"/>
        <v>74.822711038278015</v>
      </c>
      <c r="S101" s="328"/>
      <c r="T101" s="92">
        <f t="shared" ref="T101:Z101" si="93">T91</f>
        <v>74.822711038278015</v>
      </c>
      <c r="U101" s="83">
        <f t="shared" si="93"/>
        <v>74.822711038278015</v>
      </c>
      <c r="V101" s="83">
        <f t="shared" si="93"/>
        <v>74.822711038278015</v>
      </c>
      <c r="W101" s="83">
        <f t="shared" si="93"/>
        <v>74.822711038278015</v>
      </c>
      <c r="X101" s="83">
        <f t="shared" si="93"/>
        <v>74.822711038278015</v>
      </c>
      <c r="Y101" s="91">
        <f t="shared" si="93"/>
        <v>74.822711038278015</v>
      </c>
      <c r="Z101" s="359">
        <f t="shared" si="93"/>
        <v>74.822711038278015</v>
      </c>
      <c r="AA101" s="370"/>
      <c r="AB101" s="92">
        <f t="shared" ref="AB101" si="94">AB91</f>
        <v>74.822711038278015</v>
      </c>
    </row>
    <row r="102" spans="1:28" x14ac:dyDescent="0.25">
      <c r="A102" s="346" t="s">
        <v>61</v>
      </c>
      <c r="B102" s="182" t="s">
        <v>65</v>
      </c>
      <c r="C102" s="182"/>
      <c r="D102" s="203">
        <f>C97</f>
        <v>0</v>
      </c>
      <c r="E102" s="207">
        <f>E97</f>
        <v>0</v>
      </c>
      <c r="F102" s="207">
        <f t="shared" ref="F102:O102" si="95">F97</f>
        <v>0</v>
      </c>
      <c r="G102" s="207">
        <f t="shared" si="95"/>
        <v>0</v>
      </c>
      <c r="H102" s="207">
        <f t="shared" si="95"/>
        <v>0</v>
      </c>
      <c r="I102" s="207">
        <f t="shared" si="95"/>
        <v>0</v>
      </c>
      <c r="J102" s="207">
        <f t="shared" si="95"/>
        <v>0</v>
      </c>
      <c r="K102" s="207">
        <f t="shared" si="95"/>
        <v>0</v>
      </c>
      <c r="L102" s="207">
        <f t="shared" si="95"/>
        <v>0</v>
      </c>
      <c r="M102" s="207">
        <f t="shared" si="95"/>
        <v>0</v>
      </c>
      <c r="N102" s="207">
        <f t="shared" si="95"/>
        <v>0</v>
      </c>
      <c r="O102" s="207">
        <f t="shared" si="95"/>
        <v>0</v>
      </c>
      <c r="P102" s="328"/>
      <c r="Q102" s="97">
        <f t="shared" ref="Q102:Z102" si="96">P97</f>
        <v>0</v>
      </c>
      <c r="R102" s="207">
        <f t="shared" si="96"/>
        <v>0</v>
      </c>
      <c r="S102" s="328"/>
      <c r="T102" s="97">
        <f t="shared" si="96"/>
        <v>0</v>
      </c>
      <c r="U102" s="207">
        <f t="shared" si="96"/>
        <v>0</v>
      </c>
      <c r="V102" s="207">
        <f t="shared" si="96"/>
        <v>0</v>
      </c>
      <c r="W102" s="207">
        <f t="shared" si="96"/>
        <v>0</v>
      </c>
      <c r="X102" s="207">
        <f t="shared" si="96"/>
        <v>0</v>
      </c>
      <c r="Y102" s="340">
        <f t="shared" si="96"/>
        <v>0</v>
      </c>
      <c r="Z102" s="362">
        <f t="shared" si="96"/>
        <v>0</v>
      </c>
      <c r="AA102" s="370"/>
      <c r="AB102" s="97">
        <f>Z97</f>
        <v>0</v>
      </c>
    </row>
    <row r="103" spans="1:28" x14ac:dyDescent="0.25">
      <c r="A103" s="467" t="s">
        <v>18</v>
      </c>
      <c r="B103" s="467"/>
      <c r="C103" s="467"/>
      <c r="D103" s="205">
        <f>SUM(D101:D102)</f>
        <v>73.024142681315226</v>
      </c>
      <c r="E103" s="83">
        <f t="shared" ref="E103:O103" si="97">SUM(E101:E102)</f>
        <v>73.024142681315226</v>
      </c>
      <c r="F103" s="83">
        <f t="shared" si="97"/>
        <v>73.024142681315226</v>
      </c>
      <c r="G103" s="83">
        <f t="shared" si="97"/>
        <v>74.849746248348126</v>
      </c>
      <c r="H103" s="83">
        <f t="shared" si="97"/>
        <v>74.849746248348126</v>
      </c>
      <c r="I103" s="83">
        <f t="shared" si="97"/>
        <v>74.849746248348126</v>
      </c>
      <c r="J103" s="83">
        <f t="shared" si="97"/>
        <v>74.849746248348126</v>
      </c>
      <c r="K103" s="83">
        <f t="shared" si="97"/>
        <v>74.849746248348126</v>
      </c>
      <c r="L103" s="83">
        <f t="shared" si="97"/>
        <v>74.849746248348126</v>
      </c>
      <c r="M103" s="83">
        <f t="shared" si="97"/>
        <v>74.849746248348126</v>
      </c>
      <c r="N103" s="83">
        <f t="shared" si="97"/>
        <v>74.849746248348126</v>
      </c>
      <c r="O103" s="83">
        <f t="shared" si="97"/>
        <v>74.849746248348126</v>
      </c>
      <c r="P103" s="328"/>
      <c r="Q103" s="92">
        <f t="shared" ref="Q103:R103" si="98">SUM(Q101:Q102)</f>
        <v>74.822711038278015</v>
      </c>
      <c r="R103" s="83">
        <f t="shared" si="98"/>
        <v>74.822711038278015</v>
      </c>
      <c r="S103" s="328"/>
      <c r="T103" s="92">
        <f t="shared" ref="T103:Z103" si="99">SUM(T101:T102)</f>
        <v>74.822711038278015</v>
      </c>
      <c r="U103" s="83">
        <f t="shared" si="99"/>
        <v>74.822711038278015</v>
      </c>
      <c r="V103" s="83">
        <f t="shared" si="99"/>
        <v>74.822711038278015</v>
      </c>
      <c r="W103" s="83">
        <f t="shared" si="99"/>
        <v>74.822711038278015</v>
      </c>
      <c r="X103" s="83">
        <f t="shared" si="99"/>
        <v>74.822711038278015</v>
      </c>
      <c r="Y103" s="91">
        <f t="shared" si="99"/>
        <v>74.822711038278015</v>
      </c>
      <c r="Z103" s="359">
        <f t="shared" si="99"/>
        <v>74.822711038278015</v>
      </c>
      <c r="AA103" s="370"/>
      <c r="AB103" s="92">
        <f t="shared" ref="AB103" si="100">SUM(AB101:AB102)</f>
        <v>74.822711038278015</v>
      </c>
    </row>
    <row r="104" spans="1:28" x14ac:dyDescent="0.25"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328"/>
      <c r="Q104" s="329"/>
      <c r="R104" s="115"/>
      <c r="S104" s="328"/>
      <c r="T104" s="329"/>
      <c r="U104" s="115"/>
      <c r="V104" s="115"/>
      <c r="W104" s="115"/>
      <c r="X104" s="115"/>
      <c r="Y104" s="119"/>
      <c r="Z104" s="353"/>
      <c r="AA104" s="370"/>
      <c r="AB104" s="371"/>
    </row>
    <row r="105" spans="1:28" x14ac:dyDescent="0.25">
      <c r="A105" s="482" t="s">
        <v>66</v>
      </c>
      <c r="B105" s="482"/>
      <c r="C105" s="482"/>
      <c r="D105" s="482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328"/>
      <c r="Q105" s="329"/>
      <c r="R105" s="115"/>
      <c r="S105" s="328"/>
      <c r="T105" s="329"/>
      <c r="U105" s="115"/>
      <c r="V105" s="115"/>
      <c r="W105" s="115"/>
      <c r="X105" s="115"/>
      <c r="Y105" s="119"/>
      <c r="Z105" s="353"/>
      <c r="AA105" s="370"/>
      <c r="AB105" s="371"/>
    </row>
    <row r="106" spans="1:28" x14ac:dyDescent="0.25">
      <c r="A106" s="332">
        <v>5</v>
      </c>
      <c r="B106" s="476" t="s">
        <v>67</v>
      </c>
      <c r="C106" s="476"/>
      <c r="D106" s="333" t="s">
        <v>5</v>
      </c>
      <c r="E106" s="189" t="s">
        <v>5</v>
      </c>
      <c r="F106" s="189" t="s">
        <v>5</v>
      </c>
      <c r="G106" s="189" t="s">
        <v>5</v>
      </c>
      <c r="H106" s="189" t="s">
        <v>5</v>
      </c>
      <c r="I106" s="189" t="s">
        <v>5</v>
      </c>
      <c r="J106" s="189" t="s">
        <v>5</v>
      </c>
      <c r="K106" s="189" t="s">
        <v>5</v>
      </c>
      <c r="L106" s="189" t="s">
        <v>5</v>
      </c>
      <c r="M106" s="189" t="s">
        <v>5</v>
      </c>
      <c r="N106" s="189" t="s">
        <v>5</v>
      </c>
      <c r="O106" s="189" t="s">
        <v>5</v>
      </c>
      <c r="P106" s="328"/>
      <c r="Q106" s="93" t="s">
        <v>5</v>
      </c>
      <c r="R106" s="189" t="s">
        <v>5</v>
      </c>
      <c r="S106" s="328"/>
      <c r="T106" s="93" t="s">
        <v>5</v>
      </c>
      <c r="U106" s="189" t="s">
        <v>5</v>
      </c>
      <c r="V106" s="189" t="s">
        <v>5</v>
      </c>
      <c r="W106" s="189" t="s">
        <v>5</v>
      </c>
      <c r="X106" s="189" t="s">
        <v>5</v>
      </c>
      <c r="Y106" s="338" t="s">
        <v>5</v>
      </c>
      <c r="Z106" s="360" t="s">
        <v>5</v>
      </c>
      <c r="AA106" s="370"/>
      <c r="AB106" s="93" t="s">
        <v>5</v>
      </c>
    </row>
    <row r="107" spans="1:28" x14ac:dyDescent="0.25">
      <c r="A107" s="346" t="s">
        <v>6</v>
      </c>
      <c r="B107" s="475" t="s">
        <v>68</v>
      </c>
      <c r="C107" s="475"/>
      <c r="D107" s="205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  <c r="O107" s="83">
        <v>0</v>
      </c>
      <c r="P107" s="328"/>
      <c r="Q107" s="92">
        <v>0</v>
      </c>
      <c r="R107" s="83">
        <v>0</v>
      </c>
      <c r="S107" s="328"/>
      <c r="T107" s="92">
        <v>0</v>
      </c>
      <c r="U107" s="83">
        <v>0</v>
      </c>
      <c r="V107" s="83">
        <v>0</v>
      </c>
      <c r="W107" s="83">
        <v>0</v>
      </c>
      <c r="X107" s="83">
        <v>0</v>
      </c>
      <c r="Y107" s="91">
        <v>0</v>
      </c>
      <c r="Z107" s="359">
        <v>0</v>
      </c>
      <c r="AA107" s="370"/>
      <c r="AB107" s="92">
        <v>0</v>
      </c>
    </row>
    <row r="108" spans="1:28" x14ac:dyDescent="0.25">
      <c r="A108" s="346" t="s">
        <v>8</v>
      </c>
      <c r="B108" s="475" t="s">
        <v>69</v>
      </c>
      <c r="C108" s="475"/>
      <c r="D108" s="205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83">
        <v>0</v>
      </c>
      <c r="P108" s="328"/>
      <c r="Q108" s="92">
        <v>0</v>
      </c>
      <c r="R108" s="83">
        <v>0</v>
      </c>
      <c r="S108" s="328"/>
      <c r="T108" s="92">
        <v>0</v>
      </c>
      <c r="U108" s="83">
        <v>0</v>
      </c>
      <c r="V108" s="83">
        <v>0</v>
      </c>
      <c r="W108" s="83">
        <v>0</v>
      </c>
      <c r="X108" s="83">
        <v>0</v>
      </c>
      <c r="Y108" s="91">
        <v>0</v>
      </c>
      <c r="Z108" s="359">
        <v>0</v>
      </c>
      <c r="AA108" s="370"/>
      <c r="AB108" s="92">
        <v>0</v>
      </c>
    </row>
    <row r="109" spans="1:28" x14ac:dyDescent="0.25">
      <c r="A109" s="346" t="s">
        <v>10</v>
      </c>
      <c r="B109" s="475" t="s">
        <v>70</v>
      </c>
      <c r="C109" s="475"/>
      <c r="D109" s="205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328"/>
      <c r="Q109" s="92">
        <v>0</v>
      </c>
      <c r="R109" s="83">
        <v>0</v>
      </c>
      <c r="S109" s="328"/>
      <c r="T109" s="92">
        <v>0</v>
      </c>
      <c r="U109" s="83">
        <v>0</v>
      </c>
      <c r="V109" s="83">
        <v>0</v>
      </c>
      <c r="W109" s="83">
        <v>0</v>
      </c>
      <c r="X109" s="83">
        <v>0</v>
      </c>
      <c r="Y109" s="91">
        <v>0</v>
      </c>
      <c r="Z109" s="359">
        <v>0</v>
      </c>
      <c r="AA109" s="370"/>
      <c r="AB109" s="92">
        <v>0</v>
      </c>
    </row>
    <row r="110" spans="1:28" x14ac:dyDescent="0.25">
      <c r="A110" s="346" t="s">
        <v>12</v>
      </c>
      <c r="B110" s="475" t="s">
        <v>17</v>
      </c>
      <c r="C110" s="475"/>
      <c r="D110" s="205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0</v>
      </c>
      <c r="M110" s="83">
        <v>0</v>
      </c>
      <c r="N110" s="83">
        <v>0</v>
      </c>
      <c r="O110" s="83">
        <v>0</v>
      </c>
      <c r="P110" s="328"/>
      <c r="Q110" s="92">
        <v>0</v>
      </c>
      <c r="R110" s="83">
        <v>0</v>
      </c>
      <c r="S110" s="328"/>
      <c r="T110" s="92">
        <v>0</v>
      </c>
      <c r="U110" s="83">
        <v>0</v>
      </c>
      <c r="V110" s="83">
        <v>0</v>
      </c>
      <c r="W110" s="83">
        <v>0</v>
      </c>
      <c r="X110" s="83">
        <v>0</v>
      </c>
      <c r="Y110" s="91">
        <v>0</v>
      </c>
      <c r="Z110" s="359">
        <v>0</v>
      </c>
      <c r="AA110" s="370"/>
      <c r="AB110" s="92">
        <v>0</v>
      </c>
    </row>
    <row r="111" spans="1:28" x14ac:dyDescent="0.25">
      <c r="A111" s="467" t="s">
        <v>18</v>
      </c>
      <c r="B111" s="467"/>
      <c r="C111" s="467"/>
      <c r="D111" s="205">
        <f>SUM(D107:D110)</f>
        <v>0</v>
      </c>
      <c r="E111" s="83">
        <f t="shared" ref="E111:O111" si="101">SUM(E107:E110)</f>
        <v>0</v>
      </c>
      <c r="F111" s="83">
        <f t="shared" si="101"/>
        <v>0</v>
      </c>
      <c r="G111" s="83">
        <f t="shared" si="101"/>
        <v>0</v>
      </c>
      <c r="H111" s="83">
        <f t="shared" si="101"/>
        <v>0</v>
      </c>
      <c r="I111" s="83">
        <f t="shared" si="101"/>
        <v>0</v>
      </c>
      <c r="J111" s="83">
        <f t="shared" si="101"/>
        <v>0</v>
      </c>
      <c r="K111" s="83">
        <f t="shared" si="101"/>
        <v>0</v>
      </c>
      <c r="L111" s="83">
        <f t="shared" si="101"/>
        <v>0</v>
      </c>
      <c r="M111" s="83">
        <f t="shared" si="101"/>
        <v>0</v>
      </c>
      <c r="N111" s="83">
        <f t="shared" si="101"/>
        <v>0</v>
      </c>
      <c r="O111" s="83">
        <f t="shared" si="101"/>
        <v>0</v>
      </c>
      <c r="P111" s="328"/>
      <c r="Q111" s="92">
        <f t="shared" ref="Q111:Z111" si="102">SUM(Q107:Q110)</f>
        <v>0</v>
      </c>
      <c r="R111" s="83">
        <f t="shared" si="102"/>
        <v>0</v>
      </c>
      <c r="S111" s="328"/>
      <c r="T111" s="92">
        <f t="shared" si="102"/>
        <v>0</v>
      </c>
      <c r="U111" s="83">
        <f t="shared" si="102"/>
        <v>0</v>
      </c>
      <c r="V111" s="83">
        <f t="shared" si="102"/>
        <v>0</v>
      </c>
      <c r="W111" s="83">
        <f t="shared" si="102"/>
        <v>0</v>
      </c>
      <c r="X111" s="83">
        <f t="shared" si="102"/>
        <v>0</v>
      </c>
      <c r="Y111" s="91">
        <f t="shared" si="102"/>
        <v>0</v>
      </c>
      <c r="Z111" s="359">
        <f t="shared" si="102"/>
        <v>0</v>
      </c>
      <c r="AA111" s="370"/>
      <c r="AB111" s="92">
        <f t="shared" ref="AB111" si="103">SUM(AB107:AB110)</f>
        <v>0</v>
      </c>
    </row>
    <row r="112" spans="1:28" x14ac:dyDescent="0.25">
      <c r="A112" s="502" t="s">
        <v>80</v>
      </c>
      <c r="B112" s="502"/>
      <c r="C112" s="502"/>
      <c r="D112" s="502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328"/>
      <c r="Q112" s="329"/>
      <c r="R112" s="115"/>
      <c r="S112" s="328"/>
      <c r="T112" s="329"/>
      <c r="U112" s="115"/>
      <c r="V112" s="115"/>
      <c r="W112" s="115"/>
      <c r="X112" s="115"/>
      <c r="Y112" s="119"/>
      <c r="Z112" s="353"/>
      <c r="AA112" s="370"/>
      <c r="AB112" s="371"/>
    </row>
    <row r="113" spans="1:28" x14ac:dyDescent="0.25"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328"/>
      <c r="Q113" s="329"/>
      <c r="R113" s="115"/>
      <c r="S113" s="328"/>
      <c r="T113" s="329"/>
      <c r="U113" s="115"/>
      <c r="V113" s="115"/>
      <c r="W113" s="115"/>
      <c r="X113" s="115"/>
      <c r="Y113" s="119"/>
      <c r="Z113" s="353"/>
      <c r="AA113" s="370"/>
      <c r="AB113" s="371"/>
    </row>
    <row r="114" spans="1:28" x14ac:dyDescent="0.25">
      <c r="A114" s="482" t="s">
        <v>71</v>
      </c>
      <c r="B114" s="482"/>
      <c r="C114" s="482"/>
      <c r="D114" s="482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328"/>
      <c r="Q114" s="329"/>
      <c r="R114" s="115"/>
      <c r="S114" s="328"/>
      <c r="T114" s="329"/>
      <c r="U114" s="115"/>
      <c r="V114" s="115"/>
      <c r="W114" s="115"/>
      <c r="X114" s="115"/>
      <c r="Y114" s="119"/>
      <c r="Z114" s="353"/>
      <c r="AA114" s="370"/>
      <c r="AB114" s="371"/>
    </row>
    <row r="115" spans="1:28" x14ac:dyDescent="0.25">
      <c r="A115" s="478" t="s">
        <v>121</v>
      </c>
      <c r="B115" s="478"/>
      <c r="C115" s="479" t="s">
        <v>122</v>
      </c>
      <c r="D115" s="479"/>
      <c r="E115" s="208" t="s">
        <v>122</v>
      </c>
      <c r="F115" s="208" t="s">
        <v>122</v>
      </c>
      <c r="G115" s="208" t="s">
        <v>122</v>
      </c>
      <c r="H115" s="208" t="s">
        <v>122</v>
      </c>
      <c r="I115" s="208" t="s">
        <v>122</v>
      </c>
      <c r="J115" s="208" t="s">
        <v>122</v>
      </c>
      <c r="K115" s="208" t="s">
        <v>122</v>
      </c>
      <c r="L115" s="208" t="s">
        <v>122</v>
      </c>
      <c r="M115" s="208" t="s">
        <v>122</v>
      </c>
      <c r="N115" s="208" t="s">
        <v>122</v>
      </c>
      <c r="O115" s="208" t="s">
        <v>122</v>
      </c>
      <c r="P115" s="249"/>
      <c r="Q115" s="331" t="s">
        <v>122</v>
      </c>
      <c r="R115" s="208" t="s">
        <v>122</v>
      </c>
      <c r="S115" s="249"/>
      <c r="T115" s="331" t="s">
        <v>122</v>
      </c>
      <c r="U115" s="208" t="s">
        <v>122</v>
      </c>
      <c r="V115" s="208" t="s">
        <v>122</v>
      </c>
      <c r="W115" s="208" t="s">
        <v>122</v>
      </c>
      <c r="X115" s="208" t="s">
        <v>122</v>
      </c>
      <c r="Y115" s="341" t="s">
        <v>122</v>
      </c>
      <c r="Z115" s="363" t="s">
        <v>122</v>
      </c>
      <c r="AA115" s="249"/>
      <c r="AB115" s="377" t="s">
        <v>122</v>
      </c>
    </row>
    <row r="116" spans="1:28" x14ac:dyDescent="0.25">
      <c r="A116" s="332">
        <v>6</v>
      </c>
      <c r="B116" s="333" t="s">
        <v>72</v>
      </c>
      <c r="C116" s="333" t="s">
        <v>26</v>
      </c>
      <c r="D116" s="332" t="s">
        <v>5</v>
      </c>
      <c r="E116" s="189" t="s">
        <v>5</v>
      </c>
      <c r="F116" s="189" t="s">
        <v>5</v>
      </c>
      <c r="G116" s="189" t="s">
        <v>5</v>
      </c>
      <c r="H116" s="189" t="s">
        <v>5</v>
      </c>
      <c r="I116" s="189" t="s">
        <v>5</v>
      </c>
      <c r="J116" s="189" t="s">
        <v>5</v>
      </c>
      <c r="K116" s="189" t="s">
        <v>5</v>
      </c>
      <c r="L116" s="189" t="s">
        <v>5</v>
      </c>
      <c r="M116" s="189" t="s">
        <v>5</v>
      </c>
      <c r="N116" s="189" t="s">
        <v>5</v>
      </c>
      <c r="O116" s="189" t="s">
        <v>5</v>
      </c>
      <c r="P116" s="245"/>
      <c r="Q116" s="93" t="s">
        <v>5</v>
      </c>
      <c r="R116" s="189" t="s">
        <v>5</v>
      </c>
      <c r="S116" s="245"/>
      <c r="T116" s="93" t="s">
        <v>5</v>
      </c>
      <c r="U116" s="189" t="s">
        <v>5</v>
      </c>
      <c r="V116" s="189" t="s">
        <v>5</v>
      </c>
      <c r="W116" s="189" t="s">
        <v>5</v>
      </c>
      <c r="X116" s="189" t="s">
        <v>5</v>
      </c>
      <c r="Y116" s="338" t="s">
        <v>5</v>
      </c>
      <c r="Z116" s="360" t="s">
        <v>5</v>
      </c>
      <c r="AA116" s="245"/>
      <c r="AB116" s="93" t="s">
        <v>5</v>
      </c>
    </row>
    <row r="117" spans="1:28" x14ac:dyDescent="0.25">
      <c r="A117" s="346" t="s">
        <v>6</v>
      </c>
      <c r="B117" s="182" t="s">
        <v>73</v>
      </c>
      <c r="C117" s="191">
        <v>0.05</v>
      </c>
      <c r="D117" s="349">
        <f>C117*D135</f>
        <v>457.43486824910963</v>
      </c>
      <c r="E117" s="83">
        <f>$C117*E$135</f>
        <v>464.71886824910956</v>
      </c>
      <c r="F117" s="83">
        <f t="shared" ref="F117:Z118" si="104">$C117*F$135</f>
        <v>464.18486824910963</v>
      </c>
      <c r="G117" s="83">
        <f t="shared" si="104"/>
        <v>475.39027745533724</v>
      </c>
      <c r="H117" s="83">
        <f t="shared" si="104"/>
        <v>475.43577745533725</v>
      </c>
      <c r="I117" s="83">
        <f t="shared" si="104"/>
        <v>475.27327745533722</v>
      </c>
      <c r="J117" s="83">
        <f t="shared" si="104"/>
        <v>475.14127745533716</v>
      </c>
      <c r="K117" s="83">
        <f t="shared" si="104"/>
        <v>475.75327745533724</v>
      </c>
      <c r="L117" s="83">
        <f t="shared" si="104"/>
        <v>476.9062774553372</v>
      </c>
      <c r="M117" s="83">
        <f t="shared" si="104"/>
        <v>478.22827745533726</v>
      </c>
      <c r="N117" s="83">
        <f t="shared" si="104"/>
        <v>477.62127745533729</v>
      </c>
      <c r="O117" s="83">
        <f t="shared" si="104"/>
        <v>477.10177745533724</v>
      </c>
      <c r="P117" s="241"/>
      <c r="Q117" s="92">
        <f t="shared" si="104"/>
        <v>477.16297467328098</v>
      </c>
      <c r="R117" s="83">
        <f t="shared" si="104"/>
        <v>477.65747467328094</v>
      </c>
      <c r="S117" s="241"/>
      <c r="T117" s="92">
        <f t="shared" si="104"/>
        <v>470.14397422122914</v>
      </c>
      <c r="U117" s="83">
        <f t="shared" si="104"/>
        <v>471.82747422122912</v>
      </c>
      <c r="V117" s="83">
        <f t="shared" si="104"/>
        <v>473.67247422122909</v>
      </c>
      <c r="W117" s="83">
        <f t="shared" si="104"/>
        <v>471.41197422122917</v>
      </c>
      <c r="X117" s="83">
        <f t="shared" si="104"/>
        <v>471.51297422122911</v>
      </c>
      <c r="Y117" s="91">
        <f t="shared" si="104"/>
        <v>471.79147422122918</v>
      </c>
      <c r="Z117" s="359">
        <f t="shared" si="104"/>
        <v>471.06047422122913</v>
      </c>
      <c r="AA117" s="241"/>
      <c r="AB117" s="92">
        <f t="shared" ref="AB117" si="105">$C117*AB$135</f>
        <v>467.37121878122912</v>
      </c>
    </row>
    <row r="118" spans="1:28" x14ac:dyDescent="0.25">
      <c r="A118" s="346" t="s">
        <v>8</v>
      </c>
      <c r="B118" s="182" t="s">
        <v>74</v>
      </c>
      <c r="C118" s="191">
        <v>4.5442719394248557E-2</v>
      </c>
      <c r="D118" s="349">
        <f>C118*D135</f>
        <v>415.74168717978694</v>
      </c>
      <c r="E118" s="83">
        <f>$C118*E$135</f>
        <v>422.361782541141</v>
      </c>
      <c r="F118" s="83">
        <f t="shared" si="104"/>
        <v>421.87645429801046</v>
      </c>
      <c r="G118" s="83">
        <f t="shared" si="104"/>
        <v>432.06053962313712</v>
      </c>
      <c r="H118" s="83">
        <f t="shared" si="104"/>
        <v>432.10189249778585</v>
      </c>
      <c r="I118" s="83">
        <f t="shared" si="104"/>
        <v>431.95420365975457</v>
      </c>
      <c r="J118" s="83">
        <f t="shared" si="104"/>
        <v>431.83423488055371</v>
      </c>
      <c r="K118" s="83">
        <f t="shared" si="104"/>
        <v>432.39045376593936</v>
      </c>
      <c r="L118" s="83">
        <f t="shared" si="104"/>
        <v>433.4383628751707</v>
      </c>
      <c r="M118" s="83">
        <f t="shared" si="104"/>
        <v>434.63986837595468</v>
      </c>
      <c r="N118" s="83">
        <f t="shared" si="104"/>
        <v>434.08819376250852</v>
      </c>
      <c r="O118" s="83">
        <f t="shared" si="104"/>
        <v>433.61604390800221</v>
      </c>
      <c r="P118" s="241"/>
      <c r="Q118" s="92">
        <f t="shared" si="104"/>
        <v>433.67166326805676</v>
      </c>
      <c r="R118" s="83">
        <f t="shared" si="104"/>
        <v>434.12109176286583</v>
      </c>
      <c r="S118" s="241"/>
      <c r="T118" s="92">
        <f t="shared" si="104"/>
        <v>427.29241390864286</v>
      </c>
      <c r="U118" s="83">
        <f t="shared" si="104"/>
        <v>428.82247027064716</v>
      </c>
      <c r="V118" s="83">
        <f t="shared" si="104"/>
        <v>430.49930661629492</v>
      </c>
      <c r="W118" s="83">
        <f t="shared" si="104"/>
        <v>428.44484127248103</v>
      </c>
      <c r="X118" s="83">
        <f t="shared" si="104"/>
        <v>428.53663556565732</v>
      </c>
      <c r="Y118" s="91">
        <f t="shared" si="104"/>
        <v>428.78975151268338</v>
      </c>
      <c r="Z118" s="359">
        <f t="shared" si="104"/>
        <v>428.12537895513941</v>
      </c>
      <c r="AA118" s="241"/>
      <c r="AB118" s="92">
        <f>$C118*AB$135</f>
        <v>424.77238296046687</v>
      </c>
    </row>
    <row r="119" spans="1:28" x14ac:dyDescent="0.25">
      <c r="A119" s="346" t="s">
        <v>10</v>
      </c>
      <c r="B119" s="182" t="s">
        <v>130</v>
      </c>
      <c r="C119" s="193">
        <f>SUM(C120:C122)</f>
        <v>8.6499999999999994E-2</v>
      </c>
      <c r="D119" s="349">
        <f>(D135+D118+D117)*(C119/IF(C115="Lucro presumido",91.45%,85.75%))</f>
        <v>947.94105425430189</v>
      </c>
      <c r="E119" s="83">
        <f>(E$135+E$118+E$117)*($C119/IF($C115="Lucro presumido",91.45%,85.75%))</f>
        <v>963.03566797628866</v>
      </c>
      <c r="F119" s="83">
        <f t="shared" ref="F119:O119" si="106">(F$135+F$118+F$117)*($C119/IF($C115="Lucro presumido",91.45%,85.75%))</f>
        <v>961.92906120424868</v>
      </c>
      <c r="G119" s="83">
        <f t="shared" si="106"/>
        <v>985.15000073813167</v>
      </c>
      <c r="H119" s="83">
        <f t="shared" si="106"/>
        <v>985.24429026646089</v>
      </c>
      <c r="I119" s="83">
        <f t="shared" si="106"/>
        <v>984.90754195099919</v>
      </c>
      <c r="J119" s="83">
        <f t="shared" si="106"/>
        <v>984.63399870397802</v>
      </c>
      <c r="K119" s="83">
        <f t="shared" si="106"/>
        <v>985.90224466743996</v>
      </c>
      <c r="L119" s="83">
        <f t="shared" si="106"/>
        <v>988.2916034842234</v>
      </c>
      <c r="M119" s="83">
        <f t="shared" si="106"/>
        <v>991.03118054908703</v>
      </c>
      <c r="N119" s="83">
        <f t="shared" si="106"/>
        <v>989.77329607225488</v>
      </c>
      <c r="O119" s="83">
        <f t="shared" si="106"/>
        <v>988.69673761144043</v>
      </c>
      <c r="P119" s="241"/>
      <c r="Q119" s="92">
        <f t="shared" ref="Q119:R119" si="107">(Q$135+Q$118+Q$117)*($C119/IF($C115="Lucro presumido",91.45%,85.75%))</f>
        <v>988.8235564425388</v>
      </c>
      <c r="R119" s="83">
        <f t="shared" si="107"/>
        <v>989.8483074702051</v>
      </c>
      <c r="S119" s="241"/>
      <c r="T119" s="92">
        <f t="shared" ref="T119:Z119" si="108">(T$135+T$118+T$117)*($C119/IF($C115="Lucro presumido",91.45%,85.75%))</f>
        <v>974.27810057513432</v>
      </c>
      <c r="U119" s="83">
        <f t="shared" si="108"/>
        <v>977.76681312331721</v>
      </c>
      <c r="V119" s="83">
        <f t="shared" si="108"/>
        <v>981.59020168963616</v>
      </c>
      <c r="W119" s="83">
        <f t="shared" si="108"/>
        <v>976.9057735843985</v>
      </c>
      <c r="X119" s="83">
        <f t="shared" si="108"/>
        <v>977.11507561431586</v>
      </c>
      <c r="Y119" s="91">
        <f t="shared" si="108"/>
        <v>977.6922104195844</v>
      </c>
      <c r="Z119" s="359">
        <f t="shared" si="108"/>
        <v>976.17736107433814</v>
      </c>
      <c r="AA119" s="241"/>
      <c r="AB119" s="92">
        <f>(AB$135+AB$118+AB$117)*($C119/IF($C115="Lucro presumido",91.45%,85.75%))</f>
        <v>968.53212689139752</v>
      </c>
    </row>
    <row r="120" spans="1:28" x14ac:dyDescent="0.25">
      <c r="A120" s="346" t="s">
        <v>125</v>
      </c>
      <c r="B120" s="182" t="s">
        <v>124</v>
      </c>
      <c r="C120" s="193">
        <f>IF(C115="Lucro presumido",0.65%,1.65%)</f>
        <v>6.5000000000000006E-3</v>
      </c>
      <c r="D120" s="351" t="s">
        <v>123</v>
      </c>
      <c r="E120" s="83" t="s">
        <v>123</v>
      </c>
      <c r="F120" s="83" t="s">
        <v>123</v>
      </c>
      <c r="G120" s="83" t="s">
        <v>123</v>
      </c>
      <c r="H120" s="83" t="s">
        <v>123</v>
      </c>
      <c r="I120" s="83" t="s">
        <v>123</v>
      </c>
      <c r="J120" s="83" t="s">
        <v>123</v>
      </c>
      <c r="K120" s="83" t="s">
        <v>123</v>
      </c>
      <c r="L120" s="83" t="s">
        <v>123</v>
      </c>
      <c r="M120" s="83" t="s">
        <v>123</v>
      </c>
      <c r="N120" s="83" t="s">
        <v>123</v>
      </c>
      <c r="O120" s="83" t="s">
        <v>123</v>
      </c>
      <c r="P120" s="241"/>
      <c r="Q120" s="92" t="s">
        <v>123</v>
      </c>
      <c r="R120" s="83" t="s">
        <v>123</v>
      </c>
      <c r="S120" s="241"/>
      <c r="T120" s="92" t="s">
        <v>123</v>
      </c>
      <c r="U120" s="83" t="s">
        <v>123</v>
      </c>
      <c r="V120" s="83" t="s">
        <v>123</v>
      </c>
      <c r="W120" s="83" t="s">
        <v>123</v>
      </c>
      <c r="X120" s="83" t="s">
        <v>123</v>
      </c>
      <c r="Y120" s="91" t="s">
        <v>123</v>
      </c>
      <c r="Z120" s="359" t="s">
        <v>123</v>
      </c>
      <c r="AA120" s="241"/>
      <c r="AB120" s="92" t="s">
        <v>123</v>
      </c>
    </row>
    <row r="121" spans="1:28" x14ac:dyDescent="0.25">
      <c r="A121" s="346" t="s">
        <v>127</v>
      </c>
      <c r="B121" s="182" t="s">
        <v>126</v>
      </c>
      <c r="C121" s="193">
        <f>IF(C115="Lucro presumido",3%,7.6%)</f>
        <v>0.03</v>
      </c>
      <c r="D121" s="351" t="s">
        <v>123</v>
      </c>
      <c r="E121" s="83" t="s">
        <v>123</v>
      </c>
      <c r="F121" s="83" t="s">
        <v>123</v>
      </c>
      <c r="G121" s="83" t="s">
        <v>123</v>
      </c>
      <c r="H121" s="83" t="s">
        <v>123</v>
      </c>
      <c r="I121" s="83" t="s">
        <v>123</v>
      </c>
      <c r="J121" s="83" t="s">
        <v>123</v>
      </c>
      <c r="K121" s="83" t="s">
        <v>123</v>
      </c>
      <c r="L121" s="83" t="s">
        <v>123</v>
      </c>
      <c r="M121" s="83" t="s">
        <v>123</v>
      </c>
      <c r="N121" s="83" t="s">
        <v>123</v>
      </c>
      <c r="O121" s="83" t="s">
        <v>123</v>
      </c>
      <c r="P121" s="241"/>
      <c r="Q121" s="92" t="s">
        <v>123</v>
      </c>
      <c r="R121" s="83" t="s">
        <v>123</v>
      </c>
      <c r="S121" s="241"/>
      <c r="T121" s="92" t="s">
        <v>123</v>
      </c>
      <c r="U121" s="83" t="s">
        <v>123</v>
      </c>
      <c r="V121" s="83" t="s">
        <v>123</v>
      </c>
      <c r="W121" s="83" t="s">
        <v>123</v>
      </c>
      <c r="X121" s="83" t="s">
        <v>123</v>
      </c>
      <c r="Y121" s="91" t="s">
        <v>123</v>
      </c>
      <c r="Z121" s="359" t="s">
        <v>123</v>
      </c>
      <c r="AA121" s="241"/>
      <c r="AB121" s="92" t="s">
        <v>123</v>
      </c>
    </row>
    <row r="122" spans="1:28" x14ac:dyDescent="0.25">
      <c r="A122" s="346" t="s">
        <v>129</v>
      </c>
      <c r="B122" s="182" t="s">
        <v>128</v>
      </c>
      <c r="C122" s="193">
        <v>0.05</v>
      </c>
      <c r="D122" s="351" t="s">
        <v>123</v>
      </c>
      <c r="E122" s="83" t="s">
        <v>123</v>
      </c>
      <c r="F122" s="83" t="s">
        <v>123</v>
      </c>
      <c r="G122" s="83" t="s">
        <v>123</v>
      </c>
      <c r="H122" s="83" t="s">
        <v>123</v>
      </c>
      <c r="I122" s="83" t="s">
        <v>123</v>
      </c>
      <c r="J122" s="83" t="s">
        <v>123</v>
      </c>
      <c r="K122" s="83" t="s">
        <v>123</v>
      </c>
      <c r="L122" s="83" t="s">
        <v>123</v>
      </c>
      <c r="M122" s="83" t="s">
        <v>123</v>
      </c>
      <c r="N122" s="83" t="s">
        <v>123</v>
      </c>
      <c r="O122" s="83" t="s">
        <v>123</v>
      </c>
      <c r="P122" s="241"/>
      <c r="Q122" s="92" t="s">
        <v>123</v>
      </c>
      <c r="R122" s="83" t="s">
        <v>123</v>
      </c>
      <c r="S122" s="241"/>
      <c r="T122" s="92" t="s">
        <v>123</v>
      </c>
      <c r="U122" s="83" t="s">
        <v>123</v>
      </c>
      <c r="V122" s="83" t="s">
        <v>123</v>
      </c>
      <c r="W122" s="83" t="s">
        <v>123</v>
      </c>
      <c r="X122" s="83" t="s">
        <v>123</v>
      </c>
      <c r="Y122" s="91" t="s">
        <v>123</v>
      </c>
      <c r="Z122" s="359" t="s">
        <v>123</v>
      </c>
      <c r="AA122" s="241"/>
      <c r="AB122" s="92" t="s">
        <v>123</v>
      </c>
    </row>
    <row r="123" spans="1:28" x14ac:dyDescent="0.25">
      <c r="A123" s="330" t="s">
        <v>12</v>
      </c>
      <c r="B123" s="163" t="s">
        <v>132</v>
      </c>
      <c r="C123" s="243">
        <v>4.4999999999999998E-2</v>
      </c>
      <c r="D123" s="352">
        <f>(D135+D118+D117)*(C123/IF(C115="Lucro presumido",91.45%,85.75%))</f>
        <v>493.14852533460794</v>
      </c>
      <c r="E123" s="342">
        <f>(E$135+E$118+E$117)*($C123/IF($C115="Lucro presumido",91.45%,85.75%))</f>
        <v>501.00121455413864</v>
      </c>
      <c r="F123" s="342">
        <f t="shared" ref="F123:O123" si="109">(F$135+F$118+F$117)*($C123/IF($C115="Lucro presumido",91.45%,85.75%))</f>
        <v>500.42552316984035</v>
      </c>
      <c r="G123" s="342">
        <f t="shared" si="109"/>
        <v>512.50578073081999</v>
      </c>
      <c r="H123" s="342">
        <f t="shared" si="109"/>
        <v>512.55483308659814</v>
      </c>
      <c r="I123" s="342">
        <f t="shared" si="109"/>
        <v>512.37964610167592</v>
      </c>
      <c r="J123" s="342">
        <f t="shared" si="109"/>
        <v>512.23734036623136</v>
      </c>
      <c r="K123" s="342">
        <f t="shared" si="109"/>
        <v>512.89712150329251</v>
      </c>
      <c r="L123" s="342">
        <f t="shared" si="109"/>
        <v>514.14014054092547</v>
      </c>
      <c r="M123" s="342">
        <f t="shared" si="109"/>
        <v>515.56535404287763</v>
      </c>
      <c r="N123" s="342">
        <f t="shared" si="109"/>
        <v>514.91096327458354</v>
      </c>
      <c r="O123" s="342">
        <f t="shared" si="109"/>
        <v>514.35090395970894</v>
      </c>
      <c r="P123" s="241"/>
      <c r="Q123" s="244">
        <f t="shared" ref="Q123:R123" si="110">(Q$135+Q$118+Q$117)*($C123/IF($C115="Lucro presumido",91.45%,85.75%))</f>
        <v>514.41687907415314</v>
      </c>
      <c r="R123" s="342">
        <f t="shared" si="110"/>
        <v>514.94998654519338</v>
      </c>
      <c r="S123" s="241"/>
      <c r="T123" s="244">
        <f t="shared" ref="T123:Z123" si="111">(T$135+T$118+T$117)*($C123/IF($C115="Lucro presumido",91.45%,85.75%))</f>
        <v>506.84987891191957</v>
      </c>
      <c r="U123" s="342">
        <f t="shared" si="111"/>
        <v>508.66481607571416</v>
      </c>
      <c r="V123" s="342">
        <f t="shared" si="111"/>
        <v>510.65386215067781</v>
      </c>
      <c r="W123" s="342">
        <f t="shared" si="111"/>
        <v>508.21687643118997</v>
      </c>
      <c r="X123" s="342">
        <f t="shared" si="111"/>
        <v>508.32576188027997</v>
      </c>
      <c r="Y123" s="343">
        <f t="shared" si="111"/>
        <v>508.62600542059306</v>
      </c>
      <c r="Z123" s="364">
        <f t="shared" si="111"/>
        <v>507.83793350688114</v>
      </c>
      <c r="AA123" s="241"/>
      <c r="AB123" s="244">
        <f>(AB$135+AB$118+AB$117)*($C123/IF($C115="Lucro presumido",91.45%,85.75%))</f>
        <v>503.86064404754785</v>
      </c>
    </row>
    <row r="124" spans="1:28" x14ac:dyDescent="0.25">
      <c r="A124" s="467" t="s">
        <v>18</v>
      </c>
      <c r="B124" s="467"/>
      <c r="C124" s="193">
        <f>SUM(C117:C119)+(C123)</f>
        <v>0.22694271939424854</v>
      </c>
      <c r="D124" s="349">
        <f>SUM(D117:D119)+D123</f>
        <v>2314.2661350178064</v>
      </c>
      <c r="E124" s="83">
        <f>SUM(E117:E119)+E123</f>
        <v>2351.1175333206779</v>
      </c>
      <c r="F124" s="83">
        <f t="shared" ref="F124:Z124" si="112">SUM(F117:F119)+F123</f>
        <v>2348.4159069212092</v>
      </c>
      <c r="G124" s="83">
        <f t="shared" si="112"/>
        <v>2405.1065985474261</v>
      </c>
      <c r="H124" s="83">
        <f t="shared" si="112"/>
        <v>2405.3367933061822</v>
      </c>
      <c r="I124" s="83">
        <f t="shared" si="112"/>
        <v>2404.5146691677669</v>
      </c>
      <c r="J124" s="83">
        <f t="shared" si="112"/>
        <v>2403.8468514061005</v>
      </c>
      <c r="K124" s="83">
        <f t="shared" si="112"/>
        <v>2406.9430973920089</v>
      </c>
      <c r="L124" s="83">
        <f t="shared" si="112"/>
        <v>2412.7763843556568</v>
      </c>
      <c r="M124" s="83">
        <f t="shared" si="112"/>
        <v>2419.4646804232566</v>
      </c>
      <c r="N124" s="83">
        <f t="shared" si="112"/>
        <v>2416.3937305646841</v>
      </c>
      <c r="O124" s="83">
        <f t="shared" si="112"/>
        <v>2413.7654629344888</v>
      </c>
      <c r="P124" s="241"/>
      <c r="Q124" s="92">
        <f t="shared" si="112"/>
        <v>2414.0750734580297</v>
      </c>
      <c r="R124" s="83">
        <f t="shared" si="112"/>
        <v>2416.5768604515451</v>
      </c>
      <c r="S124" s="241"/>
      <c r="T124" s="92">
        <f t="shared" si="112"/>
        <v>2378.5643676169257</v>
      </c>
      <c r="U124" s="83">
        <f t="shared" si="112"/>
        <v>2387.0815736909076</v>
      </c>
      <c r="V124" s="83">
        <f t="shared" si="112"/>
        <v>2396.4158446778379</v>
      </c>
      <c r="W124" s="83">
        <f t="shared" si="112"/>
        <v>2384.9794655092987</v>
      </c>
      <c r="X124" s="83">
        <f t="shared" si="112"/>
        <v>2385.4904472814824</v>
      </c>
      <c r="Y124" s="91">
        <f t="shared" si="112"/>
        <v>2386.8994415740899</v>
      </c>
      <c r="Z124" s="359">
        <f t="shared" si="112"/>
        <v>2383.2011477575879</v>
      </c>
      <c r="AA124" s="241"/>
      <c r="AB124" s="92">
        <f>SUM(AB117:AB119)+AB123</f>
        <v>2364.5363726806413</v>
      </c>
    </row>
    <row r="125" spans="1:28" x14ac:dyDescent="0.25">
      <c r="A125" s="502" t="s">
        <v>81</v>
      </c>
      <c r="B125" s="502"/>
      <c r="C125" s="502"/>
      <c r="D125" s="502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328"/>
      <c r="Q125" s="329"/>
      <c r="R125" s="115"/>
      <c r="S125" s="328"/>
      <c r="T125" s="329"/>
      <c r="U125" s="115"/>
      <c r="V125" s="115"/>
      <c r="W125" s="115"/>
      <c r="X125" s="115"/>
      <c r="Y125" s="119"/>
      <c r="Z125" s="353"/>
      <c r="AA125" s="370"/>
      <c r="AB125" s="371"/>
    </row>
    <row r="126" spans="1:28" x14ac:dyDescent="0.25">
      <c r="A126" s="502" t="s">
        <v>131</v>
      </c>
      <c r="B126" s="502"/>
      <c r="C126" s="502"/>
      <c r="D126" s="502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328"/>
      <c r="Q126" s="329"/>
      <c r="R126" s="115"/>
      <c r="S126" s="328"/>
      <c r="T126" s="329"/>
      <c r="U126" s="115"/>
      <c r="V126" s="115"/>
      <c r="W126" s="115"/>
      <c r="X126" s="115"/>
      <c r="Y126" s="119"/>
      <c r="Z126" s="353"/>
      <c r="AA126" s="370"/>
      <c r="AB126" s="371"/>
    </row>
    <row r="127" spans="1:28" x14ac:dyDescent="0.25"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328"/>
      <c r="Q127" s="329"/>
      <c r="R127" s="115"/>
      <c r="S127" s="328"/>
      <c r="T127" s="329"/>
      <c r="U127" s="115"/>
      <c r="V127" s="115"/>
      <c r="W127" s="115"/>
      <c r="X127" s="115"/>
      <c r="Y127" s="119"/>
      <c r="Z127" s="353"/>
      <c r="AA127" s="370"/>
      <c r="AB127" s="371"/>
    </row>
    <row r="128" spans="1:28" x14ac:dyDescent="0.25">
      <c r="A128" s="482" t="s">
        <v>117</v>
      </c>
      <c r="B128" s="482"/>
      <c r="C128" s="482"/>
      <c r="D128" s="482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328"/>
      <c r="Q128" s="329"/>
      <c r="R128" s="115"/>
      <c r="S128" s="328"/>
      <c r="T128" s="329"/>
      <c r="U128" s="115"/>
      <c r="V128" s="115"/>
      <c r="W128" s="115"/>
      <c r="X128" s="115"/>
      <c r="Y128" s="119"/>
      <c r="Z128" s="353"/>
      <c r="AA128" s="370"/>
      <c r="AB128" s="371"/>
    </row>
    <row r="129" spans="1:28" ht="49.5" customHeight="1" x14ac:dyDescent="0.25">
      <c r="A129" s="503" t="s">
        <v>82</v>
      </c>
      <c r="B129" s="507"/>
      <c r="C129" s="500"/>
      <c r="D129" s="333" t="s">
        <v>75</v>
      </c>
      <c r="E129" s="169" t="s">
        <v>172</v>
      </c>
      <c r="F129" s="169" t="s">
        <v>173</v>
      </c>
      <c r="G129" s="169" t="s">
        <v>174</v>
      </c>
      <c r="H129" s="169" t="s">
        <v>175</v>
      </c>
      <c r="I129" s="169" t="s">
        <v>176</v>
      </c>
      <c r="J129" s="169" t="s">
        <v>177</v>
      </c>
      <c r="K129" s="169" t="s">
        <v>178</v>
      </c>
      <c r="L129" s="169" t="s">
        <v>167</v>
      </c>
      <c r="M129" s="169" t="s">
        <v>179</v>
      </c>
      <c r="N129" s="169" t="s">
        <v>180</v>
      </c>
      <c r="O129" s="169" t="s">
        <v>181</v>
      </c>
      <c r="P129" s="328"/>
      <c r="Q129" s="334" t="s">
        <v>182</v>
      </c>
      <c r="R129" s="169" t="s">
        <v>220</v>
      </c>
      <c r="S129" s="328"/>
      <c r="T129" s="334" t="s">
        <v>221</v>
      </c>
      <c r="U129" s="169" t="s">
        <v>183</v>
      </c>
      <c r="V129" s="169" t="s">
        <v>184</v>
      </c>
      <c r="W129" s="169" t="s">
        <v>185</v>
      </c>
      <c r="X129" s="169" t="s">
        <v>186</v>
      </c>
      <c r="Y129" s="337" t="s">
        <v>223</v>
      </c>
      <c r="Z129" s="326" t="s">
        <v>231</v>
      </c>
      <c r="AA129" s="370"/>
      <c r="AB129" s="378" t="s">
        <v>231</v>
      </c>
    </row>
    <row r="130" spans="1:28" x14ac:dyDescent="0.25">
      <c r="A130" s="330" t="s">
        <v>6</v>
      </c>
      <c r="B130" s="474" t="s">
        <v>76</v>
      </c>
      <c r="C130" s="474"/>
      <c r="D130" s="205">
        <f>D19</f>
        <v>5805.28</v>
      </c>
      <c r="E130" s="83">
        <f>E19</f>
        <v>5805.28</v>
      </c>
      <c r="F130" s="83">
        <f t="shared" ref="F130:G130" si="113">F19</f>
        <v>5805.28</v>
      </c>
      <c r="G130" s="83">
        <f t="shared" si="113"/>
        <v>5950.4119999999994</v>
      </c>
      <c r="H130" s="83">
        <f>H19</f>
        <v>5950.4119999999994</v>
      </c>
      <c r="I130" s="83">
        <f>I19</f>
        <v>5950.4119999999994</v>
      </c>
      <c r="J130" s="83">
        <f t="shared" ref="J130:O130" si="114">J19</f>
        <v>5950.4119999999994</v>
      </c>
      <c r="K130" s="83">
        <f t="shared" si="114"/>
        <v>5950.4119999999994</v>
      </c>
      <c r="L130" s="83">
        <f t="shared" si="114"/>
        <v>5950.4119999999994</v>
      </c>
      <c r="M130" s="83">
        <f t="shared" si="114"/>
        <v>5950.4119999999994</v>
      </c>
      <c r="N130" s="83">
        <f t="shared" si="114"/>
        <v>5950.4119999999994</v>
      </c>
      <c r="O130" s="83">
        <f t="shared" si="114"/>
        <v>5950.4119999999994</v>
      </c>
      <c r="P130" s="328"/>
      <c r="Q130" s="92">
        <f t="shared" ref="Q130:Z130" si="115">Q19</f>
        <v>5950.4119999999994</v>
      </c>
      <c r="R130" s="83">
        <f t="shared" si="115"/>
        <v>5950.4119999999994</v>
      </c>
      <c r="S130" s="328"/>
      <c r="T130" s="92">
        <f t="shared" si="115"/>
        <v>5950.4119999999994</v>
      </c>
      <c r="U130" s="83">
        <f t="shared" si="115"/>
        <v>5950.4119999999994</v>
      </c>
      <c r="V130" s="83">
        <f t="shared" si="115"/>
        <v>5950.4119999999994</v>
      </c>
      <c r="W130" s="83">
        <f t="shared" si="115"/>
        <v>5950.4119999999994</v>
      </c>
      <c r="X130" s="83">
        <f t="shared" si="115"/>
        <v>5950.4119999999994</v>
      </c>
      <c r="Y130" s="91">
        <f t="shared" si="115"/>
        <v>5950.4119999999994</v>
      </c>
      <c r="Z130" s="359">
        <f t="shared" si="115"/>
        <v>5950.4119999999994</v>
      </c>
      <c r="AA130" s="370"/>
      <c r="AB130" s="92">
        <f t="shared" ref="AB130" si="116">AB19</f>
        <v>5950.4119999999994</v>
      </c>
    </row>
    <row r="131" spans="1:28" x14ac:dyDescent="0.25">
      <c r="A131" s="330" t="s">
        <v>8</v>
      </c>
      <c r="B131" s="474" t="s">
        <v>20</v>
      </c>
      <c r="C131" s="474"/>
      <c r="D131" s="205">
        <f>D65</f>
        <v>2828.6436267636363</v>
      </c>
      <c r="E131" s="83">
        <f>E65</f>
        <v>2974.3236267636362</v>
      </c>
      <c r="F131" s="83">
        <f t="shared" ref="F131:G131" si="117">F65</f>
        <v>2963.6436267636363</v>
      </c>
      <c r="G131" s="83">
        <f t="shared" si="117"/>
        <v>3029.7504674327274</v>
      </c>
      <c r="H131" s="83">
        <f>H65</f>
        <v>3030.6604674327273</v>
      </c>
      <c r="I131" s="83">
        <f>I65</f>
        <v>3027.4104674327273</v>
      </c>
      <c r="J131" s="83">
        <f t="shared" ref="J131:O131" si="118">J65</f>
        <v>3024.7704674327269</v>
      </c>
      <c r="K131" s="83">
        <f t="shared" si="118"/>
        <v>3037.0104674327272</v>
      </c>
      <c r="L131" s="83">
        <f t="shared" si="118"/>
        <v>3060.0704674327271</v>
      </c>
      <c r="M131" s="83">
        <f t="shared" si="118"/>
        <v>3086.5104674327272</v>
      </c>
      <c r="N131" s="83">
        <f t="shared" si="118"/>
        <v>3074.3704674327273</v>
      </c>
      <c r="O131" s="83">
        <f t="shared" si="118"/>
        <v>3063.980467432727</v>
      </c>
      <c r="P131" s="328"/>
      <c r="Q131" s="92">
        <f t="shared" ref="Q131:Z131" si="119">Q65</f>
        <v>3065.9615645575759</v>
      </c>
      <c r="R131" s="83">
        <f t="shared" si="119"/>
        <v>3075.8515645575758</v>
      </c>
      <c r="S131" s="328"/>
      <c r="T131" s="92">
        <f t="shared" si="119"/>
        <v>3075.8515645575758</v>
      </c>
      <c r="U131" s="83">
        <f t="shared" si="119"/>
        <v>3109.5215645575759</v>
      </c>
      <c r="V131" s="83">
        <f t="shared" si="119"/>
        <v>3146.4215645575759</v>
      </c>
      <c r="W131" s="83">
        <f t="shared" si="119"/>
        <v>3101.2115645575759</v>
      </c>
      <c r="X131" s="83">
        <f t="shared" si="119"/>
        <v>3103.2315645575759</v>
      </c>
      <c r="Y131" s="91">
        <f t="shared" si="119"/>
        <v>3108.8015645575761</v>
      </c>
      <c r="Z131" s="359">
        <f t="shared" si="119"/>
        <v>3094.1815645575757</v>
      </c>
      <c r="AA131" s="370"/>
      <c r="AB131" s="92">
        <f t="shared" ref="AB131" si="120">AB65</f>
        <v>3020.3964557575755</v>
      </c>
    </row>
    <row r="132" spans="1:28" x14ac:dyDescent="0.25">
      <c r="A132" s="330" t="s">
        <v>10</v>
      </c>
      <c r="B132" s="474" t="s">
        <v>77</v>
      </c>
      <c r="C132" s="474"/>
      <c r="D132" s="205">
        <f>D76</f>
        <v>441.74959553723903</v>
      </c>
      <c r="E132" s="83">
        <f>E76</f>
        <v>441.74959553723903</v>
      </c>
      <c r="F132" s="83">
        <f t="shared" ref="F132:G132" si="121">F76</f>
        <v>441.74959553723903</v>
      </c>
      <c r="G132" s="83">
        <f t="shared" si="121"/>
        <v>452.79333542567002</v>
      </c>
      <c r="H132" s="83">
        <f>H76</f>
        <v>452.79333542567002</v>
      </c>
      <c r="I132" s="83">
        <f>I76</f>
        <v>452.79333542567002</v>
      </c>
      <c r="J132" s="83">
        <f t="shared" ref="J132:O132" si="122">J76</f>
        <v>452.79333542567002</v>
      </c>
      <c r="K132" s="83">
        <f t="shared" si="122"/>
        <v>452.79333542567002</v>
      </c>
      <c r="L132" s="83">
        <f t="shared" si="122"/>
        <v>452.79333542567002</v>
      </c>
      <c r="M132" s="83">
        <f t="shared" si="122"/>
        <v>452.79333542567002</v>
      </c>
      <c r="N132" s="83">
        <f t="shared" si="122"/>
        <v>452.79333542567002</v>
      </c>
      <c r="O132" s="83">
        <f t="shared" si="122"/>
        <v>452.79333542567002</v>
      </c>
      <c r="P132" s="328"/>
      <c r="Q132" s="92">
        <f t="shared" ref="Q132:Z132" si="123">Q76</f>
        <v>452.06321786976429</v>
      </c>
      <c r="R132" s="83">
        <f t="shared" si="123"/>
        <v>452.06321786976429</v>
      </c>
      <c r="S132" s="328"/>
      <c r="T132" s="92">
        <f t="shared" si="123"/>
        <v>301.79320882872855</v>
      </c>
      <c r="U132" s="83">
        <f t="shared" si="123"/>
        <v>301.79320882872855</v>
      </c>
      <c r="V132" s="83">
        <f t="shared" si="123"/>
        <v>301.79320882872855</v>
      </c>
      <c r="W132" s="83">
        <f t="shared" si="123"/>
        <v>301.79320882872855</v>
      </c>
      <c r="X132" s="83">
        <f t="shared" si="123"/>
        <v>301.79320882872855</v>
      </c>
      <c r="Y132" s="91">
        <f t="shared" si="123"/>
        <v>301.79320882872855</v>
      </c>
      <c r="Z132" s="359">
        <f t="shared" si="123"/>
        <v>301.79320882872855</v>
      </c>
      <c r="AA132" s="370"/>
      <c r="AB132" s="92">
        <f t="shared" ref="AB132" si="124">AB76</f>
        <v>301.79320882872855</v>
      </c>
    </row>
    <row r="133" spans="1:28" x14ac:dyDescent="0.25">
      <c r="A133" s="330" t="s">
        <v>12</v>
      </c>
      <c r="B133" s="474" t="s">
        <v>52</v>
      </c>
      <c r="C133" s="474"/>
      <c r="D133" s="205">
        <f>D103</f>
        <v>73.024142681315226</v>
      </c>
      <c r="E133" s="83">
        <f>E103</f>
        <v>73.024142681315226</v>
      </c>
      <c r="F133" s="83">
        <f t="shared" ref="F133:G133" si="125">F103</f>
        <v>73.024142681315226</v>
      </c>
      <c r="G133" s="83">
        <f t="shared" si="125"/>
        <v>74.849746248348126</v>
      </c>
      <c r="H133" s="83">
        <f>H103</f>
        <v>74.849746248348126</v>
      </c>
      <c r="I133" s="83">
        <f>I103</f>
        <v>74.849746248348126</v>
      </c>
      <c r="J133" s="83">
        <f t="shared" ref="J133:O133" si="126">J103</f>
        <v>74.849746248348126</v>
      </c>
      <c r="K133" s="83">
        <f t="shared" si="126"/>
        <v>74.849746248348126</v>
      </c>
      <c r="L133" s="83">
        <f t="shared" si="126"/>
        <v>74.849746248348126</v>
      </c>
      <c r="M133" s="83">
        <f t="shared" si="126"/>
        <v>74.849746248348126</v>
      </c>
      <c r="N133" s="83">
        <f t="shared" si="126"/>
        <v>74.849746248348126</v>
      </c>
      <c r="O133" s="83">
        <f t="shared" si="126"/>
        <v>74.849746248348126</v>
      </c>
      <c r="P133" s="328"/>
      <c r="Q133" s="92">
        <f t="shared" ref="Q133:Z133" si="127">Q103</f>
        <v>74.822711038278015</v>
      </c>
      <c r="R133" s="83">
        <f t="shared" si="127"/>
        <v>74.822711038278015</v>
      </c>
      <c r="S133" s="328"/>
      <c r="T133" s="92">
        <f t="shared" si="127"/>
        <v>74.822711038278015</v>
      </c>
      <c r="U133" s="83">
        <f t="shared" si="127"/>
        <v>74.822711038278015</v>
      </c>
      <c r="V133" s="83">
        <f t="shared" si="127"/>
        <v>74.822711038278015</v>
      </c>
      <c r="W133" s="83">
        <f t="shared" si="127"/>
        <v>74.822711038278015</v>
      </c>
      <c r="X133" s="83">
        <f t="shared" si="127"/>
        <v>74.822711038278015</v>
      </c>
      <c r="Y133" s="91">
        <f t="shared" si="127"/>
        <v>74.822711038278015</v>
      </c>
      <c r="Z133" s="359">
        <f t="shared" si="127"/>
        <v>74.822711038278015</v>
      </c>
      <c r="AA133" s="370"/>
      <c r="AB133" s="92">
        <f t="shared" ref="AB133" si="128">AB103</f>
        <v>74.822711038278015</v>
      </c>
    </row>
    <row r="134" spans="1:28" x14ac:dyDescent="0.25">
      <c r="A134" s="330" t="s">
        <v>14</v>
      </c>
      <c r="B134" s="474" t="s">
        <v>66</v>
      </c>
      <c r="C134" s="474"/>
      <c r="D134" s="205">
        <f>D111</f>
        <v>0</v>
      </c>
      <c r="E134" s="83">
        <f>E111</f>
        <v>0</v>
      </c>
      <c r="F134" s="83">
        <f t="shared" ref="F134:G134" si="129">F111</f>
        <v>0</v>
      </c>
      <c r="G134" s="83">
        <f t="shared" si="129"/>
        <v>0</v>
      </c>
      <c r="H134" s="83">
        <f>H111</f>
        <v>0</v>
      </c>
      <c r="I134" s="83">
        <f>I111</f>
        <v>0</v>
      </c>
      <c r="J134" s="83">
        <f t="shared" ref="J134:O134" si="130">J111</f>
        <v>0</v>
      </c>
      <c r="K134" s="83">
        <f t="shared" si="130"/>
        <v>0</v>
      </c>
      <c r="L134" s="83">
        <f t="shared" si="130"/>
        <v>0</v>
      </c>
      <c r="M134" s="83">
        <f t="shared" si="130"/>
        <v>0</v>
      </c>
      <c r="N134" s="83">
        <f t="shared" si="130"/>
        <v>0</v>
      </c>
      <c r="O134" s="83">
        <f t="shared" si="130"/>
        <v>0</v>
      </c>
      <c r="P134" s="328"/>
      <c r="Q134" s="92">
        <f t="shared" ref="Q134:Z134" si="131">Q111</f>
        <v>0</v>
      </c>
      <c r="R134" s="83">
        <f t="shared" si="131"/>
        <v>0</v>
      </c>
      <c r="S134" s="328"/>
      <c r="T134" s="92">
        <f t="shared" si="131"/>
        <v>0</v>
      </c>
      <c r="U134" s="83">
        <f t="shared" si="131"/>
        <v>0</v>
      </c>
      <c r="V134" s="83">
        <f t="shared" si="131"/>
        <v>0</v>
      </c>
      <c r="W134" s="83">
        <f t="shared" si="131"/>
        <v>0</v>
      </c>
      <c r="X134" s="83">
        <f t="shared" si="131"/>
        <v>0</v>
      </c>
      <c r="Y134" s="91">
        <f t="shared" si="131"/>
        <v>0</v>
      </c>
      <c r="Z134" s="359">
        <f t="shared" si="131"/>
        <v>0</v>
      </c>
      <c r="AA134" s="370"/>
      <c r="AB134" s="92">
        <f t="shared" ref="AB134" si="132">AB111</f>
        <v>0</v>
      </c>
    </row>
    <row r="135" spans="1:28" x14ac:dyDescent="0.25">
      <c r="A135" s="467" t="s">
        <v>78</v>
      </c>
      <c r="B135" s="467"/>
      <c r="C135" s="467"/>
      <c r="D135" s="205">
        <f>SUM(D130:D134)</f>
        <v>9148.6973649821921</v>
      </c>
      <c r="E135" s="83">
        <f t="shared" ref="E135:G135" si="133">SUM(E130:E134)</f>
        <v>9294.3773649821906</v>
      </c>
      <c r="F135" s="83">
        <f t="shared" si="133"/>
        <v>9283.6973649821921</v>
      </c>
      <c r="G135" s="83">
        <f t="shared" si="133"/>
        <v>9507.8055491067444</v>
      </c>
      <c r="H135" s="83">
        <f>SUM(H130:H134)</f>
        <v>9508.7155491067442</v>
      </c>
      <c r="I135" s="83">
        <f>SUM(I130:I134)</f>
        <v>9505.4655491067442</v>
      </c>
      <c r="J135" s="83">
        <f t="shared" ref="J135:O135" si="134">SUM(J130:J134)</f>
        <v>9502.825549106743</v>
      </c>
      <c r="K135" s="83">
        <f t="shared" si="134"/>
        <v>9515.0655491067446</v>
      </c>
      <c r="L135" s="83">
        <f t="shared" si="134"/>
        <v>9538.1255491067441</v>
      </c>
      <c r="M135" s="83">
        <f t="shared" si="134"/>
        <v>9564.5655491067446</v>
      </c>
      <c r="N135" s="83">
        <f t="shared" si="134"/>
        <v>9552.4255491067452</v>
      </c>
      <c r="O135" s="83">
        <f t="shared" si="134"/>
        <v>9542.0355491067439</v>
      </c>
      <c r="P135" s="328"/>
      <c r="Q135" s="92">
        <f t="shared" ref="Q135:Z135" si="135">SUM(Q130:Q134)</f>
        <v>9543.259493465619</v>
      </c>
      <c r="R135" s="83">
        <f t="shared" si="135"/>
        <v>9553.1494934656184</v>
      </c>
      <c r="S135" s="328"/>
      <c r="T135" s="92">
        <f t="shared" si="135"/>
        <v>9402.8794844245822</v>
      </c>
      <c r="U135" s="83">
        <f t="shared" si="135"/>
        <v>9436.5494844245823</v>
      </c>
      <c r="V135" s="83">
        <f t="shared" si="135"/>
        <v>9473.4494844245819</v>
      </c>
      <c r="W135" s="83">
        <f t="shared" si="135"/>
        <v>9428.2394844245828</v>
      </c>
      <c r="X135" s="83">
        <f t="shared" si="135"/>
        <v>9430.2594844245814</v>
      </c>
      <c r="Y135" s="91">
        <f t="shared" si="135"/>
        <v>9435.8294844245829</v>
      </c>
      <c r="Z135" s="359">
        <f t="shared" si="135"/>
        <v>9421.2094844245821</v>
      </c>
      <c r="AA135" s="370"/>
      <c r="AB135" s="92">
        <f t="shared" ref="AB135" si="136">SUM(AB130:AB134)</f>
        <v>9347.4243756245814</v>
      </c>
    </row>
    <row r="136" spans="1:28" x14ac:dyDescent="0.25">
      <c r="A136" s="346" t="s">
        <v>16</v>
      </c>
      <c r="B136" s="475" t="s">
        <v>71</v>
      </c>
      <c r="C136" s="475"/>
      <c r="D136" s="205">
        <f>D124</f>
        <v>2314.2661350178064</v>
      </c>
      <c r="E136" s="83">
        <f>E124</f>
        <v>2351.1175333206779</v>
      </c>
      <c r="F136" s="83">
        <f t="shared" ref="F136:G136" si="137">F124</f>
        <v>2348.4159069212092</v>
      </c>
      <c r="G136" s="83">
        <f t="shared" si="137"/>
        <v>2405.1065985474261</v>
      </c>
      <c r="H136" s="83">
        <f>H124</f>
        <v>2405.3367933061822</v>
      </c>
      <c r="I136" s="83">
        <f>I124</f>
        <v>2404.5146691677669</v>
      </c>
      <c r="J136" s="83">
        <f t="shared" ref="J136:O136" si="138">J124</f>
        <v>2403.8468514061005</v>
      </c>
      <c r="K136" s="83">
        <f t="shared" si="138"/>
        <v>2406.9430973920089</v>
      </c>
      <c r="L136" s="83">
        <f t="shared" si="138"/>
        <v>2412.7763843556568</v>
      </c>
      <c r="M136" s="83">
        <f t="shared" si="138"/>
        <v>2419.4646804232566</v>
      </c>
      <c r="N136" s="83">
        <f t="shared" si="138"/>
        <v>2416.3937305646841</v>
      </c>
      <c r="O136" s="83">
        <f t="shared" si="138"/>
        <v>2413.7654629344888</v>
      </c>
      <c r="P136" s="328"/>
      <c r="Q136" s="92">
        <f t="shared" ref="Q136:Z136" si="139">Q124</f>
        <v>2414.0750734580297</v>
      </c>
      <c r="R136" s="83">
        <f t="shared" si="139"/>
        <v>2416.5768604515451</v>
      </c>
      <c r="S136" s="328"/>
      <c r="T136" s="92">
        <f t="shared" si="139"/>
        <v>2378.5643676169257</v>
      </c>
      <c r="U136" s="83">
        <f t="shared" si="139"/>
        <v>2387.0815736909076</v>
      </c>
      <c r="V136" s="83">
        <f t="shared" si="139"/>
        <v>2396.4158446778379</v>
      </c>
      <c r="W136" s="83">
        <f t="shared" si="139"/>
        <v>2384.9794655092987</v>
      </c>
      <c r="X136" s="83">
        <f t="shared" si="139"/>
        <v>2385.4904472814824</v>
      </c>
      <c r="Y136" s="91">
        <f t="shared" si="139"/>
        <v>2386.8994415740899</v>
      </c>
      <c r="Z136" s="359">
        <f t="shared" si="139"/>
        <v>2383.2011477575879</v>
      </c>
      <c r="AA136" s="370"/>
      <c r="AB136" s="92">
        <f t="shared" ref="AB136" si="140">AB124</f>
        <v>2364.5363726806413</v>
      </c>
    </row>
    <row r="137" spans="1:28" ht="15.75" thickBot="1" x14ac:dyDescent="0.3">
      <c r="A137" s="467" t="s">
        <v>79</v>
      </c>
      <c r="B137" s="467"/>
      <c r="C137" s="467"/>
      <c r="D137" s="205">
        <f>SUM(D135:D136)</f>
        <v>11462.963499999998</v>
      </c>
      <c r="E137" s="213">
        <f t="shared" ref="E137:G137" si="141">SUM(E135:E136)</f>
        <v>11645.494898302868</v>
      </c>
      <c r="F137" s="213">
        <f t="shared" si="141"/>
        <v>11632.113271903401</v>
      </c>
      <c r="G137" s="213">
        <f t="shared" si="141"/>
        <v>11912.91214765417</v>
      </c>
      <c r="H137" s="213">
        <f>SUM(H135:H136)</f>
        <v>11914.052342412926</v>
      </c>
      <c r="I137" s="213">
        <f>SUM(I135:I136)</f>
        <v>11909.980218274512</v>
      </c>
      <c r="J137" s="213">
        <f t="shared" ref="J137:O137" si="142">SUM(J135:J136)</f>
        <v>11906.672400512844</v>
      </c>
      <c r="K137" s="213">
        <f t="shared" si="142"/>
        <v>11922.008646498754</v>
      </c>
      <c r="L137" s="213">
        <f t="shared" si="142"/>
        <v>11950.901933462401</v>
      </c>
      <c r="M137" s="213">
        <f t="shared" si="142"/>
        <v>11984.030229530001</v>
      </c>
      <c r="N137" s="213">
        <f t="shared" si="142"/>
        <v>11968.819279671428</v>
      </c>
      <c r="O137" s="213">
        <f t="shared" si="142"/>
        <v>11955.801012041233</v>
      </c>
      <c r="P137" s="248"/>
      <c r="Q137" s="215">
        <f t="shared" ref="Q137:Z137" si="143">SUM(Q135:Q136)</f>
        <v>11957.334566923648</v>
      </c>
      <c r="R137" s="213">
        <f t="shared" si="143"/>
        <v>11969.726353917164</v>
      </c>
      <c r="S137" s="248"/>
      <c r="T137" s="215">
        <f t="shared" si="143"/>
        <v>11781.443852041508</v>
      </c>
      <c r="U137" s="213">
        <f t="shared" si="143"/>
        <v>11823.63105811549</v>
      </c>
      <c r="V137" s="213">
        <f t="shared" si="143"/>
        <v>11869.86532910242</v>
      </c>
      <c r="W137" s="213">
        <f t="shared" si="143"/>
        <v>11813.218949933882</v>
      </c>
      <c r="X137" s="213">
        <f t="shared" si="143"/>
        <v>11815.749931706065</v>
      </c>
      <c r="Y137" s="344">
        <f t="shared" si="143"/>
        <v>11822.728925998672</v>
      </c>
      <c r="Z137" s="365">
        <f t="shared" si="143"/>
        <v>11804.410632182171</v>
      </c>
      <c r="AA137" s="248"/>
      <c r="AB137" s="215">
        <f t="shared" ref="AB137" si="144">SUM(AB135:AB136)</f>
        <v>11711.960748305222</v>
      </c>
    </row>
  </sheetData>
  <mergeCells count="100">
    <mergeCell ref="S9:T9"/>
    <mergeCell ref="S8:T8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Z3"/>
    <mergeCell ref="P4:Q4"/>
    <mergeCell ref="P5:Q5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B107:C107"/>
    <mergeCell ref="A115:B115"/>
    <mergeCell ref="C115:D115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126:D126"/>
    <mergeCell ref="P8:Q8"/>
    <mergeCell ref="P9:Q9"/>
    <mergeCell ref="A128:D128"/>
    <mergeCell ref="A129:C129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A1:D2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24:B124"/>
    <mergeCell ref="A125:D125"/>
    <mergeCell ref="P6:Q6"/>
    <mergeCell ref="P7:Q7"/>
    <mergeCell ref="S5:T5"/>
    <mergeCell ref="S4:T4"/>
    <mergeCell ref="S6:T6"/>
    <mergeCell ref="S7:T7"/>
    <mergeCell ref="AA8:AB8"/>
    <mergeCell ref="AA9:AB9"/>
    <mergeCell ref="AA1:AB3"/>
    <mergeCell ref="AA4:AB4"/>
    <mergeCell ref="AA5:AB5"/>
    <mergeCell ref="AA6:AB6"/>
    <mergeCell ref="AA7:AB7"/>
  </mergeCells>
  <dataValidations disablePrompts="1" count="1">
    <dataValidation type="list" allowBlank="1" showInputMessage="1" showErrorMessage="1" sqref="C115:AB115" xr:uid="{6DC6C6AA-5C18-49F8-83C5-47AC2B026821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4"/>
  <sheetViews>
    <sheetView showGridLines="0" topLeftCell="A4" zoomScale="85" zoomScaleNormal="85" zoomScaleSheetLayoutView="85" workbookViewId="0">
      <selection activeCell="E11" sqref="E11"/>
    </sheetView>
  </sheetViews>
  <sheetFormatPr defaultColWidth="9" defaultRowHeight="15" x14ac:dyDescent="0.25"/>
  <cols>
    <col min="1" max="1" width="22.7109375" style="29" customWidth="1"/>
    <col min="2" max="2" width="12.28515625" style="29" customWidth="1"/>
    <col min="3" max="3" width="44.85546875" style="14" customWidth="1"/>
    <col min="4" max="4" width="15.140625" style="30" customWidth="1"/>
    <col min="5" max="5" width="15.28515625" style="30" bestFit="1" customWidth="1"/>
    <col min="6" max="6" width="13.85546875" style="15" customWidth="1"/>
    <col min="7" max="11" width="9" style="14"/>
    <col min="12" max="13" width="11.28515625" style="14" bestFit="1" customWidth="1"/>
    <col min="14" max="14" width="15.5703125" style="14" customWidth="1"/>
    <col min="15" max="16384" width="9" style="14"/>
  </cols>
  <sheetData>
    <row r="1" spans="1:5" ht="30" customHeight="1" x14ac:dyDescent="0.25">
      <c r="A1" s="637"/>
      <c r="B1" s="637"/>
      <c r="C1" s="637"/>
      <c r="D1" s="637"/>
      <c r="E1" s="637"/>
    </row>
    <row r="2" spans="1:5" ht="24" customHeight="1" x14ac:dyDescent="0.25">
      <c r="A2" s="638" t="s">
        <v>142</v>
      </c>
      <c r="B2" s="638"/>
      <c r="C2" s="638"/>
      <c r="D2" s="638"/>
      <c r="E2" s="638"/>
    </row>
    <row r="3" spans="1:5" ht="24.75" customHeight="1" x14ac:dyDescent="0.25">
      <c r="A3" s="16" t="s">
        <v>134</v>
      </c>
      <c r="B3" s="16" t="s">
        <v>135</v>
      </c>
      <c r="C3" s="16" t="s">
        <v>136</v>
      </c>
      <c r="D3" s="17" t="s">
        <v>137</v>
      </c>
      <c r="E3" s="17" t="s">
        <v>138</v>
      </c>
    </row>
    <row r="4" spans="1:5" ht="63.75" customHeight="1" x14ac:dyDescent="0.25">
      <c r="A4" s="639"/>
      <c r="B4" s="18"/>
      <c r="C4" s="19"/>
      <c r="D4" s="20"/>
      <c r="E4" s="20">
        <f>D4*B4</f>
        <v>0</v>
      </c>
    </row>
    <row r="5" spans="1:5" ht="58.5" customHeight="1" x14ac:dyDescent="0.25">
      <c r="A5" s="639"/>
      <c r="B5" s="18"/>
      <c r="C5" s="19"/>
      <c r="D5" s="20"/>
      <c r="E5" s="20">
        <f>D5*B5</f>
        <v>0</v>
      </c>
    </row>
    <row r="6" spans="1:5" ht="33.75" customHeight="1" x14ac:dyDescent="0.25">
      <c r="A6" s="639"/>
      <c r="B6" s="18"/>
      <c r="C6" s="19"/>
      <c r="D6" s="20"/>
      <c r="E6" s="20">
        <f>D6*B6</f>
        <v>0</v>
      </c>
    </row>
    <row r="7" spans="1:5" ht="47.25" customHeight="1" x14ac:dyDescent="0.25">
      <c r="A7" s="639"/>
      <c r="B7" s="18"/>
      <c r="C7" s="19"/>
      <c r="D7" s="20"/>
      <c r="E7" s="20">
        <f>D7*B7</f>
        <v>0</v>
      </c>
    </row>
    <row r="8" spans="1:5" ht="65.25" customHeight="1" x14ac:dyDescent="0.25">
      <c r="A8" s="640"/>
      <c r="B8" s="21"/>
      <c r="C8" s="22"/>
      <c r="D8" s="23"/>
      <c r="E8" s="23">
        <f>D8*B8</f>
        <v>0</v>
      </c>
    </row>
    <row r="9" spans="1:5" ht="18" customHeight="1" x14ac:dyDescent="0.25">
      <c r="A9" s="636" t="s">
        <v>143</v>
      </c>
      <c r="B9" s="636"/>
      <c r="C9" s="636"/>
      <c r="D9" s="636"/>
      <c r="E9" s="24">
        <f>SUM(E4:E8)</f>
        <v>0</v>
      </c>
    </row>
    <row r="10" spans="1:5" ht="18" customHeight="1" x14ac:dyDescent="0.25">
      <c r="A10" s="636" t="s">
        <v>139</v>
      </c>
      <c r="B10" s="636"/>
      <c r="C10" s="636"/>
      <c r="D10" s="636"/>
      <c r="E10" s="24">
        <f>ROUND((SUM(E4:E8)/20),2)</f>
        <v>0</v>
      </c>
    </row>
    <row r="11" spans="1:5" ht="20.100000000000001" customHeight="1" x14ac:dyDescent="0.25">
      <c r="A11" s="16" t="s">
        <v>134</v>
      </c>
      <c r="B11" s="16" t="s">
        <v>140</v>
      </c>
      <c r="C11" s="16" t="s">
        <v>136</v>
      </c>
      <c r="D11" s="17" t="s">
        <v>137</v>
      </c>
      <c r="E11" s="17" t="s">
        <v>138</v>
      </c>
    </row>
    <row r="12" spans="1:5" ht="62.45" customHeight="1" x14ac:dyDescent="0.25">
      <c r="A12" s="639"/>
      <c r="B12" s="18"/>
      <c r="C12" s="25"/>
      <c r="D12" s="20"/>
      <c r="E12" s="20">
        <f>D12*B12</f>
        <v>0</v>
      </c>
    </row>
    <row r="13" spans="1:5" ht="47.45" customHeight="1" x14ac:dyDescent="0.25">
      <c r="A13" s="639"/>
      <c r="B13" s="18"/>
      <c r="C13" s="19"/>
      <c r="D13" s="20"/>
      <c r="E13" s="20">
        <f>D13*B13</f>
        <v>0</v>
      </c>
    </row>
    <row r="14" spans="1:5" ht="100.5" customHeight="1" x14ac:dyDescent="0.25">
      <c r="A14" s="639"/>
      <c r="B14" s="18"/>
      <c r="C14" s="19"/>
      <c r="D14" s="20"/>
      <c r="E14" s="20">
        <f>D14*B14</f>
        <v>0</v>
      </c>
    </row>
    <row r="15" spans="1:5" ht="37.15" customHeight="1" x14ac:dyDescent="0.25">
      <c r="A15" s="639"/>
      <c r="B15" s="18"/>
      <c r="C15" s="19"/>
      <c r="D15" s="20"/>
      <c r="E15" s="20">
        <f>D15*B15</f>
        <v>0</v>
      </c>
    </row>
    <row r="16" spans="1:5" ht="20.100000000000001" customHeight="1" x14ac:dyDescent="0.25">
      <c r="A16" s="636" t="s">
        <v>143</v>
      </c>
      <c r="B16" s="636"/>
      <c r="C16" s="636"/>
      <c r="D16" s="636"/>
      <c r="E16" s="24">
        <f>SUM(E12:E15)</f>
        <v>0</v>
      </c>
    </row>
    <row r="17" spans="1:14" ht="20.100000000000001" customHeight="1" x14ac:dyDescent="0.25">
      <c r="A17" s="636" t="s">
        <v>139</v>
      </c>
      <c r="B17" s="636"/>
      <c r="C17" s="636"/>
      <c r="D17" s="636"/>
      <c r="E17" s="24">
        <f>ROUND((SUM(E12:E15)/20),2)</f>
        <v>0</v>
      </c>
    </row>
    <row r="18" spans="1:14" s="15" customFormat="1" ht="18" customHeight="1" x14ac:dyDescent="0.25">
      <c r="A18" s="26"/>
      <c r="B18" s="26"/>
      <c r="C18" s="26"/>
      <c r="D18" s="27"/>
      <c r="E18" s="27"/>
      <c r="G18" s="14"/>
      <c r="H18" s="14"/>
      <c r="I18" s="14"/>
      <c r="J18" s="14"/>
      <c r="K18" s="14"/>
      <c r="L18" s="14"/>
      <c r="M18" s="14"/>
      <c r="N18" s="14"/>
    </row>
    <row r="19" spans="1:14" s="15" customFormat="1" ht="18" customHeight="1" x14ac:dyDescent="0.25">
      <c r="A19" s="635" t="s">
        <v>141</v>
      </c>
      <c r="B19" s="635"/>
      <c r="C19" s="635"/>
      <c r="D19" s="635"/>
      <c r="E19" s="635"/>
      <c r="G19" s="14"/>
      <c r="H19" s="14"/>
      <c r="I19" s="14"/>
      <c r="J19" s="14"/>
      <c r="K19" s="14"/>
      <c r="L19" s="14"/>
      <c r="M19" s="14"/>
      <c r="N19" s="14"/>
    </row>
    <row r="20" spans="1:14" s="15" customFormat="1" ht="18" customHeight="1" x14ac:dyDescent="0.25">
      <c r="A20" s="26"/>
      <c r="B20" s="26"/>
      <c r="C20" s="26"/>
      <c r="D20" s="27"/>
      <c r="E20" s="27"/>
      <c r="G20" s="14"/>
      <c r="H20" s="14"/>
      <c r="I20" s="14"/>
      <c r="J20" s="14"/>
      <c r="K20" s="14"/>
      <c r="L20" s="14"/>
      <c r="M20" s="14"/>
      <c r="N20" s="14"/>
    </row>
    <row r="21" spans="1:14" s="15" customFormat="1" ht="18" customHeight="1" x14ac:dyDescent="0.25">
      <c r="A21" s="26"/>
      <c r="B21" s="26"/>
      <c r="C21" s="26"/>
      <c r="D21" s="27"/>
      <c r="E21" s="27"/>
      <c r="G21" s="14"/>
      <c r="H21" s="14"/>
      <c r="I21" s="14"/>
      <c r="J21" s="14"/>
      <c r="K21" s="14"/>
      <c r="L21" s="14"/>
      <c r="M21" s="14"/>
      <c r="N21" s="14"/>
    </row>
    <row r="22" spans="1:14" s="15" customFormat="1" ht="18" customHeight="1" x14ac:dyDescent="0.25">
      <c r="A22" s="26"/>
      <c r="B22" s="26"/>
      <c r="C22" s="26"/>
      <c r="D22" s="27"/>
      <c r="E22" s="27"/>
      <c r="G22" s="14"/>
      <c r="H22" s="14"/>
      <c r="I22" s="14"/>
      <c r="J22" s="14"/>
      <c r="K22" s="14"/>
      <c r="L22" s="14"/>
      <c r="M22" s="14"/>
      <c r="N22" s="14"/>
    </row>
    <row r="23" spans="1:14" s="15" customFormat="1" ht="18" customHeight="1" x14ac:dyDescent="0.25">
      <c r="A23" s="26"/>
      <c r="B23" s="26"/>
      <c r="C23" s="26"/>
      <c r="D23" s="27"/>
      <c r="E23" s="27"/>
      <c r="G23" s="14"/>
      <c r="H23" s="14"/>
      <c r="I23" s="14"/>
      <c r="J23" s="14"/>
      <c r="K23" s="14"/>
      <c r="L23" s="14"/>
      <c r="M23" s="14"/>
      <c r="N23" s="14"/>
    </row>
    <row r="24" spans="1:14" s="15" customFormat="1" ht="18" customHeight="1" x14ac:dyDescent="0.25">
      <c r="A24" s="26"/>
      <c r="B24" s="26"/>
      <c r="C24" s="26"/>
      <c r="D24" s="27"/>
      <c r="E24" s="27"/>
      <c r="G24" s="14"/>
      <c r="H24" s="14"/>
      <c r="I24" s="14"/>
      <c r="J24" s="14"/>
      <c r="K24" s="14"/>
      <c r="L24" s="14"/>
      <c r="M24" s="14"/>
      <c r="N24" s="14"/>
    </row>
    <row r="25" spans="1:14" s="15" customFormat="1" ht="18" customHeight="1" x14ac:dyDescent="0.25">
      <c r="A25" s="26"/>
      <c r="B25" s="26"/>
      <c r="C25" s="26"/>
      <c r="D25" s="27"/>
      <c r="E25" s="27"/>
      <c r="G25" s="14"/>
      <c r="H25" s="14"/>
      <c r="I25" s="14"/>
      <c r="J25" s="14"/>
      <c r="K25" s="14"/>
      <c r="L25" s="14"/>
      <c r="M25" s="14"/>
      <c r="N25" s="14"/>
    </row>
    <row r="26" spans="1:14" s="15" customFormat="1" ht="18" customHeight="1" x14ac:dyDescent="0.25">
      <c r="A26" s="26"/>
      <c r="B26" s="26"/>
      <c r="C26" s="26"/>
      <c r="D26" s="27"/>
      <c r="E26" s="27"/>
      <c r="G26" s="14"/>
      <c r="H26" s="14"/>
      <c r="I26" s="14"/>
      <c r="J26" s="14"/>
      <c r="K26" s="14"/>
      <c r="L26" s="14"/>
      <c r="M26" s="14"/>
      <c r="N26" s="14"/>
    </row>
    <row r="27" spans="1:14" ht="18" customHeight="1" x14ac:dyDescent="0.25">
      <c r="A27" s="26"/>
      <c r="B27" s="26"/>
      <c r="C27" s="26"/>
      <c r="D27" s="27"/>
      <c r="E27" s="27"/>
    </row>
    <row r="28" spans="1:14" ht="18" customHeight="1" x14ac:dyDescent="0.25">
      <c r="A28" s="26"/>
      <c r="B28" s="26"/>
      <c r="C28" s="26"/>
      <c r="D28" s="27"/>
      <c r="E28" s="27"/>
    </row>
    <row r="29" spans="1:14" ht="18" customHeight="1" x14ac:dyDescent="0.25">
      <c r="A29" s="26"/>
      <c r="B29" s="26"/>
      <c r="C29" s="26"/>
      <c r="D29" s="27"/>
      <c r="E29" s="27"/>
    </row>
    <row r="30" spans="1:14" ht="18" customHeight="1" x14ac:dyDescent="0.25">
      <c r="A30" s="26"/>
      <c r="B30" s="26"/>
      <c r="C30" s="26"/>
      <c r="D30" s="27"/>
      <c r="E30" s="27"/>
    </row>
    <row r="31" spans="1:14" ht="18" customHeight="1" x14ac:dyDescent="0.25">
      <c r="A31" s="26"/>
      <c r="B31" s="26"/>
      <c r="C31" s="26"/>
      <c r="D31" s="27"/>
      <c r="E31" s="27"/>
    </row>
    <row r="32" spans="1:14" ht="18" customHeight="1" x14ac:dyDescent="0.25">
      <c r="A32" s="26"/>
      <c r="B32" s="26"/>
      <c r="C32" s="26"/>
      <c r="D32" s="27"/>
      <c r="E32" s="27"/>
    </row>
    <row r="33" spans="1:6" ht="18" customHeight="1" x14ac:dyDescent="0.25">
      <c r="A33" s="26"/>
      <c r="B33" s="26"/>
      <c r="C33" s="26"/>
      <c r="D33" s="27"/>
      <c r="E33" s="27"/>
    </row>
    <row r="34" spans="1:6" ht="18" customHeight="1" x14ac:dyDescent="0.25">
      <c r="A34" s="26"/>
      <c r="B34" s="26"/>
      <c r="C34" s="26"/>
      <c r="D34" s="27"/>
      <c r="E34" s="27"/>
    </row>
    <row r="35" spans="1:6" ht="18" customHeight="1" x14ac:dyDescent="0.25">
      <c r="A35" s="26"/>
      <c r="B35" s="26"/>
      <c r="C35" s="26"/>
      <c r="D35" s="27"/>
      <c r="E35" s="27"/>
    </row>
    <row r="36" spans="1:6" ht="18" customHeight="1" x14ac:dyDescent="0.25">
      <c r="A36" s="26"/>
      <c r="B36" s="26"/>
      <c r="C36" s="26"/>
      <c r="D36" s="27"/>
      <c r="E36" s="27"/>
    </row>
    <row r="37" spans="1:6" ht="18" customHeight="1" x14ac:dyDescent="0.25">
      <c r="A37" s="26"/>
      <c r="B37" s="26"/>
      <c r="C37" s="26"/>
      <c r="D37" s="27"/>
      <c r="E37" s="27"/>
    </row>
    <row r="38" spans="1:6" ht="18" customHeight="1" x14ac:dyDescent="0.25">
      <c r="A38" s="26"/>
      <c r="B38" s="26"/>
      <c r="C38" s="26"/>
      <c r="D38" s="27"/>
      <c r="E38" s="27"/>
    </row>
    <row r="39" spans="1:6" ht="18" customHeight="1" x14ac:dyDescent="0.25">
      <c r="A39" s="26"/>
      <c r="B39" s="26"/>
      <c r="C39" s="26"/>
      <c r="D39" s="27"/>
      <c r="E39" s="27"/>
    </row>
    <row r="40" spans="1:6" s="13" customFormat="1" ht="18" customHeight="1" x14ac:dyDescent="0.25">
      <c r="A40" s="26"/>
      <c r="B40" s="26"/>
      <c r="C40" s="26"/>
      <c r="D40" s="27"/>
      <c r="E40" s="27"/>
      <c r="F40" s="28"/>
    </row>
    <row r="41" spans="1:6" s="13" customFormat="1" ht="18" customHeight="1" x14ac:dyDescent="0.25">
      <c r="A41" s="26"/>
      <c r="B41" s="26"/>
      <c r="C41" s="26"/>
      <c r="D41" s="27"/>
      <c r="E41" s="27"/>
      <c r="F41" s="28"/>
    </row>
    <row r="42" spans="1:6" s="13" customFormat="1" ht="18" customHeight="1" x14ac:dyDescent="0.25">
      <c r="A42" s="26"/>
      <c r="B42" s="26"/>
      <c r="C42" s="26"/>
      <c r="D42" s="27"/>
      <c r="E42" s="27"/>
      <c r="F42" s="28"/>
    </row>
    <row r="43" spans="1:6" s="13" customFormat="1" ht="18" customHeight="1" x14ac:dyDescent="0.25">
      <c r="A43" s="26"/>
      <c r="B43" s="26"/>
      <c r="C43" s="26"/>
      <c r="D43" s="27"/>
      <c r="E43" s="27"/>
      <c r="F43" s="28"/>
    </row>
    <row r="44" spans="1:6" ht="19.899999999999999" customHeight="1" x14ac:dyDescent="0.25"/>
  </sheetData>
  <mergeCells count="9">
    <mergeCell ref="A19:E19"/>
    <mergeCell ref="A16:D16"/>
    <mergeCell ref="A17:D17"/>
    <mergeCell ref="A1:E1"/>
    <mergeCell ref="A2:E2"/>
    <mergeCell ref="A4:A8"/>
    <mergeCell ref="A9:D9"/>
    <mergeCell ref="A10:D10"/>
    <mergeCell ref="A12:A15"/>
  </mergeCells>
  <printOptions horizontalCentered="1"/>
  <pageMargins left="0.31496062992125984" right="0.11811023622047245" top="1.1811023622047245" bottom="0.78740157480314965" header="0.31496062992125984" footer="0.31496062992125984"/>
  <pageSetup paperSize="9" scale="84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6E97-9E05-46A2-ABD4-F4E2E78CA9BB}">
  <dimension ref="B2:H51"/>
  <sheetViews>
    <sheetView workbookViewId="0">
      <selection activeCell="G5" sqref="G5"/>
    </sheetView>
  </sheetViews>
  <sheetFormatPr defaultRowHeight="15" x14ac:dyDescent="0.25"/>
  <cols>
    <col min="1" max="1" width="9.140625" style="1"/>
    <col min="2" max="2" width="30" style="1" bestFit="1" customWidth="1"/>
    <col min="3" max="3" width="34.7109375" style="1" bestFit="1" customWidth="1"/>
    <col min="4" max="4" width="20.7109375" style="1" bestFit="1" customWidth="1"/>
    <col min="5" max="5" width="15.85546875" style="1" bestFit="1" customWidth="1"/>
    <col min="6" max="6" width="20.7109375" style="1" bestFit="1" customWidth="1"/>
    <col min="7" max="7" width="22.7109375" style="1" bestFit="1" customWidth="1"/>
    <col min="8" max="8" width="20.42578125" style="1" bestFit="1" customWidth="1"/>
    <col min="9" max="16384" width="9.140625" style="1"/>
  </cols>
  <sheetData>
    <row r="2" spans="2:8" x14ac:dyDescent="0.25">
      <c r="B2" s="132" t="s">
        <v>242</v>
      </c>
      <c r="C2" s="132" t="s">
        <v>244</v>
      </c>
      <c r="D2" s="139" t="s">
        <v>259</v>
      </c>
      <c r="E2" s="142"/>
    </row>
    <row r="3" spans="2:8" ht="75" x14ac:dyDescent="0.25">
      <c r="B3" s="127" t="s">
        <v>251</v>
      </c>
      <c r="C3" s="2" t="s">
        <v>247</v>
      </c>
      <c r="D3" s="140">
        <f>G23</f>
        <v>134959.59142125282</v>
      </c>
      <c r="E3" s="143"/>
    </row>
    <row r="4" spans="2:8" ht="60" x14ac:dyDescent="0.25">
      <c r="B4" s="127" t="s">
        <v>257</v>
      </c>
      <c r="C4" s="2" t="s">
        <v>246</v>
      </c>
      <c r="D4" s="140"/>
      <c r="E4" s="143"/>
      <c r="F4" s="128"/>
    </row>
    <row r="5" spans="2:8" ht="81" customHeight="1" x14ac:dyDescent="0.25">
      <c r="B5" s="423" t="s">
        <v>260</v>
      </c>
      <c r="C5" s="424"/>
      <c r="D5" s="424"/>
      <c r="E5" s="143"/>
      <c r="F5" s="128"/>
    </row>
    <row r="6" spans="2:8" x14ac:dyDescent="0.25">
      <c r="B6" s="127" t="s">
        <v>243</v>
      </c>
      <c r="C6" s="3" t="s">
        <v>245</v>
      </c>
      <c r="D6" s="129">
        <f>G36</f>
        <v>140544.04963699766</v>
      </c>
      <c r="E6" s="143"/>
    </row>
    <row r="7" spans="2:8" x14ac:dyDescent="0.25">
      <c r="B7" s="127" t="s">
        <v>248</v>
      </c>
      <c r="C7" s="3" t="s">
        <v>270</v>
      </c>
      <c r="D7" s="131">
        <f>'Quadro-Resumo'!AC17</f>
        <v>148041.75794716255</v>
      </c>
      <c r="E7" s="313"/>
    </row>
    <row r="8" spans="2:8" x14ac:dyDescent="0.25">
      <c r="B8" s="157" t="s">
        <v>248</v>
      </c>
      <c r="C8" s="3" t="s">
        <v>249</v>
      </c>
      <c r="D8" s="131">
        <f>G49</f>
        <v>173656.34017730344</v>
      </c>
      <c r="E8" s="314">
        <f>D8/D7-1</f>
        <v>0.17302268350044159</v>
      </c>
      <c r="F8" s="130">
        <f>D8-D7</f>
        <v>25614.582230140892</v>
      </c>
    </row>
    <row r="9" spans="2:8" x14ac:dyDescent="0.25">
      <c r="D9" s="35"/>
      <c r="E9" s="141"/>
    </row>
    <row r="12" spans="2:8" x14ac:dyDescent="0.25">
      <c r="B12" s="425" t="s">
        <v>250</v>
      </c>
      <c r="C12" s="425"/>
      <c r="D12" s="425"/>
      <c r="E12" s="425"/>
      <c r="F12" s="425"/>
      <c r="G12" s="425"/>
      <c r="H12" s="425"/>
    </row>
    <row r="13" spans="2:8" s="128" customFormat="1" ht="45" x14ac:dyDescent="0.25">
      <c r="B13" s="135" t="s">
        <v>252</v>
      </c>
      <c r="C13" s="135" t="s">
        <v>253</v>
      </c>
      <c r="D13" s="135" t="s">
        <v>258</v>
      </c>
      <c r="E13" s="135" t="s">
        <v>255</v>
      </c>
      <c r="F13" s="135" t="s">
        <v>254</v>
      </c>
      <c r="G13" s="135" t="s">
        <v>256</v>
      </c>
      <c r="H13" s="135" t="s">
        <v>92</v>
      </c>
    </row>
    <row r="14" spans="2:8" x14ac:dyDescent="0.25">
      <c r="B14" s="133" t="s">
        <v>144</v>
      </c>
      <c r="C14" s="134">
        <f>'Coordenador de Jornalismo'!D137</f>
        <v>16639.644999999997</v>
      </c>
      <c r="D14" s="127">
        <v>1</v>
      </c>
      <c r="E14" s="134">
        <f>C14*D14</f>
        <v>16639.644999999997</v>
      </c>
      <c r="F14" s="127">
        <v>1</v>
      </c>
      <c r="G14" s="134">
        <f>F14*E14</f>
        <v>16639.644999999997</v>
      </c>
      <c r="H14" s="134">
        <f>G14*20</f>
        <v>332792.89999999991</v>
      </c>
    </row>
    <row r="15" spans="2:8" x14ac:dyDescent="0.25">
      <c r="B15" s="133" t="s">
        <v>150</v>
      </c>
      <c r="C15" s="134">
        <f>'Mídias Sociais'!D137</f>
        <v>14394.188</v>
      </c>
      <c r="D15" s="127">
        <v>1</v>
      </c>
      <c r="E15" s="134">
        <f t="shared" ref="E15:E22" si="0">C15*D15</f>
        <v>14394.188</v>
      </c>
      <c r="F15" s="127">
        <v>1</v>
      </c>
      <c r="G15" s="134">
        <f t="shared" ref="G15:G22" si="1">F15*E15</f>
        <v>14394.188</v>
      </c>
      <c r="H15" s="134">
        <f t="shared" ref="H15:H22" si="2">G15*20</f>
        <v>287883.76</v>
      </c>
    </row>
    <row r="16" spans="2:8" x14ac:dyDescent="0.25">
      <c r="B16" s="133" t="s">
        <v>151</v>
      </c>
      <c r="C16" s="134">
        <f>'Jornalista Produtor'!D137</f>
        <v>12791.0465</v>
      </c>
      <c r="D16" s="127">
        <v>1</v>
      </c>
      <c r="E16" s="134">
        <f t="shared" si="0"/>
        <v>12791.0465</v>
      </c>
      <c r="F16" s="127">
        <v>3</v>
      </c>
      <c r="G16" s="134">
        <f t="shared" si="1"/>
        <v>38373.139500000005</v>
      </c>
      <c r="H16" s="134">
        <f t="shared" si="2"/>
        <v>767462.79</v>
      </c>
    </row>
    <row r="17" spans="2:8" x14ac:dyDescent="0.25">
      <c r="B17" s="133" t="s">
        <v>187</v>
      </c>
      <c r="C17" s="134">
        <f>'Repórter Fotográfico'!D137</f>
        <v>11036.433999999999</v>
      </c>
      <c r="D17" s="127">
        <v>1</v>
      </c>
      <c r="E17" s="134">
        <f t="shared" si="0"/>
        <v>11036.433999999999</v>
      </c>
      <c r="F17" s="127">
        <v>1</v>
      </c>
      <c r="G17" s="134">
        <f t="shared" si="1"/>
        <v>11036.433999999999</v>
      </c>
      <c r="H17" s="134">
        <f t="shared" si="2"/>
        <v>220728.68</v>
      </c>
    </row>
    <row r="18" spans="2:8" x14ac:dyDescent="0.25">
      <c r="B18" s="133" t="s">
        <v>145</v>
      </c>
      <c r="C18" s="134">
        <f>'Editor de Pós-Produção'!D137</f>
        <v>12618.046942365858</v>
      </c>
      <c r="D18" s="127">
        <v>1</v>
      </c>
      <c r="E18" s="134">
        <f t="shared" si="0"/>
        <v>12618.046942365858</v>
      </c>
      <c r="F18" s="127">
        <v>1</v>
      </c>
      <c r="G18" s="134">
        <f t="shared" si="1"/>
        <v>12618.046942365858</v>
      </c>
      <c r="H18" s="134">
        <f t="shared" si="2"/>
        <v>252360.93884731716</v>
      </c>
    </row>
    <row r="19" spans="2:8" x14ac:dyDescent="0.25">
      <c r="B19" s="133" t="s">
        <v>146</v>
      </c>
      <c r="C19" s="134">
        <f>'Operador de Câmera UPE'!D137</f>
        <v>12358.767812434788</v>
      </c>
      <c r="D19" s="127">
        <v>1</v>
      </c>
      <c r="E19" s="134">
        <f t="shared" si="0"/>
        <v>12358.767812434788</v>
      </c>
      <c r="F19" s="127">
        <v>1</v>
      </c>
      <c r="G19" s="134">
        <f t="shared" si="1"/>
        <v>12358.767812434788</v>
      </c>
      <c r="H19" s="134">
        <f t="shared" si="2"/>
        <v>247175.35624869575</v>
      </c>
    </row>
    <row r="20" spans="2:8" x14ac:dyDescent="0.25">
      <c r="B20" s="133" t="s">
        <v>188</v>
      </c>
      <c r="C20" s="134">
        <f>'Auxiliar de Operador de Câmera '!D137</f>
        <v>7455.8866664521647</v>
      </c>
      <c r="D20" s="127">
        <v>1</v>
      </c>
      <c r="E20" s="134">
        <f t="shared" si="0"/>
        <v>7455.8866664521647</v>
      </c>
      <c r="F20" s="127">
        <v>1</v>
      </c>
      <c r="G20" s="134">
        <f t="shared" si="1"/>
        <v>7455.8866664521647</v>
      </c>
      <c r="H20" s="134">
        <f t="shared" si="2"/>
        <v>149117.73332904329</v>
      </c>
    </row>
    <row r="21" spans="2:8" x14ac:dyDescent="0.25">
      <c r="B21" s="133" t="s">
        <v>148</v>
      </c>
      <c r="C21" s="134">
        <f>Webdesigner!D137</f>
        <v>10620.519999999997</v>
      </c>
      <c r="D21" s="127">
        <v>1</v>
      </c>
      <c r="E21" s="134">
        <f t="shared" si="0"/>
        <v>10620.519999999997</v>
      </c>
      <c r="F21" s="127">
        <v>1</v>
      </c>
      <c r="G21" s="134">
        <f t="shared" si="1"/>
        <v>10620.519999999997</v>
      </c>
      <c r="H21" s="134">
        <f t="shared" si="2"/>
        <v>212410.39999999994</v>
      </c>
    </row>
    <row r="22" spans="2:8" x14ac:dyDescent="0.25">
      <c r="B22" s="133" t="s">
        <v>149</v>
      </c>
      <c r="C22" s="134">
        <f>'Designer Gráfico'!D137</f>
        <v>11462.963499999998</v>
      </c>
      <c r="D22" s="127">
        <v>1</v>
      </c>
      <c r="E22" s="134">
        <f t="shared" si="0"/>
        <v>11462.963499999998</v>
      </c>
      <c r="F22" s="127">
        <v>1</v>
      </c>
      <c r="G22" s="134">
        <f t="shared" si="1"/>
        <v>11462.963499999998</v>
      </c>
      <c r="H22" s="134">
        <f t="shared" si="2"/>
        <v>229259.26999999996</v>
      </c>
    </row>
    <row r="23" spans="2:8" x14ac:dyDescent="0.25">
      <c r="B23" s="136" t="s">
        <v>18</v>
      </c>
      <c r="C23" s="137"/>
      <c r="D23" s="137"/>
      <c r="E23" s="137"/>
      <c r="F23" s="137"/>
      <c r="G23" s="138">
        <f>SUM(G14:G22)</f>
        <v>134959.59142125282</v>
      </c>
      <c r="H23" s="138">
        <f>SUM(H14:H22)</f>
        <v>2699191.8284250558</v>
      </c>
    </row>
    <row r="25" spans="2:8" x14ac:dyDescent="0.25">
      <c r="B25" s="425" t="s">
        <v>243</v>
      </c>
      <c r="C25" s="425"/>
      <c r="D25" s="425"/>
      <c r="E25" s="425"/>
      <c r="F25" s="425"/>
      <c r="G25" s="425"/>
      <c r="H25" s="425"/>
    </row>
    <row r="26" spans="2:8" ht="45" x14ac:dyDescent="0.25">
      <c r="B26" s="135" t="s">
        <v>252</v>
      </c>
      <c r="C26" s="135" t="s">
        <v>253</v>
      </c>
      <c r="D26" s="135" t="s">
        <v>258</v>
      </c>
      <c r="E26" s="135" t="s">
        <v>255</v>
      </c>
      <c r="F26" s="135" t="s">
        <v>254</v>
      </c>
      <c r="G26" s="135" t="s">
        <v>256</v>
      </c>
      <c r="H26" s="135" t="s">
        <v>92</v>
      </c>
    </row>
    <row r="27" spans="2:8" x14ac:dyDescent="0.25">
      <c r="B27" s="133" t="s">
        <v>144</v>
      </c>
      <c r="C27" s="134">
        <f>'Coordenador de Jornalismo'!$J$137</f>
        <v>16865.610004112867</v>
      </c>
      <c r="D27" s="127">
        <v>1</v>
      </c>
      <c r="E27" s="134">
        <f>C27*D27</f>
        <v>16865.610004112867</v>
      </c>
      <c r="F27" s="127">
        <v>1</v>
      </c>
      <c r="G27" s="134">
        <f>F27*E27</f>
        <v>16865.610004112867</v>
      </c>
      <c r="H27" s="134">
        <f>G27*20</f>
        <v>337312.20008225733</v>
      </c>
    </row>
    <row r="28" spans="2:8" x14ac:dyDescent="0.25">
      <c r="B28" s="133" t="s">
        <v>150</v>
      </c>
      <c r="C28" s="134">
        <f>'Mídias Sociais'!$J$137</f>
        <v>14591.798503959948</v>
      </c>
      <c r="D28" s="127">
        <v>1</v>
      </c>
      <c r="E28" s="134">
        <f t="shared" ref="E28:E35" si="3">C28*D28</f>
        <v>14591.798503959948</v>
      </c>
      <c r="F28" s="127">
        <v>1</v>
      </c>
      <c r="G28" s="134">
        <f t="shared" ref="G28:G35" si="4">F28*E28</f>
        <v>14591.798503959948</v>
      </c>
      <c r="H28" s="134">
        <f t="shared" ref="H28:H35" si="5">G28*20</f>
        <v>291835.97007919895</v>
      </c>
    </row>
    <row r="29" spans="2:8" x14ac:dyDescent="0.25">
      <c r="B29" s="133" t="s">
        <v>151</v>
      </c>
      <c r="C29" s="134">
        <f>'Jornalista Produtor'!$J$137</f>
        <v>12968.413359430413</v>
      </c>
      <c r="D29" s="127">
        <v>1</v>
      </c>
      <c r="E29" s="134">
        <f t="shared" si="3"/>
        <v>12968.413359430413</v>
      </c>
      <c r="F29" s="127">
        <v>3</v>
      </c>
      <c r="G29" s="134">
        <f t="shared" si="4"/>
        <v>38905.240078291237</v>
      </c>
      <c r="H29" s="134">
        <f t="shared" si="5"/>
        <v>778104.80156582478</v>
      </c>
    </row>
    <row r="30" spans="2:8" x14ac:dyDescent="0.25">
      <c r="B30" s="133" t="s">
        <v>187</v>
      </c>
      <c r="C30" s="134">
        <f>'Repórter Fotográfico'!$J$137</f>
        <v>11191.561043274589</v>
      </c>
      <c r="D30" s="127">
        <v>1</v>
      </c>
      <c r="E30" s="134">
        <f t="shared" si="3"/>
        <v>11191.561043274589</v>
      </c>
      <c r="F30" s="127">
        <v>1</v>
      </c>
      <c r="G30" s="134">
        <f t="shared" si="4"/>
        <v>11191.561043274589</v>
      </c>
      <c r="H30" s="134">
        <f t="shared" si="5"/>
        <v>223831.22086549178</v>
      </c>
    </row>
    <row r="31" spans="2:8" x14ac:dyDescent="0.25">
      <c r="B31" s="133" t="s">
        <v>145</v>
      </c>
      <c r="C31" s="134">
        <f>'Editor de Pós-Produção'!$I$137</f>
        <v>14114.526069186832</v>
      </c>
      <c r="D31" s="127">
        <v>1</v>
      </c>
      <c r="E31" s="134">
        <f t="shared" si="3"/>
        <v>14114.526069186832</v>
      </c>
      <c r="F31" s="127">
        <v>1</v>
      </c>
      <c r="G31" s="134">
        <f t="shared" si="4"/>
        <v>14114.526069186832</v>
      </c>
      <c r="H31" s="134">
        <f t="shared" si="5"/>
        <v>282290.52138373663</v>
      </c>
    </row>
    <row r="32" spans="2:8" x14ac:dyDescent="0.25">
      <c r="B32" s="133" t="s">
        <v>146</v>
      </c>
      <c r="C32" s="134">
        <f>'Operador de Câmera UPE'!$I$137</f>
        <v>13824.045302075443</v>
      </c>
      <c r="D32" s="127">
        <v>1</v>
      </c>
      <c r="E32" s="134">
        <f t="shared" si="3"/>
        <v>13824.045302075443</v>
      </c>
      <c r="F32" s="127">
        <v>1</v>
      </c>
      <c r="G32" s="134">
        <f t="shared" si="4"/>
        <v>13824.045302075443</v>
      </c>
      <c r="H32" s="134">
        <f t="shared" si="5"/>
        <v>276480.90604150889</v>
      </c>
    </row>
    <row r="33" spans="2:8" x14ac:dyDescent="0.25">
      <c r="B33" s="133" t="s">
        <v>188</v>
      </c>
      <c r="C33" s="134">
        <f>'Auxiliar de Operador de Câmera '!$I$137</f>
        <v>8287.6927438735183</v>
      </c>
      <c r="D33" s="127">
        <v>1</v>
      </c>
      <c r="E33" s="134">
        <f t="shared" si="3"/>
        <v>8287.6927438735183</v>
      </c>
      <c r="F33" s="127">
        <v>1</v>
      </c>
      <c r="G33" s="134">
        <f t="shared" si="4"/>
        <v>8287.6927438735183</v>
      </c>
      <c r="H33" s="134">
        <f t="shared" si="5"/>
        <v>165753.85487747035</v>
      </c>
    </row>
    <row r="34" spans="2:8" x14ac:dyDescent="0.25">
      <c r="B34" s="133" t="s">
        <v>148</v>
      </c>
      <c r="C34" s="134">
        <f>Webdesigner!$Z$137</f>
        <v>10959.165260041051</v>
      </c>
      <c r="D34" s="127">
        <v>1</v>
      </c>
      <c r="E34" s="134">
        <f t="shared" si="3"/>
        <v>10959.165260041051</v>
      </c>
      <c r="F34" s="127">
        <v>1</v>
      </c>
      <c r="G34" s="134">
        <f t="shared" si="4"/>
        <v>10959.165260041051</v>
      </c>
      <c r="H34" s="134">
        <f t="shared" si="5"/>
        <v>219183.30520082102</v>
      </c>
    </row>
    <row r="35" spans="2:8" x14ac:dyDescent="0.25">
      <c r="B35" s="133" t="s">
        <v>149</v>
      </c>
      <c r="C35" s="134">
        <f>'Designer Gráfico'!$Z$137</f>
        <v>11804.410632182171</v>
      </c>
      <c r="D35" s="127">
        <v>1</v>
      </c>
      <c r="E35" s="134">
        <f t="shared" si="3"/>
        <v>11804.410632182171</v>
      </c>
      <c r="F35" s="127">
        <v>1</v>
      </c>
      <c r="G35" s="134">
        <f t="shared" si="4"/>
        <v>11804.410632182171</v>
      </c>
      <c r="H35" s="134">
        <f t="shared" si="5"/>
        <v>236088.21264364343</v>
      </c>
    </row>
    <row r="36" spans="2:8" x14ac:dyDescent="0.25">
      <c r="B36" s="136" t="s">
        <v>18</v>
      </c>
      <c r="C36" s="137"/>
      <c r="D36" s="137"/>
      <c r="E36" s="137"/>
      <c r="F36" s="137"/>
      <c r="G36" s="138">
        <f>SUM(G27:G35)</f>
        <v>140544.04963699766</v>
      </c>
      <c r="H36" s="138">
        <f>SUM(H27:H35)</f>
        <v>2810880.9927399536</v>
      </c>
    </row>
    <row r="38" spans="2:8" x14ac:dyDescent="0.25">
      <c r="B38" s="425" t="s">
        <v>248</v>
      </c>
      <c r="C38" s="425"/>
      <c r="D38" s="425"/>
      <c r="E38" s="425"/>
      <c r="F38" s="425"/>
      <c r="G38" s="425"/>
      <c r="H38" s="425"/>
    </row>
    <row r="39" spans="2:8" ht="45" x14ac:dyDescent="0.25">
      <c r="B39" s="135" t="s">
        <v>252</v>
      </c>
      <c r="C39" s="135" t="s">
        <v>253</v>
      </c>
      <c r="D39" s="135" t="s">
        <v>258</v>
      </c>
      <c r="E39" s="135" t="s">
        <v>255</v>
      </c>
      <c r="F39" s="382" t="s">
        <v>254</v>
      </c>
      <c r="G39" s="382" t="s">
        <v>256</v>
      </c>
      <c r="H39" s="382" t="s">
        <v>92</v>
      </c>
    </row>
    <row r="40" spans="2:8" x14ac:dyDescent="0.25">
      <c r="B40" s="133" t="s">
        <v>144</v>
      </c>
      <c r="C40" s="134">
        <f>'Coordenador de Jornalismo'!$N$137</f>
        <v>18076.021864545422</v>
      </c>
      <c r="D40" s="127">
        <v>1</v>
      </c>
      <c r="E40" s="134">
        <f>C40*D40</f>
        <v>18076.021864545422</v>
      </c>
      <c r="F40" s="379">
        <v>1</v>
      </c>
      <c r="G40" s="312">
        <f>F40*E40</f>
        <v>18076.021864545422</v>
      </c>
      <c r="H40" s="312">
        <f>G40*20</f>
        <v>361520.43729090842</v>
      </c>
    </row>
    <row r="41" spans="2:8" x14ac:dyDescent="0.25">
      <c r="B41" s="133" t="s">
        <v>150</v>
      </c>
      <c r="C41" s="134">
        <f>'Mídias Sociais'!$N$137</f>
        <v>15641.059841521685</v>
      </c>
      <c r="D41" s="127">
        <v>1</v>
      </c>
      <c r="E41" s="134">
        <f t="shared" ref="E41:E48" si="6">C41*D41</f>
        <v>15641.059841521685</v>
      </c>
      <c r="F41" s="379">
        <v>1</v>
      </c>
      <c r="G41" s="312">
        <f t="shared" ref="G41:G48" si="7">F41*E41</f>
        <v>15641.059841521685</v>
      </c>
      <c r="H41" s="312">
        <f t="shared" ref="H41:H48" si="8">G41*20</f>
        <v>312821.19683043368</v>
      </c>
    </row>
    <row r="42" spans="2:8" x14ac:dyDescent="0.25">
      <c r="B42" s="133" t="s">
        <v>151</v>
      </c>
      <c r="C42" s="134">
        <f>'Jornalista Produtor'!$N$137</f>
        <v>13902.621481835622</v>
      </c>
      <c r="D42" s="127">
        <v>1</v>
      </c>
      <c r="E42" s="134">
        <f t="shared" si="6"/>
        <v>13902.621481835622</v>
      </c>
      <c r="F42" s="379">
        <v>4</v>
      </c>
      <c r="G42" s="312">
        <f t="shared" si="7"/>
        <v>55610.485927342488</v>
      </c>
      <c r="H42" s="312">
        <f t="shared" si="8"/>
        <v>1112209.7185468497</v>
      </c>
    </row>
    <row r="43" spans="2:8" x14ac:dyDescent="0.25">
      <c r="B43" s="133" t="s">
        <v>187</v>
      </c>
      <c r="C43" s="134">
        <f>'Repórter Fotográfico'!$N$137</f>
        <v>11999.839276170082</v>
      </c>
      <c r="D43" s="127">
        <v>1</v>
      </c>
      <c r="E43" s="134">
        <f t="shared" si="6"/>
        <v>11999.839276170082</v>
      </c>
      <c r="F43" s="379">
        <v>1</v>
      </c>
      <c r="G43" s="312">
        <f t="shared" si="7"/>
        <v>11999.839276170082</v>
      </c>
      <c r="H43" s="312">
        <f t="shared" si="8"/>
        <v>239996.78552340163</v>
      </c>
    </row>
    <row r="44" spans="2:8" x14ac:dyDescent="0.25">
      <c r="B44" s="133" t="s">
        <v>145</v>
      </c>
      <c r="C44" s="134">
        <f>'Editor de Pós-Produção'!$K$137</f>
        <v>14817.585837447983</v>
      </c>
      <c r="D44" s="127">
        <v>1</v>
      </c>
      <c r="E44" s="134">
        <f t="shared" si="6"/>
        <v>14817.585837447983</v>
      </c>
      <c r="F44" s="379">
        <v>1</v>
      </c>
      <c r="G44" s="312">
        <f t="shared" si="7"/>
        <v>14817.585837447983</v>
      </c>
      <c r="H44" s="312">
        <f t="shared" si="8"/>
        <v>296351.71674895968</v>
      </c>
    </row>
    <row r="45" spans="2:8" x14ac:dyDescent="0.25">
      <c r="B45" s="133" t="s">
        <v>146</v>
      </c>
      <c r="C45" s="134">
        <f>'Operador de Câmera UPE'!$K$137</f>
        <v>14512.825384818459</v>
      </c>
      <c r="D45" s="127">
        <v>1</v>
      </c>
      <c r="E45" s="134">
        <f t="shared" si="6"/>
        <v>14512.825384818459</v>
      </c>
      <c r="F45" s="379">
        <v>1</v>
      </c>
      <c r="G45" s="312">
        <f t="shared" si="7"/>
        <v>14512.825384818459</v>
      </c>
      <c r="H45" s="312">
        <f t="shared" si="8"/>
        <v>290256.5076963692</v>
      </c>
    </row>
    <row r="46" spans="2:8" x14ac:dyDescent="0.25">
      <c r="B46" s="133" t="s">
        <v>188</v>
      </c>
      <c r="C46" s="134">
        <f>'Auxiliar de Operador de Câmera '!$K$137</f>
        <v>8700.7415907979012</v>
      </c>
      <c r="D46" s="127">
        <v>1</v>
      </c>
      <c r="E46" s="134">
        <f t="shared" si="6"/>
        <v>8700.7415907979012</v>
      </c>
      <c r="F46" s="379">
        <v>1</v>
      </c>
      <c r="G46" s="312">
        <f t="shared" si="7"/>
        <v>8700.7415907979012</v>
      </c>
      <c r="H46" s="312">
        <f t="shared" si="8"/>
        <v>174014.83181595802</v>
      </c>
    </row>
    <row r="47" spans="2:8" x14ac:dyDescent="0.25">
      <c r="B47" s="133" t="s">
        <v>148</v>
      </c>
      <c r="C47" s="134">
        <f>Webdesigner!$AB$137</f>
        <v>10873.858958048946</v>
      </c>
      <c r="D47" s="127">
        <v>1</v>
      </c>
      <c r="E47" s="134">
        <f t="shared" si="6"/>
        <v>10873.858958048946</v>
      </c>
      <c r="F47" s="379">
        <v>1</v>
      </c>
      <c r="G47" s="312">
        <f t="shared" si="7"/>
        <v>10873.858958048946</v>
      </c>
      <c r="H47" s="312">
        <f t="shared" si="8"/>
        <v>217477.17916097894</v>
      </c>
    </row>
    <row r="48" spans="2:8" x14ac:dyDescent="0.25">
      <c r="B48" s="133" t="s">
        <v>149</v>
      </c>
      <c r="C48" s="134">
        <f>'Designer Gráfico'!$AB$137</f>
        <v>11711.960748305222</v>
      </c>
      <c r="D48" s="127">
        <v>1</v>
      </c>
      <c r="E48" s="134">
        <f t="shared" si="6"/>
        <v>11711.960748305222</v>
      </c>
      <c r="F48" s="379">
        <v>2</v>
      </c>
      <c r="G48" s="312">
        <f t="shared" si="7"/>
        <v>23423.921496610445</v>
      </c>
      <c r="H48" s="312">
        <f t="shared" si="8"/>
        <v>468478.42993220891</v>
      </c>
    </row>
    <row r="49" spans="2:8" x14ac:dyDescent="0.25">
      <c r="B49" s="136" t="s">
        <v>18</v>
      </c>
      <c r="C49" s="137"/>
      <c r="D49" s="137"/>
      <c r="E49" s="137"/>
      <c r="F49" s="383"/>
      <c r="G49" s="384">
        <f>SUM(G40:G48)</f>
        <v>173656.34017730344</v>
      </c>
      <c r="H49" s="384">
        <f>SUM(H40:H48)</f>
        <v>3473126.8035460683</v>
      </c>
    </row>
    <row r="51" spans="2:8" x14ac:dyDescent="0.25">
      <c r="G51" s="130"/>
    </row>
  </sheetData>
  <mergeCells count="4">
    <mergeCell ref="B5:D5"/>
    <mergeCell ref="B12:H12"/>
    <mergeCell ref="B25:H25"/>
    <mergeCell ref="B38:H38"/>
  </mergeCells>
  <conditionalFormatting sqref="E8">
    <cfRule type="cellIs" dxfId="1" priority="1" operator="greaterThan">
      <formula>0.25</formula>
    </cfRule>
    <cfRule type="cellIs" dxfId="0" priority="2" operator="lessThanOrEqual">
      <formula>0.25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6E7C-8344-4584-B4FA-8EFC0F6022F6}">
  <dimension ref="B1:F35"/>
  <sheetViews>
    <sheetView workbookViewId="0">
      <selection activeCell="F16" sqref="F16"/>
    </sheetView>
  </sheetViews>
  <sheetFormatPr defaultRowHeight="15" x14ac:dyDescent="0.25"/>
  <cols>
    <col min="2" max="2" width="30.140625" bestFit="1" customWidth="1"/>
    <col min="3" max="3" width="15.42578125" bestFit="1" customWidth="1"/>
    <col min="4" max="4" width="13.85546875" bestFit="1" customWidth="1"/>
    <col min="5" max="5" width="16.28515625" bestFit="1" customWidth="1"/>
    <col min="6" max="6" width="13.85546875" bestFit="1" customWidth="1"/>
  </cols>
  <sheetData>
    <row r="1" spans="2:6" x14ac:dyDescent="0.25">
      <c r="B1" s="426" t="s">
        <v>282</v>
      </c>
      <c r="C1" s="426"/>
      <c r="D1" s="426"/>
      <c r="E1" s="426"/>
      <c r="F1" s="426"/>
    </row>
    <row r="2" spans="2:6" x14ac:dyDescent="0.25">
      <c r="B2" s="317" t="s">
        <v>273</v>
      </c>
      <c r="C2" s="317" t="s">
        <v>277</v>
      </c>
      <c r="D2" s="317" t="s">
        <v>275</v>
      </c>
      <c r="E2" s="317" t="s">
        <v>276</v>
      </c>
      <c r="F2" s="317" t="s">
        <v>281</v>
      </c>
    </row>
    <row r="3" spans="2:6" x14ac:dyDescent="0.25">
      <c r="B3" s="317" t="s">
        <v>274</v>
      </c>
      <c r="C3" s="318">
        <f>'Quadro-Resumo'!G17</f>
        <v>2699191.8284250558</v>
      </c>
      <c r="D3" s="318">
        <f>C3/20</f>
        <v>134959.59142125279</v>
      </c>
      <c r="E3" s="318">
        <f>D3</f>
        <v>134959.59142125279</v>
      </c>
      <c r="F3" s="319"/>
    </row>
    <row r="4" spans="2:6" x14ac:dyDescent="0.25">
      <c r="B4" s="317" t="s">
        <v>278</v>
      </c>
      <c r="C4" s="430"/>
      <c r="D4" s="430">
        <f>'Quadro-Resumo'!AA17</f>
        <v>140544.04963699766</v>
      </c>
      <c r="E4" s="430">
        <f>D4</f>
        <v>140544.04963699766</v>
      </c>
      <c r="F4" s="431"/>
    </row>
    <row r="5" spans="2:6" x14ac:dyDescent="0.25">
      <c r="B5" s="317" t="s">
        <v>279</v>
      </c>
      <c r="C5" s="430"/>
      <c r="D5" s="430"/>
      <c r="E5" s="430"/>
      <c r="F5" s="431"/>
    </row>
    <row r="6" spans="2:6" x14ac:dyDescent="0.25">
      <c r="B6" s="317" t="s">
        <v>280</v>
      </c>
      <c r="C6" s="369"/>
      <c r="D6" s="369">
        <f>'Quadro-Resumo'!AD17</f>
        <v>173656.34017730344</v>
      </c>
      <c r="E6" s="369">
        <f>D6</f>
        <v>173656.34017730344</v>
      </c>
      <c r="F6" s="319">
        <f>(13/20)*(E6-E4)</f>
        <v>21522.988851198759</v>
      </c>
    </row>
    <row r="7" spans="2:6" x14ac:dyDescent="0.25">
      <c r="B7" s="386" t="s">
        <v>289</v>
      </c>
      <c r="C7" s="369"/>
      <c r="D7" s="369">
        <f>'Quadro-Resumo'!AD17</f>
        <v>173656.34017730344</v>
      </c>
      <c r="E7" s="369">
        <f>D7</f>
        <v>173656.34017730344</v>
      </c>
      <c r="F7" s="319"/>
    </row>
    <row r="8" spans="2:6" ht="82.5" customHeight="1" x14ac:dyDescent="0.25">
      <c r="B8" s="427" t="s">
        <v>287</v>
      </c>
      <c r="C8" s="428"/>
      <c r="D8" s="428"/>
      <c r="E8" s="428"/>
      <c r="F8" s="429"/>
    </row>
    <row r="9" spans="2:6" x14ac:dyDescent="0.25">
      <c r="B9" s="320"/>
      <c r="C9" s="321"/>
      <c r="D9" s="321"/>
      <c r="E9" s="321"/>
      <c r="F9" s="322"/>
    </row>
    <row r="10" spans="2:6" x14ac:dyDescent="0.25">
      <c r="B10" s="320"/>
      <c r="C10" s="321"/>
      <c r="D10" s="321"/>
      <c r="E10" s="321"/>
      <c r="F10" s="322"/>
    </row>
    <row r="11" spans="2:6" ht="15.75" thickBot="1" x14ac:dyDescent="0.3">
      <c r="B11" s="323"/>
      <c r="C11" s="324"/>
      <c r="D11" s="324"/>
      <c r="E11" s="324"/>
      <c r="F11" s="325"/>
    </row>
    <row r="12" spans="2:6" x14ac:dyDescent="0.25">
      <c r="C12" s="316"/>
      <c r="D12" s="316"/>
      <c r="E12" s="316"/>
      <c r="F12" s="315"/>
    </row>
    <row r="13" spans="2:6" x14ac:dyDescent="0.25">
      <c r="C13" s="316"/>
      <c r="D13" s="316"/>
      <c r="E13" s="316"/>
      <c r="F13" s="315"/>
    </row>
    <row r="14" spans="2:6" x14ac:dyDescent="0.25">
      <c r="C14" s="316"/>
      <c r="D14" s="316"/>
      <c r="E14" s="316"/>
      <c r="F14" s="315"/>
    </row>
    <row r="15" spans="2:6" x14ac:dyDescent="0.25">
      <c r="C15" s="316"/>
      <c r="D15" s="316"/>
      <c r="E15" s="316"/>
      <c r="F15" s="315"/>
    </row>
    <row r="16" spans="2:6" x14ac:dyDescent="0.25">
      <c r="C16" s="316"/>
      <c r="D16" s="316"/>
      <c r="E16" s="316"/>
      <c r="F16" s="315"/>
    </row>
    <row r="17" spans="3:6" x14ac:dyDescent="0.25">
      <c r="C17" s="316"/>
      <c r="D17" s="316"/>
      <c r="E17" s="316"/>
      <c r="F17" s="315"/>
    </row>
    <row r="18" spans="3:6" x14ac:dyDescent="0.25">
      <c r="C18" s="316"/>
      <c r="D18" s="316"/>
      <c r="E18" s="316"/>
      <c r="F18" s="315"/>
    </row>
    <row r="19" spans="3:6" x14ac:dyDescent="0.25">
      <c r="C19" s="316"/>
      <c r="D19" s="316"/>
      <c r="E19" s="316"/>
      <c r="F19" s="315"/>
    </row>
    <row r="20" spans="3:6" x14ac:dyDescent="0.25">
      <c r="C20" s="316"/>
      <c r="D20" s="316"/>
      <c r="E20" s="316"/>
      <c r="F20" s="315"/>
    </row>
    <row r="21" spans="3:6" x14ac:dyDescent="0.25">
      <c r="C21" s="315"/>
      <c r="D21" s="315"/>
      <c r="E21" s="315"/>
      <c r="F21" s="315"/>
    </row>
    <row r="22" spans="3:6" x14ac:dyDescent="0.25">
      <c r="C22" s="315"/>
      <c r="D22" s="315"/>
      <c r="E22" s="315"/>
      <c r="F22" s="315"/>
    </row>
    <row r="23" spans="3:6" x14ac:dyDescent="0.25">
      <c r="C23" s="315"/>
      <c r="D23" s="315"/>
      <c r="E23" s="315"/>
      <c r="F23" s="315"/>
    </row>
    <row r="24" spans="3:6" x14ac:dyDescent="0.25">
      <c r="C24" s="315"/>
      <c r="D24" s="315"/>
      <c r="E24" s="315"/>
      <c r="F24" s="315"/>
    </row>
    <row r="25" spans="3:6" x14ac:dyDescent="0.25">
      <c r="C25" s="315"/>
      <c r="D25" s="315"/>
      <c r="E25" s="315"/>
      <c r="F25" s="315"/>
    </row>
    <row r="26" spans="3:6" x14ac:dyDescent="0.25">
      <c r="C26" s="315"/>
      <c r="D26" s="315"/>
      <c r="E26" s="315"/>
      <c r="F26" s="315"/>
    </row>
    <row r="27" spans="3:6" x14ac:dyDescent="0.25">
      <c r="C27" s="315"/>
      <c r="D27" s="315"/>
      <c r="E27" s="315"/>
      <c r="F27" s="315"/>
    </row>
    <row r="28" spans="3:6" x14ac:dyDescent="0.25">
      <c r="C28" s="315"/>
      <c r="D28" s="315"/>
      <c r="E28" s="315"/>
      <c r="F28" s="315"/>
    </row>
    <row r="29" spans="3:6" x14ac:dyDescent="0.25">
      <c r="C29" s="315"/>
      <c r="D29" s="315"/>
      <c r="E29" s="315"/>
      <c r="F29" s="315"/>
    </row>
    <row r="30" spans="3:6" x14ac:dyDescent="0.25">
      <c r="C30" s="315"/>
      <c r="D30" s="315"/>
      <c r="E30" s="315"/>
      <c r="F30" s="315"/>
    </row>
    <row r="31" spans="3:6" x14ac:dyDescent="0.25">
      <c r="C31" s="315"/>
      <c r="D31" s="315"/>
      <c r="E31" s="315"/>
      <c r="F31" s="315"/>
    </row>
    <row r="32" spans="3:6" x14ac:dyDescent="0.25">
      <c r="C32" s="315"/>
      <c r="D32" s="315"/>
      <c r="E32" s="315"/>
      <c r="F32" s="315"/>
    </row>
    <row r="33" spans="3:6" x14ac:dyDescent="0.25">
      <c r="C33" s="315"/>
      <c r="D33" s="315"/>
      <c r="E33" s="315"/>
      <c r="F33" s="315"/>
    </row>
    <row r="34" spans="3:6" x14ac:dyDescent="0.25">
      <c r="C34" s="315"/>
      <c r="D34" s="315"/>
      <c r="E34" s="315"/>
      <c r="F34" s="315"/>
    </row>
    <row r="35" spans="3:6" x14ac:dyDescent="0.25">
      <c r="C35" s="315"/>
      <c r="D35" s="315"/>
      <c r="E35" s="315"/>
      <c r="F35" s="315"/>
    </row>
  </sheetData>
  <mergeCells count="6">
    <mergeCell ref="B1:F1"/>
    <mergeCell ref="B8:F8"/>
    <mergeCell ref="C4:C5"/>
    <mergeCell ref="D4:D5"/>
    <mergeCell ref="E4:E5"/>
    <mergeCell ref="F4:F5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37"/>
  <sheetViews>
    <sheetView workbookViewId="0">
      <selection activeCell="Q18" sqref="Q18"/>
    </sheetView>
  </sheetViews>
  <sheetFormatPr defaultRowHeight="15" x14ac:dyDescent="0.25"/>
  <cols>
    <col min="1" max="1" width="4.7109375" style="216" bestFit="1" customWidth="1"/>
    <col min="2" max="2" width="46.28515625" style="217" bestFit="1" customWidth="1"/>
    <col min="3" max="3" width="25.85546875" style="217" bestFit="1" customWidth="1"/>
    <col min="4" max="4" width="10.5703125" style="216" bestFit="1" customWidth="1"/>
    <col min="5" max="6" width="20.7109375" style="216" customWidth="1"/>
    <col min="7" max="7" width="14.140625" style="216" bestFit="1" customWidth="1"/>
    <col min="8" max="8" width="20.7109375" style="216" customWidth="1"/>
    <col min="9" max="9" width="14.140625" style="216" bestFit="1" customWidth="1"/>
    <col min="10" max="10" width="20.5703125" style="216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458" t="s">
        <v>98</v>
      </c>
      <c r="B1" s="459"/>
      <c r="C1" s="459"/>
      <c r="D1" s="460"/>
      <c r="E1" s="445" t="s">
        <v>225</v>
      </c>
      <c r="F1" s="451"/>
      <c r="G1" s="451"/>
      <c r="H1" s="451"/>
      <c r="I1" s="451"/>
      <c r="J1" s="446"/>
      <c r="K1" s="434" t="s">
        <v>267</v>
      </c>
      <c r="L1" s="435"/>
      <c r="M1" s="435"/>
      <c r="N1" s="436"/>
    </row>
    <row r="2" spans="1:14" x14ac:dyDescent="0.25">
      <c r="A2" s="461"/>
      <c r="B2" s="462"/>
      <c r="C2" s="462"/>
      <c r="D2" s="463"/>
      <c r="E2" s="452"/>
      <c r="F2" s="453"/>
      <c r="G2" s="453"/>
      <c r="H2" s="453"/>
      <c r="I2" s="453"/>
      <c r="J2" s="454"/>
      <c r="K2" s="437"/>
      <c r="L2" s="438"/>
      <c r="M2" s="438"/>
      <c r="N2" s="439"/>
    </row>
    <row r="3" spans="1:14" ht="15.75" thickBot="1" x14ac:dyDescent="0.3">
      <c r="A3" s="466" t="s">
        <v>0</v>
      </c>
      <c r="B3" s="467"/>
      <c r="C3" s="467"/>
      <c r="D3" s="484"/>
      <c r="E3" s="455"/>
      <c r="F3" s="456"/>
      <c r="G3" s="456"/>
      <c r="H3" s="456"/>
      <c r="I3" s="456"/>
      <c r="J3" s="457"/>
      <c r="K3" s="440"/>
      <c r="L3" s="441"/>
      <c r="M3" s="441"/>
      <c r="N3" s="442"/>
    </row>
    <row r="4" spans="1:14" ht="30" x14ac:dyDescent="0.25">
      <c r="A4" s="161">
        <v>1</v>
      </c>
      <c r="B4" s="162" t="s">
        <v>1</v>
      </c>
      <c r="C4" s="453" t="s">
        <v>144</v>
      </c>
      <c r="D4" s="454"/>
      <c r="E4" s="114" t="s">
        <v>144</v>
      </c>
      <c r="F4" s="114" t="s">
        <v>144</v>
      </c>
      <c r="G4" s="445" t="s">
        <v>144</v>
      </c>
      <c r="H4" s="446"/>
      <c r="I4" s="445" t="s">
        <v>144</v>
      </c>
      <c r="J4" s="446"/>
      <c r="K4" s="445" t="s">
        <v>144</v>
      </c>
      <c r="L4" s="446"/>
      <c r="M4" s="445" t="s">
        <v>144</v>
      </c>
      <c r="N4" s="446"/>
    </row>
    <row r="5" spans="1:14" x14ac:dyDescent="0.25">
      <c r="A5" s="159">
        <v>2</v>
      </c>
      <c r="B5" s="163" t="s">
        <v>2</v>
      </c>
      <c r="C5" s="491"/>
      <c r="D5" s="433"/>
      <c r="E5" s="115"/>
      <c r="F5" s="115"/>
      <c r="G5" s="432"/>
      <c r="H5" s="433"/>
      <c r="I5" s="432"/>
      <c r="J5" s="433"/>
      <c r="K5" s="432"/>
      <c r="L5" s="433"/>
      <c r="M5" s="432"/>
      <c r="N5" s="433"/>
    </row>
    <row r="6" spans="1:14" x14ac:dyDescent="0.25">
      <c r="A6" s="159">
        <v>3</v>
      </c>
      <c r="B6" s="163" t="s">
        <v>100</v>
      </c>
      <c r="C6" s="492">
        <v>8683.4</v>
      </c>
      <c r="D6" s="448"/>
      <c r="E6" s="85">
        <f>$C$6*1.0345</f>
        <v>8982.9772999999986</v>
      </c>
      <c r="F6" s="85">
        <f>$C$6*1.0345</f>
        <v>8982.9772999999986</v>
      </c>
      <c r="G6" s="447">
        <f>$C$6*1.0345</f>
        <v>8982.9772999999986</v>
      </c>
      <c r="H6" s="448"/>
      <c r="I6" s="447">
        <f>$C$6*1.0345</f>
        <v>8982.9772999999986</v>
      </c>
      <c r="J6" s="448"/>
      <c r="K6" s="447">
        <f>$I$6*1.06</f>
        <v>9521.9559379999992</v>
      </c>
      <c r="L6" s="448"/>
      <c r="M6" s="447">
        <f>I6*1.08</f>
        <v>9701.6154839999999</v>
      </c>
      <c r="N6" s="448"/>
    </row>
    <row r="7" spans="1:14" ht="30" x14ac:dyDescent="0.25">
      <c r="A7" s="159">
        <v>4</v>
      </c>
      <c r="B7" s="163" t="s">
        <v>101</v>
      </c>
      <c r="C7" s="493" t="s">
        <v>153</v>
      </c>
      <c r="D7" s="450"/>
      <c r="E7" s="104" t="s">
        <v>153</v>
      </c>
      <c r="F7" s="104" t="s">
        <v>153</v>
      </c>
      <c r="G7" s="449" t="s">
        <v>153</v>
      </c>
      <c r="H7" s="450"/>
      <c r="I7" s="449" t="s">
        <v>153</v>
      </c>
      <c r="J7" s="450"/>
      <c r="K7" s="449" t="s">
        <v>153</v>
      </c>
      <c r="L7" s="450"/>
      <c r="M7" s="449" t="s">
        <v>153</v>
      </c>
      <c r="N7" s="450"/>
    </row>
    <row r="8" spans="1:14" x14ac:dyDescent="0.25">
      <c r="A8" s="159">
        <v>5</v>
      </c>
      <c r="B8" s="163" t="s">
        <v>3</v>
      </c>
      <c r="C8" s="494">
        <v>43922</v>
      </c>
      <c r="D8" s="444"/>
      <c r="E8" s="86">
        <v>44287</v>
      </c>
      <c r="F8" s="86">
        <v>44287</v>
      </c>
      <c r="G8" s="443">
        <v>44287</v>
      </c>
      <c r="H8" s="444"/>
      <c r="I8" s="443">
        <v>44287</v>
      </c>
      <c r="J8" s="444"/>
      <c r="K8" s="443">
        <v>44652</v>
      </c>
      <c r="L8" s="444"/>
      <c r="M8" s="443">
        <v>44652</v>
      </c>
      <c r="N8" s="444"/>
    </row>
    <row r="9" spans="1:14" x14ac:dyDescent="0.25">
      <c r="A9" s="159">
        <v>6</v>
      </c>
      <c r="B9" s="163" t="s">
        <v>102</v>
      </c>
      <c r="C9" s="494"/>
      <c r="D9" s="444"/>
      <c r="E9" s="86" t="s">
        <v>166</v>
      </c>
      <c r="F9" s="86" t="s">
        <v>166</v>
      </c>
      <c r="G9" s="443" t="s">
        <v>166</v>
      </c>
      <c r="H9" s="444"/>
      <c r="I9" s="443" t="s">
        <v>166</v>
      </c>
      <c r="J9" s="444"/>
      <c r="K9" s="443" t="s">
        <v>261</v>
      </c>
      <c r="L9" s="444"/>
      <c r="M9" s="443" t="s">
        <v>261</v>
      </c>
      <c r="N9" s="444"/>
    </row>
    <row r="10" spans="1:14" x14ac:dyDescent="0.25">
      <c r="A10" s="488"/>
      <c r="B10" s="489"/>
      <c r="C10" s="489"/>
      <c r="D10" s="490"/>
      <c r="E10" s="115"/>
      <c r="F10" s="115"/>
      <c r="G10" s="432"/>
      <c r="H10" s="433"/>
      <c r="I10" s="432"/>
      <c r="J10" s="433"/>
      <c r="K10" s="432"/>
      <c r="L10" s="433"/>
      <c r="M10" s="432"/>
      <c r="N10" s="433"/>
    </row>
    <row r="11" spans="1:14" ht="90" x14ac:dyDescent="0.25">
      <c r="A11" s="415" t="s">
        <v>76</v>
      </c>
      <c r="B11" s="416"/>
      <c r="C11" s="416"/>
      <c r="D11" s="487"/>
      <c r="E11" s="258" t="s">
        <v>226</v>
      </c>
      <c r="F11" s="258" t="s">
        <v>227</v>
      </c>
      <c r="G11" s="259"/>
      <c r="H11" s="260" t="s">
        <v>228</v>
      </c>
      <c r="I11" s="259"/>
      <c r="J11" s="260" t="s">
        <v>229</v>
      </c>
      <c r="K11" s="259"/>
      <c r="L11" s="260" t="s">
        <v>263</v>
      </c>
      <c r="M11" s="259"/>
      <c r="N11" s="260" t="s">
        <v>271</v>
      </c>
    </row>
    <row r="12" spans="1:14" ht="30" x14ac:dyDescent="0.25">
      <c r="A12" s="187">
        <v>1</v>
      </c>
      <c r="B12" s="476" t="s">
        <v>4</v>
      </c>
      <c r="C12" s="476"/>
      <c r="D12" s="93" t="s">
        <v>5</v>
      </c>
      <c r="E12" s="169" t="s">
        <v>167</v>
      </c>
      <c r="F12" s="169" t="s">
        <v>168</v>
      </c>
      <c r="G12" s="170"/>
      <c r="H12" s="171" t="s">
        <v>210</v>
      </c>
      <c r="I12" s="170"/>
      <c r="J12" s="171" t="s">
        <v>209</v>
      </c>
      <c r="K12" s="170"/>
      <c r="L12" s="378" t="s">
        <v>262</v>
      </c>
      <c r="M12" s="170"/>
      <c r="N12" s="378" t="s">
        <v>264</v>
      </c>
    </row>
    <row r="13" spans="1:14" x14ac:dyDescent="0.25">
      <c r="A13" s="181" t="s">
        <v>6</v>
      </c>
      <c r="B13" s="475" t="s">
        <v>7</v>
      </c>
      <c r="C13" s="475"/>
      <c r="D13" s="92">
        <f>C6</f>
        <v>8683.4</v>
      </c>
      <c r="E13" s="105">
        <f>E6</f>
        <v>8982.9772999999986</v>
      </c>
      <c r="F13" s="83">
        <f>F6</f>
        <v>8982.9772999999986</v>
      </c>
      <c r="G13" s="170"/>
      <c r="H13" s="92">
        <f>G6</f>
        <v>8982.9772999999986</v>
      </c>
      <c r="I13" s="170"/>
      <c r="J13" s="92">
        <f>I6</f>
        <v>8982.9772999999986</v>
      </c>
      <c r="K13" s="170"/>
      <c r="L13" s="92">
        <f>K6</f>
        <v>9521.9559379999992</v>
      </c>
      <c r="M13" s="170"/>
      <c r="N13" s="92">
        <f>M6</f>
        <v>9701.6154839999999</v>
      </c>
    </row>
    <row r="14" spans="1:14" x14ac:dyDescent="0.25">
      <c r="A14" s="181" t="s">
        <v>8</v>
      </c>
      <c r="B14" s="475" t="s">
        <v>9</v>
      </c>
      <c r="C14" s="475"/>
      <c r="D14" s="92">
        <v>0</v>
      </c>
      <c r="E14" s="83">
        <v>0</v>
      </c>
      <c r="F14" s="83">
        <v>0</v>
      </c>
      <c r="G14" s="170"/>
      <c r="H14" s="92">
        <v>0</v>
      </c>
      <c r="I14" s="170"/>
      <c r="J14" s="92">
        <v>0</v>
      </c>
      <c r="K14" s="170"/>
      <c r="L14" s="92">
        <v>0</v>
      </c>
      <c r="M14" s="170"/>
      <c r="N14" s="92">
        <v>0</v>
      </c>
    </row>
    <row r="15" spans="1:14" x14ac:dyDescent="0.25">
      <c r="A15" s="181" t="s">
        <v>10</v>
      </c>
      <c r="B15" s="475" t="s">
        <v>11</v>
      </c>
      <c r="C15" s="475"/>
      <c r="D15" s="92">
        <v>0</v>
      </c>
      <c r="E15" s="83">
        <v>0</v>
      </c>
      <c r="F15" s="83">
        <v>0</v>
      </c>
      <c r="G15" s="170"/>
      <c r="H15" s="92">
        <v>0</v>
      </c>
      <c r="I15" s="170"/>
      <c r="J15" s="92">
        <v>0</v>
      </c>
      <c r="K15" s="170"/>
      <c r="L15" s="92">
        <v>0</v>
      </c>
      <c r="M15" s="170"/>
      <c r="N15" s="92">
        <v>0</v>
      </c>
    </row>
    <row r="16" spans="1:14" x14ac:dyDescent="0.25">
      <c r="A16" s="181" t="s">
        <v>12</v>
      </c>
      <c r="B16" s="475" t="s">
        <v>13</v>
      </c>
      <c r="C16" s="475"/>
      <c r="D16" s="92">
        <v>0</v>
      </c>
      <c r="E16" s="83">
        <v>0</v>
      </c>
      <c r="F16" s="83">
        <v>0</v>
      </c>
      <c r="G16" s="170"/>
      <c r="H16" s="92">
        <v>0</v>
      </c>
      <c r="I16" s="170"/>
      <c r="J16" s="92">
        <v>0</v>
      </c>
      <c r="K16" s="170"/>
      <c r="L16" s="92">
        <v>0</v>
      </c>
      <c r="M16" s="170"/>
      <c r="N16" s="92">
        <v>0</v>
      </c>
    </row>
    <row r="17" spans="1:14" x14ac:dyDescent="0.25">
      <c r="A17" s="181" t="s">
        <v>14</v>
      </c>
      <c r="B17" s="475" t="s">
        <v>15</v>
      </c>
      <c r="C17" s="475"/>
      <c r="D17" s="92">
        <v>0</v>
      </c>
      <c r="E17" s="83">
        <v>0</v>
      </c>
      <c r="F17" s="83">
        <v>0</v>
      </c>
      <c r="G17" s="170"/>
      <c r="H17" s="92">
        <v>0</v>
      </c>
      <c r="I17" s="170"/>
      <c r="J17" s="92">
        <v>0</v>
      </c>
      <c r="K17" s="170"/>
      <c r="L17" s="92">
        <v>0</v>
      </c>
      <c r="M17" s="170"/>
      <c r="N17" s="92">
        <v>0</v>
      </c>
    </row>
    <row r="18" spans="1:14" x14ac:dyDescent="0.25">
      <c r="A18" s="181" t="s">
        <v>16</v>
      </c>
      <c r="B18" s="475" t="s">
        <v>17</v>
      </c>
      <c r="C18" s="475"/>
      <c r="D18" s="92">
        <v>0</v>
      </c>
      <c r="E18" s="83">
        <v>0</v>
      </c>
      <c r="F18" s="83">
        <v>0</v>
      </c>
      <c r="G18" s="170"/>
      <c r="H18" s="92">
        <v>0</v>
      </c>
      <c r="I18" s="170"/>
      <c r="J18" s="92">
        <v>0</v>
      </c>
      <c r="K18" s="170"/>
      <c r="L18" s="92">
        <v>0</v>
      </c>
      <c r="M18" s="170"/>
      <c r="N18" s="92">
        <v>0</v>
      </c>
    </row>
    <row r="19" spans="1:14" x14ac:dyDescent="0.25">
      <c r="A19" s="466" t="s">
        <v>18</v>
      </c>
      <c r="B19" s="467"/>
      <c r="C19" s="467"/>
      <c r="D19" s="92">
        <f>SUM(D13:D18)</f>
        <v>8683.4</v>
      </c>
      <c r="E19" s="83">
        <f>SUM(E13:E18)</f>
        <v>8982.9772999999986</v>
      </c>
      <c r="F19" s="83">
        <f>SUM(F13:F18)</f>
        <v>8982.9772999999986</v>
      </c>
      <c r="G19" s="170"/>
      <c r="H19" s="92">
        <f>SUM(H13:H18)</f>
        <v>8982.9772999999986</v>
      </c>
      <c r="I19" s="170"/>
      <c r="J19" s="92">
        <f>SUM(J13:J18)</f>
        <v>8982.9772999999986</v>
      </c>
      <c r="K19" s="170"/>
      <c r="L19" s="92">
        <f>SUM(L13:L18)</f>
        <v>9521.9559379999992</v>
      </c>
      <c r="M19" s="170"/>
      <c r="N19" s="92">
        <f>SUM(N13:N18)</f>
        <v>9701.6154839999999</v>
      </c>
    </row>
    <row r="20" spans="1:14" x14ac:dyDescent="0.25">
      <c r="A20" s="468" t="s">
        <v>19</v>
      </c>
      <c r="B20" s="469"/>
      <c r="C20" s="469"/>
      <c r="D20" s="470"/>
      <c r="E20" s="115"/>
      <c r="F20" s="115"/>
      <c r="G20" s="170"/>
      <c r="H20" s="160"/>
      <c r="I20" s="170"/>
      <c r="J20" s="160"/>
      <c r="K20" s="170"/>
      <c r="L20" s="371"/>
      <c r="M20" s="170"/>
      <c r="N20" s="371"/>
    </row>
    <row r="21" spans="1:14" x14ac:dyDescent="0.25">
      <c r="A21" s="229"/>
      <c r="B21" s="182"/>
      <c r="C21" s="182"/>
      <c r="D21" s="230"/>
      <c r="E21" s="115"/>
      <c r="F21" s="115"/>
      <c r="G21" s="170"/>
      <c r="H21" s="160"/>
      <c r="I21" s="170"/>
      <c r="J21" s="160"/>
      <c r="K21" s="170"/>
      <c r="L21" s="371"/>
      <c r="M21" s="170"/>
      <c r="N21" s="371"/>
    </row>
    <row r="22" spans="1:14" x14ac:dyDescent="0.25">
      <c r="A22" s="466" t="s">
        <v>20</v>
      </c>
      <c r="B22" s="467"/>
      <c r="C22" s="467"/>
      <c r="D22" s="484"/>
      <c r="E22" s="115"/>
      <c r="F22" s="115"/>
      <c r="G22" s="170"/>
      <c r="H22" s="160"/>
      <c r="I22" s="170"/>
      <c r="J22" s="160"/>
      <c r="K22" s="170"/>
      <c r="L22" s="371"/>
      <c r="M22" s="170"/>
      <c r="N22" s="371"/>
    </row>
    <row r="23" spans="1:14" x14ac:dyDescent="0.25">
      <c r="A23" s="466" t="s">
        <v>164</v>
      </c>
      <c r="B23" s="467"/>
      <c r="C23" s="467"/>
      <c r="D23" s="484"/>
      <c r="E23" s="115"/>
      <c r="F23" s="115"/>
      <c r="G23" s="170"/>
      <c r="H23" s="160"/>
      <c r="I23" s="170"/>
      <c r="J23" s="160"/>
      <c r="K23" s="170"/>
      <c r="L23" s="371"/>
      <c r="M23" s="170"/>
      <c r="N23" s="371"/>
    </row>
    <row r="24" spans="1:14" x14ac:dyDescent="0.25">
      <c r="A24" s="176" t="s">
        <v>21</v>
      </c>
      <c r="B24" s="177" t="s">
        <v>163</v>
      </c>
      <c r="C24" s="178" t="s">
        <v>26</v>
      </c>
      <c r="D24" s="171" t="s">
        <v>5</v>
      </c>
      <c r="E24" s="169" t="s">
        <v>5</v>
      </c>
      <c r="F24" s="169" t="s">
        <v>5</v>
      </c>
      <c r="G24" s="180"/>
      <c r="H24" s="171" t="s">
        <v>5</v>
      </c>
      <c r="I24" s="180"/>
      <c r="J24" s="171" t="s">
        <v>5</v>
      </c>
      <c r="K24" s="180"/>
      <c r="L24" s="378" t="s">
        <v>5</v>
      </c>
      <c r="M24" s="180"/>
      <c r="N24" s="378" t="s">
        <v>5</v>
      </c>
    </row>
    <row r="25" spans="1:14" x14ac:dyDescent="0.25">
      <c r="A25" s="181" t="s">
        <v>6</v>
      </c>
      <c r="B25" s="182" t="s">
        <v>22</v>
      </c>
      <c r="C25" s="183">
        <f>(1/11)</f>
        <v>9.0909090909090912E-2</v>
      </c>
      <c r="D25" s="218">
        <f>C25*$D$19</f>
        <v>789.4</v>
      </c>
      <c r="E25" s="83">
        <f>$C25*E$19</f>
        <v>816.63429999999994</v>
      </c>
      <c r="F25" s="83">
        <f>$C25*F$19</f>
        <v>816.63429999999994</v>
      </c>
      <c r="G25" s="185"/>
      <c r="H25" s="92">
        <f>$C25*H$19</f>
        <v>816.63429999999994</v>
      </c>
      <c r="I25" s="185"/>
      <c r="J25" s="92">
        <f>$C25*J$19</f>
        <v>816.63429999999994</v>
      </c>
      <c r="K25" s="185"/>
      <c r="L25" s="92">
        <f>$C25*L$19</f>
        <v>865.63235799999995</v>
      </c>
      <c r="M25" s="185"/>
      <c r="N25" s="92">
        <f>$C25*N$19</f>
        <v>881.96504400000003</v>
      </c>
    </row>
    <row r="26" spans="1:14" x14ac:dyDescent="0.25">
      <c r="A26" s="181" t="s">
        <v>8</v>
      </c>
      <c r="B26" s="182" t="s">
        <v>162</v>
      </c>
      <c r="C26" s="183">
        <f>((1/3)*(1/11))+1/11</f>
        <v>0.12121212121212122</v>
      </c>
      <c r="D26" s="218">
        <f>C26*$D$19</f>
        <v>1052.5333333333333</v>
      </c>
      <c r="E26" s="83">
        <f>$C26*E$19</f>
        <v>1088.8457333333331</v>
      </c>
      <c r="F26" s="83">
        <f>$C26*F$19</f>
        <v>1088.8457333333331</v>
      </c>
      <c r="G26" s="185"/>
      <c r="H26" s="92">
        <f>$C26*H$19</f>
        <v>1088.8457333333331</v>
      </c>
      <c r="I26" s="185"/>
      <c r="J26" s="92">
        <f>$C26*J$19</f>
        <v>1088.8457333333331</v>
      </c>
      <c r="K26" s="185"/>
      <c r="L26" s="92">
        <f>$C26*L$19</f>
        <v>1154.1764773333332</v>
      </c>
      <c r="M26" s="185"/>
      <c r="N26" s="92">
        <f>$C26*N$19</f>
        <v>1175.9533920000001</v>
      </c>
    </row>
    <row r="27" spans="1:14" x14ac:dyDescent="0.25">
      <c r="A27" s="466" t="s">
        <v>18</v>
      </c>
      <c r="B27" s="467"/>
      <c r="C27" s="186">
        <f t="shared" ref="C27:D27" si="0">SUM(C25:C26)</f>
        <v>0.21212121212121213</v>
      </c>
      <c r="D27" s="218">
        <f t="shared" si="0"/>
        <v>1841.9333333333334</v>
      </c>
      <c r="E27" s="83">
        <f>SUM(E25:E26)</f>
        <v>1905.480033333333</v>
      </c>
      <c r="F27" s="83">
        <f>SUM(F25:F26)</f>
        <v>1905.480033333333</v>
      </c>
      <c r="G27" s="185"/>
      <c r="H27" s="92">
        <f>SUM(H25:H26)</f>
        <v>1905.480033333333</v>
      </c>
      <c r="I27" s="185"/>
      <c r="J27" s="92">
        <f>SUM(J25:J26)</f>
        <v>1905.480033333333</v>
      </c>
      <c r="K27" s="185"/>
      <c r="L27" s="92">
        <f>SUM(L25:L26)</f>
        <v>2019.8088353333333</v>
      </c>
      <c r="M27" s="185"/>
      <c r="N27" s="92">
        <f>SUM(N25:N26)</f>
        <v>2057.9184359999999</v>
      </c>
    </row>
    <row r="28" spans="1:14" x14ac:dyDescent="0.25">
      <c r="A28" s="468" t="s">
        <v>103</v>
      </c>
      <c r="B28" s="469"/>
      <c r="C28" s="469"/>
      <c r="D28" s="470"/>
      <c r="E28" s="115"/>
      <c r="F28" s="115"/>
      <c r="G28" s="170"/>
      <c r="H28" s="160"/>
      <c r="I28" s="170"/>
      <c r="J28" s="160"/>
      <c r="K28" s="170"/>
      <c r="L28" s="371"/>
      <c r="M28" s="170"/>
      <c r="N28" s="371"/>
    </row>
    <row r="29" spans="1:14" x14ac:dyDescent="0.25">
      <c r="A29" s="468" t="s">
        <v>104</v>
      </c>
      <c r="B29" s="469"/>
      <c r="C29" s="469"/>
      <c r="D29" s="470"/>
      <c r="E29" s="115"/>
      <c r="F29" s="115"/>
      <c r="G29" s="170"/>
      <c r="H29" s="160"/>
      <c r="I29" s="170"/>
      <c r="J29" s="160"/>
      <c r="K29" s="170"/>
      <c r="L29" s="371"/>
      <c r="M29" s="170"/>
      <c r="N29" s="371"/>
    </row>
    <row r="30" spans="1:14" x14ac:dyDescent="0.25">
      <c r="A30" s="468" t="s">
        <v>105</v>
      </c>
      <c r="B30" s="469"/>
      <c r="C30" s="469"/>
      <c r="D30" s="470"/>
      <c r="E30" s="115"/>
      <c r="F30" s="115"/>
      <c r="G30" s="170"/>
      <c r="H30" s="160"/>
      <c r="I30" s="170"/>
      <c r="J30" s="160"/>
      <c r="K30" s="170"/>
      <c r="L30" s="371"/>
      <c r="M30" s="170"/>
      <c r="N30" s="371"/>
    </row>
    <row r="31" spans="1:14" x14ac:dyDescent="0.25">
      <c r="A31" s="229"/>
      <c r="B31" s="182"/>
      <c r="C31" s="182"/>
      <c r="D31" s="230"/>
      <c r="E31" s="115"/>
      <c r="F31" s="115"/>
      <c r="G31" s="170"/>
      <c r="H31" s="160"/>
      <c r="I31" s="170"/>
      <c r="J31" s="160"/>
      <c r="K31" s="170"/>
      <c r="L31" s="371"/>
      <c r="M31" s="170"/>
      <c r="N31" s="371"/>
    </row>
    <row r="32" spans="1:14" x14ac:dyDescent="0.25">
      <c r="A32" s="471" t="s">
        <v>23</v>
      </c>
      <c r="B32" s="472"/>
      <c r="C32" s="472"/>
      <c r="D32" s="473"/>
      <c r="E32" s="115"/>
      <c r="F32" s="115"/>
      <c r="G32" s="170"/>
      <c r="H32" s="160"/>
      <c r="I32" s="170"/>
      <c r="J32" s="160"/>
      <c r="K32" s="170"/>
      <c r="L32" s="371"/>
      <c r="M32" s="170"/>
      <c r="N32" s="371"/>
    </row>
    <row r="33" spans="1:14" x14ac:dyDescent="0.25">
      <c r="A33" s="187" t="s">
        <v>24</v>
      </c>
      <c r="B33" s="178" t="s">
        <v>25</v>
      </c>
      <c r="C33" s="178" t="s">
        <v>26</v>
      </c>
      <c r="D33" s="231" t="s">
        <v>5</v>
      </c>
      <c r="E33" s="189" t="s">
        <v>5</v>
      </c>
      <c r="F33" s="189" t="s">
        <v>5</v>
      </c>
      <c r="G33" s="190" t="s">
        <v>26</v>
      </c>
      <c r="H33" s="93" t="s">
        <v>5</v>
      </c>
      <c r="I33" s="180"/>
      <c r="J33" s="93" t="s">
        <v>5</v>
      </c>
      <c r="K33" s="180"/>
      <c r="L33" s="93" t="s">
        <v>5</v>
      </c>
      <c r="M33" s="180"/>
      <c r="N33" s="93" t="s">
        <v>5</v>
      </c>
    </row>
    <row r="34" spans="1:14" x14ac:dyDescent="0.25">
      <c r="A34" s="181" t="s">
        <v>6</v>
      </c>
      <c r="B34" s="182" t="s">
        <v>27</v>
      </c>
      <c r="C34" s="191">
        <v>0</v>
      </c>
      <c r="D34" s="232">
        <f>C34*($D$19+$D$27)</f>
        <v>0</v>
      </c>
      <c r="E34" s="87">
        <f t="shared" ref="E34:F41" si="1">$C34*(E$19+E$27)</f>
        <v>0</v>
      </c>
      <c r="F34" s="87">
        <f t="shared" si="1"/>
        <v>0</v>
      </c>
      <c r="G34" s="107">
        <v>0</v>
      </c>
      <c r="H34" s="101">
        <f>$C34*(H$19+H$27)</f>
        <v>0</v>
      </c>
      <c r="I34" s="106"/>
      <c r="J34" s="101">
        <f>$C34*(J$19+J$27)</f>
        <v>0</v>
      </c>
      <c r="K34" s="107"/>
      <c r="L34" s="101">
        <f>$C34*(L$19+L$27)</f>
        <v>0</v>
      </c>
      <c r="M34" s="107">
        <v>0</v>
      </c>
      <c r="N34" s="101">
        <f>$C34*(N$19+N$27)</f>
        <v>0</v>
      </c>
    </row>
    <row r="35" spans="1:14" x14ac:dyDescent="0.25">
      <c r="A35" s="181" t="s">
        <v>8</v>
      </c>
      <c r="B35" s="182" t="s">
        <v>28</v>
      </c>
      <c r="C35" s="191">
        <v>2.5000000000000001E-2</v>
      </c>
      <c r="D35" s="232">
        <f>C35*($D$19+$D$27)</f>
        <v>263.13333333333333</v>
      </c>
      <c r="E35" s="87">
        <f t="shared" si="1"/>
        <v>272.21143333333333</v>
      </c>
      <c r="F35" s="87">
        <f t="shared" si="1"/>
        <v>272.21143333333333</v>
      </c>
      <c r="G35" s="107">
        <v>2.5000000000000001E-2</v>
      </c>
      <c r="H35" s="101">
        <f>$C35*(H$19+H$27)</f>
        <v>272.21143333333333</v>
      </c>
      <c r="I35" s="106"/>
      <c r="J35" s="101">
        <f>$C35*(J$19+J$27)</f>
        <v>272.21143333333333</v>
      </c>
      <c r="K35" s="107"/>
      <c r="L35" s="101">
        <f>$G35*(L$19+L$27)</f>
        <v>288.5441193333333</v>
      </c>
      <c r="M35" s="107">
        <v>2.5000000000000001E-2</v>
      </c>
      <c r="N35" s="101">
        <f>$M35*(N$19+N$27)</f>
        <v>293.98834800000003</v>
      </c>
    </row>
    <row r="36" spans="1:14" x14ac:dyDescent="0.25">
      <c r="A36" s="181" t="s">
        <v>10</v>
      </c>
      <c r="B36" s="256" t="s">
        <v>106</v>
      </c>
      <c r="C36" s="191">
        <f>2%*1.2718</f>
        <v>2.5436E-2</v>
      </c>
      <c r="D36" s="232">
        <f>C36*($D$19+$D$27)</f>
        <v>267.72237866666666</v>
      </c>
      <c r="E36" s="87">
        <f>$C36*(E$19+E$27)</f>
        <v>276.95880073066661</v>
      </c>
      <c r="F36" s="87">
        <f>$C36*(F$19+F$27)</f>
        <v>276.95880073066661</v>
      </c>
      <c r="G36" s="107">
        <f>2%*1.0115</f>
        <v>2.0230000000000001E-2</v>
      </c>
      <c r="H36" s="101">
        <f>G$36*($H$19+$H$27)</f>
        <v>220.27349185333333</v>
      </c>
      <c r="I36" s="106"/>
      <c r="J36" s="101">
        <f>G$36*($J$19+$J$27)</f>
        <v>220.27349185333333</v>
      </c>
      <c r="K36" s="107"/>
      <c r="L36" s="101">
        <f>G$36*($L$19+$L$27)</f>
        <v>233.48990136453332</v>
      </c>
      <c r="M36" s="107">
        <f>2%*0.5</f>
        <v>0.01</v>
      </c>
      <c r="N36" s="101">
        <f>M$36*($N$19+$N$27)</f>
        <v>117.5953392</v>
      </c>
    </row>
    <row r="37" spans="1:14" x14ac:dyDescent="0.25">
      <c r="A37" s="181" t="s">
        <v>12</v>
      </c>
      <c r="B37" s="182" t="s">
        <v>29</v>
      </c>
      <c r="C37" s="191">
        <v>1.4999999999999999E-2</v>
      </c>
      <c r="D37" s="232">
        <f t="shared" ref="D37" si="2">C37*($D$19+$D$27)</f>
        <v>157.87999999999997</v>
      </c>
      <c r="E37" s="87">
        <f t="shared" si="1"/>
        <v>163.32685999999998</v>
      </c>
      <c r="F37" s="87">
        <f t="shared" si="1"/>
        <v>163.32685999999998</v>
      </c>
      <c r="G37" s="107">
        <v>1.4999999999999999E-2</v>
      </c>
      <c r="H37" s="101">
        <f>$C37*(H$19+H$27)</f>
        <v>163.32685999999998</v>
      </c>
      <c r="I37" s="106"/>
      <c r="J37" s="101">
        <f>$C37*(J$19+J$27)</f>
        <v>163.32685999999998</v>
      </c>
      <c r="K37" s="107"/>
      <c r="L37" s="101">
        <f>$G37*(L$19+L$27)</f>
        <v>173.12647159999997</v>
      </c>
      <c r="M37" s="107">
        <v>1.4999999999999999E-2</v>
      </c>
      <c r="N37" s="101">
        <f>$M37*(N$19+N$27)</f>
        <v>176.39300879999999</v>
      </c>
    </row>
    <row r="38" spans="1:14" x14ac:dyDescent="0.25">
      <c r="A38" s="181" t="s">
        <v>14</v>
      </c>
      <c r="B38" s="182" t="s">
        <v>30</v>
      </c>
      <c r="C38" s="191">
        <v>0.01</v>
      </c>
      <c r="D38" s="232">
        <f>C38*($D$19+$D$27)</f>
        <v>105.25333333333333</v>
      </c>
      <c r="E38" s="87">
        <f t="shared" si="1"/>
        <v>108.88457333333332</v>
      </c>
      <c r="F38" s="87">
        <f t="shared" si="1"/>
        <v>108.88457333333332</v>
      </c>
      <c r="G38" s="107">
        <v>0.01</v>
      </c>
      <c r="H38" s="101">
        <f>$C38*(H$19+H$27)</f>
        <v>108.88457333333332</v>
      </c>
      <c r="I38" s="106"/>
      <c r="J38" s="101">
        <f>$C38*(J$19+J$27)</f>
        <v>108.88457333333332</v>
      </c>
      <c r="K38" s="107"/>
      <c r="L38" s="101">
        <f>$G38*(L$19+L$27)</f>
        <v>115.41764773333333</v>
      </c>
      <c r="M38" s="107">
        <v>0.01</v>
      </c>
      <c r="N38" s="101">
        <f>$M38*(N$19+N$27)</f>
        <v>117.5953392</v>
      </c>
    </row>
    <row r="39" spans="1:14" x14ac:dyDescent="0.25">
      <c r="A39" s="181" t="s">
        <v>16</v>
      </c>
      <c r="B39" s="182" t="s">
        <v>31</v>
      </c>
      <c r="C39" s="191">
        <v>6.0000000000000001E-3</v>
      </c>
      <c r="D39" s="232">
        <f>C39*($D$19+$D$27)</f>
        <v>63.151999999999994</v>
      </c>
      <c r="E39" s="87">
        <f t="shared" si="1"/>
        <v>65.330743999999996</v>
      </c>
      <c r="F39" s="87">
        <f t="shared" si="1"/>
        <v>65.330743999999996</v>
      </c>
      <c r="G39" s="107">
        <v>6.0000000000000001E-3</v>
      </c>
      <c r="H39" s="101">
        <f>$C39*(H$19+H$27)</f>
        <v>65.330743999999996</v>
      </c>
      <c r="I39" s="106"/>
      <c r="J39" s="101">
        <f>$C39*(J$19+J$27)</f>
        <v>65.330743999999996</v>
      </c>
      <c r="K39" s="107"/>
      <c r="L39" s="101">
        <f>$G39*(L$19+L$27)</f>
        <v>69.250588639999989</v>
      </c>
      <c r="M39" s="107">
        <v>6.0000000000000001E-3</v>
      </c>
      <c r="N39" s="101">
        <f>$M39*(N$19+N$27)</f>
        <v>70.557203520000002</v>
      </c>
    </row>
    <row r="40" spans="1:14" x14ac:dyDescent="0.25">
      <c r="A40" s="181" t="s">
        <v>32</v>
      </c>
      <c r="B40" s="182" t="s">
        <v>33</v>
      </c>
      <c r="C40" s="191">
        <v>2E-3</v>
      </c>
      <c r="D40" s="232">
        <f>C40*($D$19+$D$27)</f>
        <v>21.050666666666665</v>
      </c>
      <c r="E40" s="87">
        <f t="shared" si="1"/>
        <v>21.776914666666663</v>
      </c>
      <c r="F40" s="87">
        <f t="shared" si="1"/>
        <v>21.776914666666663</v>
      </c>
      <c r="G40" s="107">
        <v>2E-3</v>
      </c>
      <c r="H40" s="101">
        <f>$C40*(H$19+H$27)</f>
        <v>21.776914666666663</v>
      </c>
      <c r="I40" s="106"/>
      <c r="J40" s="101">
        <f>$C40*(J$19+J$27)</f>
        <v>21.776914666666663</v>
      </c>
      <c r="K40" s="107"/>
      <c r="L40" s="101">
        <f>$G40*(L$19+L$27)</f>
        <v>23.083529546666664</v>
      </c>
      <c r="M40" s="107">
        <v>2E-3</v>
      </c>
      <c r="N40" s="101">
        <f>$M40*(N$19+N$27)</f>
        <v>23.519067840000002</v>
      </c>
    </row>
    <row r="41" spans="1:14" x14ac:dyDescent="0.25">
      <c r="A41" s="181" t="s">
        <v>34</v>
      </c>
      <c r="B41" s="182" t="s">
        <v>35</v>
      </c>
      <c r="C41" s="191">
        <v>0.08</v>
      </c>
      <c r="D41" s="232">
        <f>C41*($D$19+$D$27)</f>
        <v>842.02666666666664</v>
      </c>
      <c r="E41" s="87">
        <f t="shared" si="1"/>
        <v>871.07658666666657</v>
      </c>
      <c r="F41" s="87">
        <f t="shared" si="1"/>
        <v>871.07658666666657</v>
      </c>
      <c r="G41" s="107">
        <v>0.08</v>
      </c>
      <c r="H41" s="101">
        <f>$C41*(H$19+H$27)</f>
        <v>871.07658666666657</v>
      </c>
      <c r="I41" s="106"/>
      <c r="J41" s="101">
        <f>$C41*(J$19+J$27)</f>
        <v>871.07658666666657</v>
      </c>
      <c r="K41" s="107"/>
      <c r="L41" s="101">
        <f>$G41*(L$19+L$27)</f>
        <v>923.3411818666666</v>
      </c>
      <c r="M41" s="107">
        <v>0.08</v>
      </c>
      <c r="N41" s="101">
        <f>$M41*(N$19+N$27)</f>
        <v>940.76271359999998</v>
      </c>
    </row>
    <row r="42" spans="1:14" x14ac:dyDescent="0.25">
      <c r="A42" s="466" t="s">
        <v>18</v>
      </c>
      <c r="B42" s="467"/>
      <c r="C42" s="193">
        <f t="shared" ref="C42:D42" si="3">SUM(C34:C41)</f>
        <v>0.163436</v>
      </c>
      <c r="D42" s="232">
        <f t="shared" si="3"/>
        <v>1720.2183786666667</v>
      </c>
      <c r="E42" s="87">
        <f>SUM(E34:E41)</f>
        <v>1779.5659127306667</v>
      </c>
      <c r="F42" s="87">
        <f>SUM(F34:F41)</f>
        <v>1779.5659127306667</v>
      </c>
      <c r="G42" s="194">
        <f>SUM(G34:G41)</f>
        <v>0.15823000000000001</v>
      </c>
      <c r="H42" s="101">
        <f>SUM(H34:H41)</f>
        <v>1722.880603853333</v>
      </c>
      <c r="I42" s="106"/>
      <c r="J42" s="101">
        <f>SUM(J34:J41)</f>
        <v>1722.880603853333</v>
      </c>
      <c r="K42" s="107"/>
      <c r="L42" s="101">
        <f>SUM(L34:L41)</f>
        <v>1826.2534400845329</v>
      </c>
      <c r="M42" s="194">
        <f>SUM(M34:M41)</f>
        <v>0.14800000000000002</v>
      </c>
      <c r="N42" s="101">
        <f>SUM(N34:N41)</f>
        <v>1740.4110201600001</v>
      </c>
    </row>
    <row r="43" spans="1:14" x14ac:dyDescent="0.25">
      <c r="A43" s="468" t="s">
        <v>109</v>
      </c>
      <c r="B43" s="469"/>
      <c r="C43" s="469"/>
      <c r="D43" s="470"/>
      <c r="E43" s="115"/>
      <c r="F43" s="115"/>
      <c r="G43" s="170"/>
      <c r="H43" s="160"/>
      <c r="I43" s="170"/>
      <c r="J43" s="160"/>
      <c r="K43" s="170"/>
      <c r="L43" s="371"/>
      <c r="M43" s="170"/>
      <c r="N43" s="371"/>
    </row>
    <row r="44" spans="1:14" x14ac:dyDescent="0.25">
      <c r="A44" s="468" t="s">
        <v>107</v>
      </c>
      <c r="B44" s="469"/>
      <c r="C44" s="469"/>
      <c r="D44" s="470"/>
      <c r="E44" s="115"/>
      <c r="F44" s="115"/>
      <c r="G44" s="170"/>
      <c r="H44" s="160"/>
      <c r="I44" s="170"/>
      <c r="J44" s="160"/>
      <c r="K44" s="170"/>
      <c r="L44" s="371"/>
      <c r="M44" s="170"/>
      <c r="N44" s="371"/>
    </row>
    <row r="45" spans="1:14" x14ac:dyDescent="0.25">
      <c r="A45" s="468" t="s">
        <v>108</v>
      </c>
      <c r="B45" s="469"/>
      <c r="C45" s="469"/>
      <c r="D45" s="470"/>
      <c r="E45" s="115"/>
      <c r="F45" s="115"/>
      <c r="G45" s="170"/>
      <c r="H45" s="160"/>
      <c r="I45" s="170"/>
      <c r="J45" s="160"/>
      <c r="K45" s="170"/>
      <c r="L45" s="371"/>
      <c r="M45" s="170"/>
      <c r="N45" s="371"/>
    </row>
    <row r="46" spans="1:14" x14ac:dyDescent="0.25">
      <c r="A46" s="468" t="s">
        <v>113</v>
      </c>
      <c r="B46" s="469"/>
      <c r="C46" s="469"/>
      <c r="D46" s="470"/>
      <c r="E46" s="115"/>
      <c r="F46" s="115"/>
      <c r="G46" s="170"/>
      <c r="H46" s="160"/>
      <c r="I46" s="170"/>
      <c r="J46" s="160"/>
      <c r="K46" s="170"/>
      <c r="L46" s="371"/>
      <c r="M46" s="170"/>
      <c r="N46" s="371"/>
    </row>
    <row r="47" spans="1:14" x14ac:dyDescent="0.25">
      <c r="A47" s="468" t="s">
        <v>118</v>
      </c>
      <c r="B47" s="469"/>
      <c r="C47" s="469"/>
      <c r="D47" s="470"/>
      <c r="E47" s="115"/>
      <c r="F47" s="115"/>
      <c r="G47" s="170"/>
      <c r="H47" s="160"/>
      <c r="I47" s="170"/>
      <c r="J47" s="160"/>
      <c r="K47" s="170"/>
      <c r="L47" s="371"/>
      <c r="M47" s="170"/>
      <c r="N47" s="371"/>
    </row>
    <row r="48" spans="1:14" x14ac:dyDescent="0.25">
      <c r="A48" s="229"/>
      <c r="B48" s="182"/>
      <c r="C48" s="182"/>
      <c r="D48" s="230"/>
      <c r="E48" s="115"/>
      <c r="F48" s="115"/>
      <c r="G48" s="170"/>
      <c r="H48" s="160"/>
      <c r="I48" s="170"/>
      <c r="J48" s="160"/>
      <c r="K48" s="170"/>
      <c r="L48" s="371"/>
      <c r="M48" s="170"/>
      <c r="N48" s="371"/>
    </row>
    <row r="49" spans="1:14" x14ac:dyDescent="0.25">
      <c r="A49" s="471" t="s">
        <v>36</v>
      </c>
      <c r="B49" s="472"/>
      <c r="C49" s="472"/>
      <c r="D49" s="473"/>
      <c r="E49" s="115"/>
      <c r="F49" s="115"/>
      <c r="G49" s="170"/>
      <c r="H49" s="160"/>
      <c r="I49" s="170"/>
      <c r="J49" s="160"/>
      <c r="K49" s="170"/>
      <c r="L49" s="371"/>
      <c r="M49" s="170"/>
      <c r="N49" s="371"/>
    </row>
    <row r="50" spans="1:14" x14ac:dyDescent="0.25">
      <c r="A50" s="187" t="s">
        <v>37</v>
      </c>
      <c r="B50" s="178" t="s">
        <v>38</v>
      </c>
      <c r="C50" s="167" t="s">
        <v>96</v>
      </c>
      <c r="D50" s="93" t="s">
        <v>5</v>
      </c>
      <c r="E50" s="189" t="s">
        <v>5</v>
      </c>
      <c r="F50" s="189" t="s">
        <v>5</v>
      </c>
      <c r="G50" s="180"/>
      <c r="H50" s="93" t="s">
        <v>5</v>
      </c>
      <c r="I50" s="180"/>
      <c r="J50" s="93" t="s">
        <v>5</v>
      </c>
      <c r="K50" s="180"/>
      <c r="L50" s="93" t="s">
        <v>5</v>
      </c>
      <c r="M50" s="180"/>
      <c r="N50" s="93" t="s">
        <v>5</v>
      </c>
    </row>
    <row r="51" spans="1:14" x14ac:dyDescent="0.25">
      <c r="A51" s="181" t="s">
        <v>6</v>
      </c>
      <c r="B51" s="182" t="s">
        <v>39</v>
      </c>
      <c r="C51" s="195">
        <v>22</v>
      </c>
      <c r="D51" s="218">
        <f>IF(((5.5*2*C51)-D19*6%)&lt;0,0,((5.5*2*C51)-D19*6%))</f>
        <v>0</v>
      </c>
      <c r="E51" s="83">
        <f>IF(((5.5*2*$C$51)-E$19*6%)&lt;0,0,((5.5*2*$C$51)-E$19*6%))</f>
        <v>0</v>
      </c>
      <c r="F51" s="83">
        <f>IF(((5.5*2*$C$51)-F$19*6%)&lt;0,0,((5.5*2*$C$51)-F$19*6%))</f>
        <v>0</v>
      </c>
      <c r="G51" s="196"/>
      <c r="H51" s="92">
        <f>IF(((5.5*2*$C$51)-H$19*6%)&lt;0,0,((5.5*2*$C$51)-H$19*6%))</f>
        <v>0</v>
      </c>
      <c r="I51" s="196"/>
      <c r="J51" s="92">
        <f>IF(((5.5*2*$C$51)-J$19*6%)&lt;0,0,((5.5*2*$C$51)-J$19*6%))</f>
        <v>0</v>
      </c>
      <c r="K51" s="196"/>
      <c r="L51" s="92">
        <f>IF(((5.5*2*$C$51)-L$19*6%)&lt;0,0,((5.5*2*$C$51)-L$19*6%))</f>
        <v>0</v>
      </c>
      <c r="M51" s="196"/>
      <c r="N51" s="92">
        <f>IF(((5.5*2*$C$51)-N$19*6%)&lt;0,0,((5.5*2*$C$51)-N$19*6%))</f>
        <v>0</v>
      </c>
    </row>
    <row r="52" spans="1:14" x14ac:dyDescent="0.25">
      <c r="A52" s="181" t="s">
        <v>8</v>
      </c>
      <c r="B52" s="182" t="s">
        <v>40</v>
      </c>
      <c r="C52" s="195">
        <v>22</v>
      </c>
      <c r="D52" s="218">
        <f>330*0.8</f>
        <v>264</v>
      </c>
      <c r="E52" s="83">
        <f>330*0.8</f>
        <v>264</v>
      </c>
      <c r="F52" s="83">
        <f>340*0.8</f>
        <v>272</v>
      </c>
      <c r="G52" s="196"/>
      <c r="H52" s="92">
        <f>350*0.8</f>
        <v>280</v>
      </c>
      <c r="I52" s="196"/>
      <c r="J52" s="92">
        <f>350*0.8</f>
        <v>280</v>
      </c>
      <c r="K52" s="196"/>
      <c r="L52" s="92">
        <f>370*0.8</f>
        <v>296</v>
      </c>
      <c r="M52" s="196"/>
      <c r="N52" s="92">
        <f>390*0.8</f>
        <v>312</v>
      </c>
    </row>
    <row r="53" spans="1:14" x14ac:dyDescent="0.25">
      <c r="A53" s="181" t="s">
        <v>10</v>
      </c>
      <c r="B53" s="182" t="s">
        <v>41</v>
      </c>
      <c r="C53" s="195">
        <v>0</v>
      </c>
      <c r="D53" s="218">
        <v>0</v>
      </c>
      <c r="E53" s="83">
        <v>0</v>
      </c>
      <c r="F53" s="83">
        <v>0</v>
      </c>
      <c r="G53" s="196"/>
      <c r="H53" s="92">
        <v>0</v>
      </c>
      <c r="I53" s="196"/>
      <c r="J53" s="92">
        <v>0</v>
      </c>
      <c r="K53" s="196"/>
      <c r="L53" s="92">
        <v>0</v>
      </c>
      <c r="M53" s="196"/>
      <c r="N53" s="92">
        <v>0</v>
      </c>
    </row>
    <row r="54" spans="1:14" x14ac:dyDescent="0.25">
      <c r="A54" s="181" t="s">
        <v>12</v>
      </c>
      <c r="B54" s="182" t="s">
        <v>97</v>
      </c>
      <c r="C54" s="195">
        <v>0</v>
      </c>
      <c r="D54" s="218">
        <v>0</v>
      </c>
      <c r="E54" s="83">
        <v>0</v>
      </c>
      <c r="F54" s="83">
        <v>0</v>
      </c>
      <c r="G54" s="196"/>
      <c r="H54" s="92">
        <v>0</v>
      </c>
      <c r="I54" s="196"/>
      <c r="J54" s="92">
        <v>0</v>
      </c>
      <c r="K54" s="196"/>
      <c r="L54" s="92">
        <v>0</v>
      </c>
      <c r="M54" s="196"/>
      <c r="N54" s="92">
        <v>0</v>
      </c>
    </row>
    <row r="55" spans="1:14" x14ac:dyDescent="0.25">
      <c r="A55" s="181" t="s">
        <v>14</v>
      </c>
      <c r="B55" s="182" t="s">
        <v>158</v>
      </c>
      <c r="C55" s="195">
        <v>1</v>
      </c>
      <c r="D55" s="218">
        <v>1.41</v>
      </c>
      <c r="E55" s="83">
        <v>1.41</v>
      </c>
      <c r="F55" s="83">
        <v>1.41</v>
      </c>
      <c r="G55" s="196"/>
      <c r="H55" s="92">
        <v>1.41</v>
      </c>
      <c r="I55" s="196"/>
      <c r="J55" s="92">
        <v>1.41</v>
      </c>
      <c r="K55" s="196"/>
      <c r="L55" s="92">
        <v>1.41</v>
      </c>
      <c r="M55" s="196"/>
      <c r="N55" s="92">
        <v>1.41</v>
      </c>
    </row>
    <row r="56" spans="1:14" x14ac:dyDescent="0.25">
      <c r="A56" s="466" t="s">
        <v>18</v>
      </c>
      <c r="B56" s="467"/>
      <c r="C56" s="467"/>
      <c r="D56" s="218">
        <f>SUM(D51:D55)</f>
        <v>265.41000000000003</v>
      </c>
      <c r="E56" s="83">
        <f>SUM(E51:E55)</f>
        <v>265.41000000000003</v>
      </c>
      <c r="F56" s="83">
        <f>SUM(F51:F55)</f>
        <v>273.41000000000003</v>
      </c>
      <c r="G56" s="196"/>
      <c r="H56" s="92">
        <f>SUM(H51:H55)</f>
        <v>281.41000000000003</v>
      </c>
      <c r="I56" s="196"/>
      <c r="J56" s="92">
        <f>SUM(J51:J55)</f>
        <v>281.41000000000003</v>
      </c>
      <c r="K56" s="196"/>
      <c r="L56" s="92">
        <f>SUM(L51:L55)</f>
        <v>297.41000000000003</v>
      </c>
      <c r="M56" s="196"/>
      <c r="N56" s="92">
        <f>SUM(N51:N55)</f>
        <v>313.41000000000003</v>
      </c>
    </row>
    <row r="57" spans="1:14" x14ac:dyDescent="0.25">
      <c r="A57" s="468" t="s">
        <v>44</v>
      </c>
      <c r="B57" s="469"/>
      <c r="C57" s="469"/>
      <c r="D57" s="470"/>
      <c r="E57" s="115"/>
      <c r="F57" s="115"/>
      <c r="G57" s="170"/>
      <c r="H57" s="160"/>
      <c r="I57" s="170"/>
      <c r="J57" s="160"/>
      <c r="K57" s="170"/>
      <c r="L57" s="371"/>
      <c r="M57" s="170"/>
      <c r="N57" s="371"/>
    </row>
    <row r="58" spans="1:14" x14ac:dyDescent="0.25">
      <c r="A58" s="468" t="s">
        <v>110</v>
      </c>
      <c r="B58" s="469"/>
      <c r="C58" s="469"/>
      <c r="D58" s="470"/>
      <c r="E58" s="115"/>
      <c r="F58" s="115"/>
      <c r="G58" s="170"/>
      <c r="H58" s="160"/>
      <c r="I58" s="170"/>
      <c r="J58" s="160"/>
      <c r="K58" s="170"/>
      <c r="L58" s="371"/>
      <c r="M58" s="170"/>
      <c r="N58" s="371"/>
    </row>
    <row r="59" spans="1:14" x14ac:dyDescent="0.25">
      <c r="A59" s="229"/>
      <c r="B59" s="182"/>
      <c r="C59" s="182"/>
      <c r="D59" s="230"/>
      <c r="E59" s="115"/>
      <c r="F59" s="115"/>
      <c r="G59" s="170"/>
      <c r="H59" s="160"/>
      <c r="I59" s="170"/>
      <c r="J59" s="160"/>
      <c r="K59" s="170"/>
      <c r="L59" s="371"/>
      <c r="M59" s="170"/>
      <c r="N59" s="371"/>
    </row>
    <row r="60" spans="1:14" x14ac:dyDescent="0.25">
      <c r="A60" s="471" t="s">
        <v>42</v>
      </c>
      <c r="B60" s="472"/>
      <c r="C60" s="472"/>
      <c r="D60" s="473"/>
      <c r="E60" s="115"/>
      <c r="F60" s="115"/>
      <c r="G60" s="170"/>
      <c r="H60" s="160"/>
      <c r="I60" s="170"/>
      <c r="J60" s="160"/>
      <c r="K60" s="170"/>
      <c r="L60" s="371"/>
      <c r="M60" s="170"/>
      <c r="N60" s="371"/>
    </row>
    <row r="61" spans="1:14" x14ac:dyDescent="0.25">
      <c r="A61" s="197">
        <v>2</v>
      </c>
      <c r="B61" s="476" t="s">
        <v>43</v>
      </c>
      <c r="C61" s="476"/>
      <c r="D61" s="93" t="s">
        <v>5</v>
      </c>
      <c r="E61" s="189" t="s">
        <v>5</v>
      </c>
      <c r="F61" s="189" t="s">
        <v>5</v>
      </c>
      <c r="G61" s="170"/>
      <c r="H61" s="93" t="s">
        <v>5</v>
      </c>
      <c r="I61" s="170"/>
      <c r="J61" s="93" t="s">
        <v>5</v>
      </c>
      <c r="K61" s="170"/>
      <c r="L61" s="93" t="s">
        <v>5</v>
      </c>
      <c r="M61" s="170"/>
      <c r="N61" s="93" t="s">
        <v>5</v>
      </c>
    </row>
    <row r="62" spans="1:14" x14ac:dyDescent="0.25">
      <c r="A62" s="161" t="s">
        <v>21</v>
      </c>
      <c r="B62" s="474" t="s">
        <v>163</v>
      </c>
      <c r="C62" s="474"/>
      <c r="D62" s="218">
        <f>D27</f>
        <v>1841.9333333333334</v>
      </c>
      <c r="E62" s="83">
        <f>E27</f>
        <v>1905.480033333333</v>
      </c>
      <c r="F62" s="83">
        <f>F27</f>
        <v>1905.480033333333</v>
      </c>
      <c r="G62" s="170"/>
      <c r="H62" s="92">
        <f>H27</f>
        <v>1905.480033333333</v>
      </c>
      <c r="I62" s="170"/>
      <c r="J62" s="92">
        <f>J27</f>
        <v>1905.480033333333</v>
      </c>
      <c r="K62" s="170"/>
      <c r="L62" s="92">
        <f>L27</f>
        <v>2019.8088353333333</v>
      </c>
      <c r="M62" s="170"/>
      <c r="N62" s="92">
        <f>N27</f>
        <v>2057.9184359999999</v>
      </c>
    </row>
    <row r="63" spans="1:14" x14ac:dyDescent="0.25">
      <c r="A63" s="161" t="s">
        <v>24</v>
      </c>
      <c r="B63" s="475" t="s">
        <v>25</v>
      </c>
      <c r="C63" s="475"/>
      <c r="D63" s="218">
        <f>D42</f>
        <v>1720.2183786666667</v>
      </c>
      <c r="E63" s="83">
        <f>E42</f>
        <v>1779.5659127306667</v>
      </c>
      <c r="F63" s="83">
        <f>F42</f>
        <v>1779.5659127306667</v>
      </c>
      <c r="G63" s="170"/>
      <c r="H63" s="92">
        <f>H42</f>
        <v>1722.880603853333</v>
      </c>
      <c r="I63" s="170"/>
      <c r="J63" s="92">
        <f>J42</f>
        <v>1722.880603853333</v>
      </c>
      <c r="K63" s="170"/>
      <c r="L63" s="92">
        <f>L42</f>
        <v>1826.2534400845329</v>
      </c>
      <c r="M63" s="170"/>
      <c r="N63" s="92">
        <f>N42</f>
        <v>1740.4110201600001</v>
      </c>
    </row>
    <row r="64" spans="1:14" x14ac:dyDescent="0.25">
      <c r="A64" s="161" t="s">
        <v>37</v>
      </c>
      <c r="B64" s="475" t="s">
        <v>38</v>
      </c>
      <c r="C64" s="475"/>
      <c r="D64" s="218">
        <f>D56</f>
        <v>265.41000000000003</v>
      </c>
      <c r="E64" s="83">
        <f>E56</f>
        <v>265.41000000000003</v>
      </c>
      <c r="F64" s="83">
        <f>F56</f>
        <v>273.41000000000003</v>
      </c>
      <c r="G64" s="170"/>
      <c r="H64" s="92">
        <f>H56</f>
        <v>281.41000000000003</v>
      </c>
      <c r="I64" s="170"/>
      <c r="J64" s="92">
        <f>J56</f>
        <v>281.41000000000003</v>
      </c>
      <c r="K64" s="170"/>
      <c r="L64" s="92">
        <f>L56</f>
        <v>297.41000000000003</v>
      </c>
      <c r="M64" s="170"/>
      <c r="N64" s="92">
        <f>N56</f>
        <v>313.41000000000003</v>
      </c>
    </row>
    <row r="65" spans="1:14" x14ac:dyDescent="0.25">
      <c r="A65" s="466" t="s">
        <v>18</v>
      </c>
      <c r="B65" s="467"/>
      <c r="C65" s="467"/>
      <c r="D65" s="218">
        <f>SUM(D62:D64)</f>
        <v>3827.5617119999997</v>
      </c>
      <c r="E65" s="83">
        <f>SUM(E62:E64)</f>
        <v>3950.4559460639994</v>
      </c>
      <c r="F65" s="83">
        <f>SUM(F62:F64)</f>
        <v>3958.4559460639994</v>
      </c>
      <c r="G65" s="170"/>
      <c r="H65" s="92">
        <f>SUM(H62:H64)</f>
        <v>3909.7706371866661</v>
      </c>
      <c r="I65" s="170"/>
      <c r="J65" s="92">
        <f>SUM(J62:J64)</f>
        <v>3909.7706371866661</v>
      </c>
      <c r="K65" s="170"/>
      <c r="L65" s="92">
        <f>SUM(L62:L64)</f>
        <v>4143.4722754178665</v>
      </c>
      <c r="M65" s="170"/>
      <c r="N65" s="92">
        <f>SUM(N62:N64)</f>
        <v>4111.7394561600004</v>
      </c>
    </row>
    <row r="66" spans="1:14" x14ac:dyDescent="0.25">
      <c r="A66" s="229"/>
      <c r="B66" s="182"/>
      <c r="C66" s="182"/>
      <c r="D66" s="230"/>
      <c r="E66" s="115"/>
      <c r="F66" s="115"/>
      <c r="G66" s="170"/>
      <c r="H66" s="160"/>
      <c r="I66" s="170"/>
      <c r="J66" s="160"/>
      <c r="K66" s="170"/>
      <c r="L66" s="371"/>
      <c r="M66" s="170"/>
      <c r="N66" s="371"/>
    </row>
    <row r="67" spans="1:14" x14ac:dyDescent="0.25">
      <c r="A67" s="471" t="s">
        <v>77</v>
      </c>
      <c r="B67" s="472"/>
      <c r="C67" s="472"/>
      <c r="D67" s="473"/>
      <c r="E67" s="115"/>
      <c r="F67" s="115"/>
      <c r="G67" s="170"/>
      <c r="H67" s="160"/>
      <c r="I67" s="170"/>
      <c r="J67" s="160"/>
      <c r="K67" s="170"/>
      <c r="L67" s="371"/>
      <c r="M67" s="170"/>
      <c r="N67" s="371"/>
    </row>
    <row r="68" spans="1:14" x14ac:dyDescent="0.25">
      <c r="A68" s="197">
        <v>3</v>
      </c>
      <c r="B68" s="178" t="s">
        <v>45</v>
      </c>
      <c r="C68" s="178" t="s">
        <v>26</v>
      </c>
      <c r="D68" s="93" t="s">
        <v>5</v>
      </c>
      <c r="E68" s="189" t="s">
        <v>5</v>
      </c>
      <c r="F68" s="189" t="s">
        <v>5</v>
      </c>
      <c r="G68" s="190" t="s">
        <v>26</v>
      </c>
      <c r="H68" s="93" t="s">
        <v>5</v>
      </c>
      <c r="I68" s="190" t="s">
        <v>26</v>
      </c>
      <c r="J68" s="93" t="s">
        <v>5</v>
      </c>
      <c r="K68" s="190" t="s">
        <v>26</v>
      </c>
      <c r="L68" s="93" t="s">
        <v>5</v>
      </c>
      <c r="M68" s="190" t="s">
        <v>26</v>
      </c>
      <c r="N68" s="93" t="s">
        <v>5</v>
      </c>
    </row>
    <row r="69" spans="1:14" x14ac:dyDescent="0.25">
      <c r="A69" s="161" t="s">
        <v>6</v>
      </c>
      <c r="B69" s="163" t="s">
        <v>46</v>
      </c>
      <c r="C69" s="198">
        <f>(1/12)*5%</f>
        <v>4.1666666666666666E-3</v>
      </c>
      <c r="D69" s="92">
        <f t="shared" ref="D69:D75" si="4">C69*($D$19+$D$27)</f>
        <v>43.855555555555547</v>
      </c>
      <c r="E69" s="83">
        <f t="shared" ref="E69:F75" si="5">$C69*(E$19+E$27)</f>
        <v>45.368572222222213</v>
      </c>
      <c r="F69" s="83">
        <f t="shared" si="5"/>
        <v>45.368572222222213</v>
      </c>
      <c r="G69" s="107">
        <f>(1/12)*5%</f>
        <v>4.1666666666666666E-3</v>
      </c>
      <c r="H69" s="92">
        <f t="shared" ref="H69:H75" si="6">G69*($H$19+$H$27)</f>
        <v>45.368572222222213</v>
      </c>
      <c r="I69" s="107">
        <f>(1/12)*5%</f>
        <v>4.1666666666666666E-3</v>
      </c>
      <c r="J69" s="92">
        <f t="shared" ref="J69:J75" si="7">I69*($H$19+$H$27)</f>
        <v>45.368572222222213</v>
      </c>
      <c r="K69" s="107">
        <f>(1/12)*5%</f>
        <v>4.1666666666666666E-3</v>
      </c>
      <c r="L69" s="92">
        <f t="shared" ref="L69:L75" si="8">K69*($L$19+$L$27)</f>
        <v>48.09068655555555</v>
      </c>
      <c r="M69" s="107">
        <f>(1/12)*5%</f>
        <v>4.1666666666666666E-3</v>
      </c>
      <c r="N69" s="92">
        <f t="shared" ref="N69:N75" si="9">M69*($N$19+$N$27)</f>
        <v>48.998058</v>
      </c>
    </row>
    <row r="70" spans="1:14" ht="30" x14ac:dyDescent="0.25">
      <c r="A70" s="161" t="s">
        <v>8</v>
      </c>
      <c r="B70" s="163" t="s">
        <v>47</v>
      </c>
      <c r="C70" s="198">
        <f>$C$69*$C$41</f>
        <v>3.3333333333333332E-4</v>
      </c>
      <c r="D70" s="92">
        <f t="shared" si="4"/>
        <v>3.5084444444444438</v>
      </c>
      <c r="E70" s="83">
        <f t="shared" si="5"/>
        <v>3.6294857777777771</v>
      </c>
      <c r="F70" s="83">
        <f t="shared" si="5"/>
        <v>3.6294857777777771</v>
      </c>
      <c r="G70" s="107">
        <f>$G$69*$G$41</f>
        <v>3.3333333333333332E-4</v>
      </c>
      <c r="H70" s="92">
        <f t="shared" si="6"/>
        <v>3.6294857777777771</v>
      </c>
      <c r="I70" s="107">
        <f>$I$69*$G$41</f>
        <v>3.3333333333333332E-4</v>
      </c>
      <c r="J70" s="92">
        <f t="shared" si="7"/>
        <v>3.6294857777777771</v>
      </c>
      <c r="K70" s="107">
        <f>$I$69*$G$41</f>
        <v>3.3333333333333332E-4</v>
      </c>
      <c r="L70" s="92">
        <f t="shared" si="8"/>
        <v>3.8472549244444441</v>
      </c>
      <c r="M70" s="107">
        <f>$I$69*$G$41</f>
        <v>3.3333333333333332E-4</v>
      </c>
      <c r="N70" s="92">
        <f t="shared" si="9"/>
        <v>3.91984464</v>
      </c>
    </row>
    <row r="71" spans="1:14" ht="30" x14ac:dyDescent="0.25">
      <c r="A71" s="161" t="s">
        <v>10</v>
      </c>
      <c r="B71" s="163" t="s">
        <v>48</v>
      </c>
      <c r="C71" s="198">
        <f>$C$69*8%*40%</f>
        <v>1.3333333333333334E-4</v>
      </c>
      <c r="D71" s="92">
        <f t="shared" si="4"/>
        <v>1.4033777777777776</v>
      </c>
      <c r="E71" s="83">
        <f t="shared" si="5"/>
        <v>1.4517943111111109</v>
      </c>
      <c r="F71" s="83">
        <f t="shared" si="5"/>
        <v>1.4517943111111109</v>
      </c>
      <c r="G71" s="107">
        <f>$G$69*8%*40%</f>
        <v>1.3333333333333334E-4</v>
      </c>
      <c r="H71" s="92">
        <f t="shared" si="6"/>
        <v>1.4517943111111109</v>
      </c>
      <c r="I71" s="107">
        <f>$I$69*8%*40%</f>
        <v>1.3333333333333334E-4</v>
      </c>
      <c r="J71" s="92">
        <f t="shared" si="7"/>
        <v>1.4517943111111109</v>
      </c>
      <c r="K71" s="107">
        <f>$I$69*8%*40%</f>
        <v>1.3333333333333334E-4</v>
      </c>
      <c r="L71" s="92">
        <f t="shared" si="8"/>
        <v>1.5389019697777777</v>
      </c>
      <c r="M71" s="107">
        <f>$I$69*8%*40%</f>
        <v>1.3333333333333334E-4</v>
      </c>
      <c r="N71" s="92">
        <f t="shared" si="9"/>
        <v>1.5679378560000001</v>
      </c>
    </row>
    <row r="72" spans="1:14" x14ac:dyDescent="0.25">
      <c r="A72" s="161" t="s">
        <v>12</v>
      </c>
      <c r="B72" s="163" t="s">
        <v>49</v>
      </c>
      <c r="C72" s="198">
        <f>(7/30/12)*100%</f>
        <v>1.9444444444444445E-2</v>
      </c>
      <c r="D72" s="92">
        <f t="shared" si="4"/>
        <v>204.65925925925924</v>
      </c>
      <c r="E72" s="83">
        <f t="shared" si="5"/>
        <v>211.72000370370367</v>
      </c>
      <c r="F72" s="83">
        <f t="shared" si="5"/>
        <v>211.72000370370367</v>
      </c>
      <c r="G72" s="107">
        <f>(7/30/12)*100%</f>
        <v>1.9444444444444445E-2</v>
      </c>
      <c r="H72" s="92">
        <f t="shared" si="6"/>
        <v>211.72000370370367</v>
      </c>
      <c r="I72" s="107">
        <v>1.9400000000000001E-3</v>
      </c>
      <c r="J72" s="92">
        <f t="shared" si="7"/>
        <v>21.123607226666664</v>
      </c>
      <c r="K72" s="107">
        <v>1.9400000000000001E-3</v>
      </c>
      <c r="L72" s="92">
        <f t="shared" si="8"/>
        <v>22.391023660266665</v>
      </c>
      <c r="M72" s="107">
        <v>1.9400000000000001E-3</v>
      </c>
      <c r="N72" s="92">
        <f t="shared" si="9"/>
        <v>22.813495804800002</v>
      </c>
    </row>
    <row r="73" spans="1:14" ht="30" x14ac:dyDescent="0.25">
      <c r="A73" s="161" t="s">
        <v>14</v>
      </c>
      <c r="B73" s="163" t="s">
        <v>50</v>
      </c>
      <c r="C73" s="198">
        <f>$C$72*$C$42</f>
        <v>3.1779222222222221E-3</v>
      </c>
      <c r="D73" s="92">
        <f t="shared" si="4"/>
        <v>33.448690696296289</v>
      </c>
      <c r="E73" s="83">
        <f t="shared" si="5"/>
        <v>34.602670525318516</v>
      </c>
      <c r="F73" s="83">
        <f t="shared" si="5"/>
        <v>34.602670525318516</v>
      </c>
      <c r="G73" s="107">
        <f>$G$72*G$42</f>
        <v>3.0766944444444448E-3</v>
      </c>
      <c r="H73" s="92">
        <f t="shared" si="6"/>
        <v>33.500456186037034</v>
      </c>
      <c r="I73" s="107">
        <f>$I$72*$G$42</f>
        <v>3.0696620000000006E-4</v>
      </c>
      <c r="J73" s="92">
        <f t="shared" si="7"/>
        <v>3.342388371475467</v>
      </c>
      <c r="K73" s="107">
        <f>$I$72*$G$42</f>
        <v>3.0696620000000006E-4</v>
      </c>
      <c r="L73" s="92">
        <f t="shared" si="8"/>
        <v>3.5429316737639951</v>
      </c>
      <c r="M73" s="107">
        <f>$I$72*$G$42</f>
        <v>3.0696620000000006E-4</v>
      </c>
      <c r="N73" s="92">
        <f t="shared" si="9"/>
        <v>3.6097794411935045</v>
      </c>
    </row>
    <row r="74" spans="1:14" ht="30" x14ac:dyDescent="0.25">
      <c r="A74" s="161" t="s">
        <v>16</v>
      </c>
      <c r="B74" s="163" t="s">
        <v>51</v>
      </c>
      <c r="C74" s="198">
        <f>$C$72*8%*40%</f>
        <v>6.2222222222222236E-4</v>
      </c>
      <c r="D74" s="92">
        <f t="shared" si="4"/>
        <v>6.5490962962962973</v>
      </c>
      <c r="E74" s="83">
        <f t="shared" si="5"/>
        <v>6.7750401185185192</v>
      </c>
      <c r="F74" s="83">
        <f t="shared" si="5"/>
        <v>6.7750401185185192</v>
      </c>
      <c r="G74" s="107">
        <f>$G$72*8%*40%</f>
        <v>6.2222222222222236E-4</v>
      </c>
      <c r="H74" s="92">
        <f t="shared" si="6"/>
        <v>6.7750401185185192</v>
      </c>
      <c r="I74" s="107">
        <f>$I$72*8%*40%</f>
        <v>6.2080000000000002E-5</v>
      </c>
      <c r="J74" s="92">
        <f t="shared" si="7"/>
        <v>0.67595543125333324</v>
      </c>
      <c r="K74" s="107">
        <f>$I$72*8%*40%</f>
        <v>6.2080000000000002E-5</v>
      </c>
      <c r="L74" s="92">
        <f t="shared" si="8"/>
        <v>0.71651275712853335</v>
      </c>
      <c r="M74" s="107">
        <f>$I$72*8%*40%</f>
        <v>6.2080000000000002E-5</v>
      </c>
      <c r="N74" s="92">
        <f t="shared" si="9"/>
        <v>0.73003186575360002</v>
      </c>
    </row>
    <row r="75" spans="1:14" x14ac:dyDescent="0.25">
      <c r="A75" s="161" t="s">
        <v>32</v>
      </c>
      <c r="B75" s="163" t="s">
        <v>133</v>
      </c>
      <c r="C75" s="198">
        <v>3.49E-2</v>
      </c>
      <c r="D75" s="92">
        <f t="shared" si="4"/>
        <v>367.33413333333328</v>
      </c>
      <c r="E75" s="83">
        <f t="shared" si="5"/>
        <v>380.0071609333333</v>
      </c>
      <c r="F75" s="83">
        <f t="shared" si="5"/>
        <v>380.0071609333333</v>
      </c>
      <c r="G75" s="107">
        <v>3.49E-2</v>
      </c>
      <c r="H75" s="92">
        <f t="shared" si="6"/>
        <v>380.0071609333333</v>
      </c>
      <c r="I75" s="107">
        <v>3.49E-2</v>
      </c>
      <c r="J75" s="92">
        <f t="shared" si="7"/>
        <v>380.0071609333333</v>
      </c>
      <c r="K75" s="107">
        <v>3.49E-2</v>
      </c>
      <c r="L75" s="92">
        <f t="shared" si="8"/>
        <v>402.8075905893333</v>
      </c>
      <c r="M75" s="107">
        <v>3.49E-2</v>
      </c>
      <c r="N75" s="92">
        <f t="shared" si="9"/>
        <v>410.40773380799999</v>
      </c>
    </row>
    <row r="76" spans="1:14" x14ac:dyDescent="0.25">
      <c r="A76" s="466" t="s">
        <v>161</v>
      </c>
      <c r="B76" s="467"/>
      <c r="C76" s="201">
        <f t="shared" ref="C76:D76" si="10">SUM(C69:C75)</f>
        <v>6.2777922222222227E-2</v>
      </c>
      <c r="D76" s="92">
        <f t="shared" si="10"/>
        <v>660.75855736296285</v>
      </c>
      <c r="E76" s="83">
        <f>SUM(E69:E75)</f>
        <v>683.55472759198506</v>
      </c>
      <c r="F76" s="83">
        <f>SUM(F69:F75)</f>
        <v>683.55472759198506</v>
      </c>
      <c r="G76" s="108">
        <f>SUM(G69:G75)</f>
        <v>6.2676694444444445E-2</v>
      </c>
      <c r="H76" s="92">
        <f>SUM(H69:H75)</f>
        <v>682.45251325270351</v>
      </c>
      <c r="I76" s="108">
        <f t="shared" ref="I76:K76" si="11">SUM(I69:I75)</f>
        <v>4.1842379533333335E-2</v>
      </c>
      <c r="J76" s="92">
        <f>SUM(J69:J75)</f>
        <v>455.59896427383984</v>
      </c>
      <c r="K76" s="108">
        <f t="shared" si="11"/>
        <v>4.1842379533333335E-2</v>
      </c>
      <c r="L76" s="92">
        <f>SUM(L69:L75)</f>
        <v>482.93490213027025</v>
      </c>
      <c r="M76" s="108">
        <f t="shared" ref="M76" si="12">SUM(M69:M75)</f>
        <v>4.1842379533333335E-2</v>
      </c>
      <c r="N76" s="92">
        <f>SUM(N69:N75)</f>
        <v>492.04688141574712</v>
      </c>
    </row>
    <row r="77" spans="1:14" x14ac:dyDescent="0.25">
      <c r="A77" s="468" t="s">
        <v>111</v>
      </c>
      <c r="B77" s="469"/>
      <c r="C77" s="469"/>
      <c r="D77" s="470"/>
      <c r="E77" s="115"/>
      <c r="F77" s="115"/>
      <c r="G77" s="170"/>
      <c r="H77" s="160"/>
      <c r="I77" s="170"/>
      <c r="J77" s="160"/>
      <c r="K77" s="170"/>
      <c r="L77" s="371"/>
      <c r="M77" s="170"/>
      <c r="N77" s="371"/>
    </row>
    <row r="78" spans="1:14" x14ac:dyDescent="0.25">
      <c r="A78" s="468" t="s">
        <v>119</v>
      </c>
      <c r="B78" s="469"/>
      <c r="C78" s="469"/>
      <c r="D78" s="470"/>
      <c r="E78" s="115"/>
      <c r="F78" s="115"/>
      <c r="G78" s="170"/>
      <c r="H78" s="160"/>
      <c r="I78" s="170"/>
      <c r="J78" s="160"/>
      <c r="K78" s="170"/>
      <c r="L78" s="371"/>
      <c r="M78" s="170"/>
      <c r="N78" s="371"/>
    </row>
    <row r="79" spans="1:14" x14ac:dyDescent="0.25">
      <c r="A79" s="229"/>
      <c r="B79" s="182"/>
      <c r="C79" s="182"/>
      <c r="D79" s="230"/>
      <c r="E79" s="115"/>
      <c r="F79" s="115"/>
      <c r="G79" s="170"/>
      <c r="H79" s="160"/>
      <c r="I79" s="170"/>
      <c r="J79" s="160"/>
      <c r="K79" s="170"/>
      <c r="L79" s="371"/>
      <c r="M79" s="170"/>
      <c r="N79" s="371"/>
    </row>
    <row r="80" spans="1:14" x14ac:dyDescent="0.25">
      <c r="A80" s="471" t="s">
        <v>52</v>
      </c>
      <c r="B80" s="472"/>
      <c r="C80" s="472"/>
      <c r="D80" s="473"/>
      <c r="E80" s="115"/>
      <c r="F80" s="115"/>
      <c r="G80" s="170"/>
      <c r="H80" s="160"/>
      <c r="I80" s="170"/>
      <c r="J80" s="160"/>
      <c r="K80" s="170"/>
      <c r="L80" s="371"/>
      <c r="M80" s="170"/>
      <c r="N80" s="371"/>
    </row>
    <row r="81" spans="1:14" x14ac:dyDescent="0.25">
      <c r="A81" s="468" t="s">
        <v>112</v>
      </c>
      <c r="B81" s="469"/>
      <c r="C81" s="469"/>
      <c r="D81" s="470"/>
      <c r="E81" s="115"/>
      <c r="F81" s="115"/>
      <c r="G81" s="170"/>
      <c r="H81" s="160"/>
      <c r="I81" s="170"/>
      <c r="J81" s="160"/>
      <c r="K81" s="170"/>
      <c r="L81" s="371"/>
      <c r="M81" s="170"/>
      <c r="N81" s="371"/>
    </row>
    <row r="82" spans="1:14" x14ac:dyDescent="0.25">
      <c r="A82" s="229"/>
      <c r="B82" s="182"/>
      <c r="C82" s="182"/>
      <c r="D82" s="230"/>
      <c r="E82" s="115"/>
      <c r="F82" s="115"/>
      <c r="G82" s="170"/>
      <c r="H82" s="160"/>
      <c r="I82" s="170"/>
      <c r="J82" s="160"/>
      <c r="K82" s="170"/>
      <c r="L82" s="371"/>
      <c r="M82" s="170"/>
      <c r="N82" s="371"/>
    </row>
    <row r="83" spans="1:14" x14ac:dyDescent="0.25">
      <c r="A83" s="471" t="s">
        <v>114</v>
      </c>
      <c r="B83" s="472"/>
      <c r="C83" s="472"/>
      <c r="D83" s="473"/>
      <c r="E83" s="115"/>
      <c r="F83" s="115"/>
      <c r="G83" s="170"/>
      <c r="H83" s="160"/>
      <c r="I83" s="170"/>
      <c r="J83" s="160"/>
      <c r="K83" s="170"/>
      <c r="L83" s="371"/>
      <c r="M83" s="170"/>
      <c r="N83" s="371"/>
    </row>
    <row r="84" spans="1:14" x14ac:dyDescent="0.25">
      <c r="A84" s="187" t="s">
        <v>53</v>
      </c>
      <c r="B84" s="178" t="s">
        <v>54</v>
      </c>
      <c r="C84" s="178" t="s">
        <v>26</v>
      </c>
      <c r="D84" s="93" t="s">
        <v>5</v>
      </c>
      <c r="E84" s="189" t="s">
        <v>5</v>
      </c>
      <c r="F84" s="189" t="s">
        <v>5</v>
      </c>
      <c r="G84" s="190" t="s">
        <v>26</v>
      </c>
      <c r="H84" s="93" t="s">
        <v>5</v>
      </c>
      <c r="I84" s="190" t="s">
        <v>26</v>
      </c>
      <c r="J84" s="93" t="s">
        <v>5</v>
      </c>
      <c r="K84" s="190" t="s">
        <v>26</v>
      </c>
      <c r="L84" s="93" t="s">
        <v>5</v>
      </c>
      <c r="M84" s="190" t="s">
        <v>26</v>
      </c>
      <c r="N84" s="93" t="s">
        <v>5</v>
      </c>
    </row>
    <row r="85" spans="1:14" x14ac:dyDescent="0.25">
      <c r="A85" s="161" t="s">
        <v>6</v>
      </c>
      <c r="B85" s="163" t="s">
        <v>55</v>
      </c>
      <c r="C85" s="191">
        <v>6.8999999999999999E-3</v>
      </c>
      <c r="D85" s="233">
        <f t="shared" ref="D85:D90" si="13">C85*($D$19+$D$27)</f>
        <v>72.624799999999993</v>
      </c>
      <c r="E85" s="83">
        <f t="shared" ref="E85:F90" si="14">$C85*(E$19+E$27)</f>
        <v>75.130355599999987</v>
      </c>
      <c r="F85" s="83">
        <f t="shared" si="14"/>
        <v>75.130355599999987</v>
      </c>
      <c r="G85" s="107">
        <v>6.8999999999999999E-3</v>
      </c>
      <c r="H85" s="92">
        <f t="shared" ref="H85:H90" si="15">G85*($H$19+$H$27)</f>
        <v>75.130355599999987</v>
      </c>
      <c r="I85" s="107">
        <v>6.8999999999999999E-3</v>
      </c>
      <c r="J85" s="92">
        <f t="shared" ref="J85:J90" si="16">I85*($H$19+$H$27)</f>
        <v>75.130355599999987</v>
      </c>
      <c r="K85" s="107">
        <v>6.8999999999999999E-3</v>
      </c>
      <c r="L85" s="92">
        <f t="shared" ref="L85:L90" si="17">K85*(L$19+L$27)</f>
        <v>79.638176935999994</v>
      </c>
      <c r="M85" s="107">
        <v>6.8999999999999999E-3</v>
      </c>
      <c r="N85" s="92">
        <f t="shared" ref="N85:N90" si="18">M85*(N$19+N$27)</f>
        <v>81.140784048</v>
      </c>
    </row>
    <row r="86" spans="1:14" x14ac:dyDescent="0.25">
      <c r="A86" s="161" t="s">
        <v>8</v>
      </c>
      <c r="B86" s="163" t="s">
        <v>56</v>
      </c>
      <c r="C86" s="191">
        <f>(1/30)*(1/12)</f>
        <v>2.7777777777777775E-3</v>
      </c>
      <c r="D86" s="233">
        <f t="shared" si="13"/>
        <v>29.23703703703703</v>
      </c>
      <c r="E86" s="83">
        <f t="shared" si="14"/>
        <v>30.245714814814807</v>
      </c>
      <c r="F86" s="83">
        <f t="shared" si="14"/>
        <v>30.245714814814807</v>
      </c>
      <c r="G86" s="107">
        <f>(1/30)*(1/12)</f>
        <v>2.7777777777777775E-3</v>
      </c>
      <c r="H86" s="92">
        <f t="shared" si="15"/>
        <v>30.245714814814807</v>
      </c>
      <c r="I86" s="107">
        <f>(1/30)*(1/12)</f>
        <v>2.7777777777777775E-3</v>
      </c>
      <c r="J86" s="92">
        <f t="shared" si="16"/>
        <v>30.245714814814807</v>
      </c>
      <c r="K86" s="107">
        <f>(1/30)*(1/12)</f>
        <v>2.7777777777777775E-3</v>
      </c>
      <c r="L86" s="92">
        <f t="shared" si="17"/>
        <v>32.060457703703698</v>
      </c>
      <c r="M86" s="107">
        <f>(1/30)*(1/12)</f>
        <v>2.7777777777777775E-3</v>
      </c>
      <c r="N86" s="92">
        <f t="shared" si="18"/>
        <v>32.665371999999998</v>
      </c>
    </row>
    <row r="87" spans="1:14" x14ac:dyDescent="0.25">
      <c r="A87" s="161" t="s">
        <v>10</v>
      </c>
      <c r="B87" s="163" t="s">
        <v>57</v>
      </c>
      <c r="C87" s="191">
        <f>(5/30/12)*1.5%</f>
        <v>2.0833333333333332E-4</v>
      </c>
      <c r="D87" s="233">
        <f t="shared" si="13"/>
        <v>2.1927777777777773</v>
      </c>
      <c r="E87" s="83">
        <f t="shared" si="14"/>
        <v>2.2684286111111107</v>
      </c>
      <c r="F87" s="83">
        <f t="shared" si="14"/>
        <v>2.2684286111111107</v>
      </c>
      <c r="G87" s="107">
        <f>(5/30/12)*1.5%</f>
        <v>2.0833333333333332E-4</v>
      </c>
      <c r="H87" s="92">
        <f t="shared" si="15"/>
        <v>2.2684286111111107</v>
      </c>
      <c r="I87" s="107">
        <f>(5/30/12)*1.5%</f>
        <v>2.0833333333333332E-4</v>
      </c>
      <c r="J87" s="92">
        <f t="shared" si="16"/>
        <v>2.2684286111111107</v>
      </c>
      <c r="K87" s="107">
        <f>(5/30/12)*1.5%</f>
        <v>2.0833333333333332E-4</v>
      </c>
      <c r="L87" s="92">
        <f t="shared" si="17"/>
        <v>2.4045343277777773</v>
      </c>
      <c r="M87" s="107">
        <f>(5/30/12)*1.5%</f>
        <v>2.0833333333333332E-4</v>
      </c>
      <c r="N87" s="92">
        <f t="shared" si="18"/>
        <v>2.4499028999999997</v>
      </c>
    </row>
    <row r="88" spans="1:14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33">
        <f t="shared" si="13"/>
        <v>3.4207333333333327</v>
      </c>
      <c r="E88" s="83">
        <f t="shared" si="14"/>
        <v>3.5387486333333329</v>
      </c>
      <c r="F88" s="83">
        <f t="shared" si="14"/>
        <v>3.5387486333333329</v>
      </c>
      <c r="G88" s="107">
        <f>(15/30/12)*0.78%</f>
        <v>3.2499999999999999E-4</v>
      </c>
      <c r="H88" s="92">
        <f t="shared" si="15"/>
        <v>3.5387486333333329</v>
      </c>
      <c r="I88" s="107">
        <f>(15/30/12)*0.78%</f>
        <v>3.2499999999999999E-4</v>
      </c>
      <c r="J88" s="92">
        <f t="shared" si="16"/>
        <v>3.5387486333333329</v>
      </c>
      <c r="K88" s="107">
        <f>(15/30/12)*0.78%</f>
        <v>3.2499999999999999E-4</v>
      </c>
      <c r="L88" s="92">
        <f t="shared" si="17"/>
        <v>3.7510735513333326</v>
      </c>
      <c r="M88" s="107">
        <f>(15/30/12)*0.78%</f>
        <v>3.2499999999999999E-4</v>
      </c>
      <c r="N88" s="92">
        <f t="shared" si="18"/>
        <v>3.821848524</v>
      </c>
    </row>
    <row r="89" spans="1:14" ht="30" x14ac:dyDescent="0.25">
      <c r="A89" s="161" t="s">
        <v>14</v>
      </c>
      <c r="B89" s="163" t="s">
        <v>59</v>
      </c>
      <c r="C89" s="191">
        <f>(1.44%*10%*(C$34+C$36+C$25+C$41+C$75)*6/12)</f>
        <v>1.6649646545454546E-4</v>
      </c>
      <c r="D89" s="233">
        <f t="shared" si="13"/>
        <v>1.7524307977309088</v>
      </c>
      <c r="E89" s="83">
        <f t="shared" si="14"/>
        <v>1.8128896602526252</v>
      </c>
      <c r="F89" s="83">
        <f t="shared" si="14"/>
        <v>1.8128896602526252</v>
      </c>
      <c r="G89" s="107">
        <f>(1.44%*10%*(G$34+G$36+C$25+G$41+G$75)*6/12)</f>
        <v>1.6274814545454546E-4</v>
      </c>
      <c r="H89" s="92">
        <f t="shared" si="15"/>
        <v>1.7720762378609451</v>
      </c>
      <c r="I89" s="107">
        <f>(1.44%*10%*($G$34+$G$36+$C$25+$G$41+I$75)*6/12)</f>
        <v>1.6274814545454546E-4</v>
      </c>
      <c r="J89" s="92">
        <f t="shared" si="16"/>
        <v>1.7720762378609451</v>
      </c>
      <c r="K89" s="107">
        <f>(1.44%*10%*($G$34+$G$36+$C$25+$G$41+K$75)*6/12)</f>
        <v>1.6274814545454546E-4</v>
      </c>
      <c r="L89" s="92">
        <f t="shared" si="17"/>
        <v>1.8784008121326021</v>
      </c>
      <c r="M89" s="107">
        <f>(1.44%*10%*($G$34+$G$36+$C$25+$G$41+M$75)*6/12)</f>
        <v>1.6274814545454546E-4</v>
      </c>
      <c r="N89" s="92">
        <f t="shared" si="18"/>
        <v>1.9138423368898212</v>
      </c>
    </row>
    <row r="90" spans="1:14" ht="30" x14ac:dyDescent="0.25">
      <c r="A90" s="161" t="s">
        <v>16</v>
      </c>
      <c r="B90" s="163" t="s">
        <v>60</v>
      </c>
      <c r="C90" s="191">
        <v>0</v>
      </c>
      <c r="D90" s="233">
        <f t="shared" si="13"/>
        <v>0</v>
      </c>
      <c r="E90" s="83">
        <f t="shared" si="14"/>
        <v>0</v>
      </c>
      <c r="F90" s="83">
        <f t="shared" si="14"/>
        <v>0</v>
      </c>
      <c r="G90" s="107">
        <v>0</v>
      </c>
      <c r="H90" s="92">
        <f t="shared" si="15"/>
        <v>0</v>
      </c>
      <c r="I90" s="107">
        <v>0</v>
      </c>
      <c r="J90" s="92">
        <f t="shared" si="16"/>
        <v>0</v>
      </c>
      <c r="K90" s="107">
        <v>0</v>
      </c>
      <c r="L90" s="92">
        <f t="shared" si="17"/>
        <v>0</v>
      </c>
      <c r="M90" s="107">
        <v>0</v>
      </c>
      <c r="N90" s="92">
        <f t="shared" si="18"/>
        <v>0</v>
      </c>
    </row>
    <row r="91" spans="1:14" x14ac:dyDescent="0.25">
      <c r="A91" s="466" t="s">
        <v>18</v>
      </c>
      <c r="B91" s="467"/>
      <c r="C91" s="186">
        <f t="shared" ref="C91:D91" si="19">SUM(C85:C90)</f>
        <v>1.0377607576565657E-2</v>
      </c>
      <c r="D91" s="218">
        <f t="shared" si="19"/>
        <v>109.22777894587904</v>
      </c>
      <c r="E91" s="83">
        <f>SUM(E85:E90)</f>
        <v>112.99613731951185</v>
      </c>
      <c r="F91" s="83">
        <f>SUM(F85:F90)</f>
        <v>112.99613731951185</v>
      </c>
      <c r="G91" s="108">
        <f>SUM(G85:G90)</f>
        <v>1.0373859256565657E-2</v>
      </c>
      <c r="H91" s="92">
        <f>SUM(H85:H90)</f>
        <v>112.95532389712017</v>
      </c>
      <c r="I91" s="108">
        <f t="shared" ref="I91:K91" si="20">SUM(I85:I90)</f>
        <v>1.0373859256565657E-2</v>
      </c>
      <c r="J91" s="92">
        <f>SUM(J85:J90)</f>
        <v>112.95532389712017</v>
      </c>
      <c r="K91" s="108">
        <f t="shared" si="20"/>
        <v>1.0373859256565657E-2</v>
      </c>
      <c r="L91" s="92">
        <f>SUM(L85:L90)</f>
        <v>119.73264333094741</v>
      </c>
      <c r="M91" s="108">
        <f t="shared" ref="M91" si="21">SUM(M85:M90)</f>
        <v>1.0373859256565657E-2</v>
      </c>
      <c r="N91" s="92">
        <f>SUM(N85:N90)</f>
        <v>121.99174980888981</v>
      </c>
    </row>
    <row r="92" spans="1:14" x14ac:dyDescent="0.25">
      <c r="A92" s="468" t="s">
        <v>120</v>
      </c>
      <c r="B92" s="469"/>
      <c r="C92" s="469"/>
      <c r="D92" s="470"/>
      <c r="E92" s="115"/>
      <c r="F92" s="115"/>
      <c r="G92" s="170"/>
      <c r="H92" s="160"/>
      <c r="I92" s="170"/>
      <c r="J92" s="160"/>
      <c r="K92" s="170"/>
      <c r="L92" s="371"/>
      <c r="M92" s="170"/>
      <c r="N92" s="371"/>
    </row>
    <row r="93" spans="1:14" x14ac:dyDescent="0.25">
      <c r="A93" s="229"/>
      <c r="B93" s="182"/>
      <c r="C93" s="182"/>
      <c r="D93" s="230"/>
      <c r="E93" s="115"/>
      <c r="F93" s="115"/>
      <c r="G93" s="170"/>
      <c r="H93" s="160"/>
      <c r="I93" s="170"/>
      <c r="J93" s="160"/>
      <c r="K93" s="170"/>
      <c r="L93" s="371"/>
      <c r="M93" s="170"/>
      <c r="N93" s="371"/>
    </row>
    <row r="94" spans="1:14" x14ac:dyDescent="0.25">
      <c r="A94" s="466" t="s">
        <v>115</v>
      </c>
      <c r="B94" s="467"/>
      <c r="C94" s="467"/>
      <c r="D94" s="484"/>
      <c r="E94" s="115"/>
      <c r="F94" s="115"/>
      <c r="G94" s="170"/>
      <c r="H94" s="160"/>
      <c r="I94" s="170"/>
      <c r="J94" s="160"/>
      <c r="K94" s="170"/>
      <c r="L94" s="371"/>
      <c r="M94" s="170"/>
      <c r="N94" s="371"/>
    </row>
    <row r="95" spans="1:14" x14ac:dyDescent="0.25">
      <c r="A95" s="187" t="s">
        <v>61</v>
      </c>
      <c r="B95" s="178" t="s">
        <v>62</v>
      </c>
      <c r="C95" s="178" t="s">
        <v>5</v>
      </c>
      <c r="D95" s="231"/>
      <c r="E95" s="115"/>
      <c r="F95" s="115"/>
      <c r="G95" s="170"/>
      <c r="H95" s="160"/>
      <c r="I95" s="170"/>
      <c r="J95" s="160"/>
      <c r="K95" s="170"/>
      <c r="L95" s="371"/>
      <c r="M95" s="170"/>
      <c r="N95" s="371"/>
    </row>
    <row r="96" spans="1:14" ht="30" x14ac:dyDescent="0.25">
      <c r="A96" s="161" t="s">
        <v>6</v>
      </c>
      <c r="B96" s="163" t="s">
        <v>63</v>
      </c>
      <c r="C96" s="203"/>
      <c r="D96" s="234"/>
      <c r="E96" s="115"/>
      <c r="F96" s="115"/>
      <c r="G96" s="170"/>
      <c r="H96" s="160"/>
      <c r="I96" s="170"/>
      <c r="J96" s="160"/>
      <c r="K96" s="170"/>
      <c r="L96" s="371"/>
      <c r="M96" s="170"/>
      <c r="N96" s="371"/>
    </row>
    <row r="97" spans="1:14" x14ac:dyDescent="0.25">
      <c r="A97" s="466" t="s">
        <v>18</v>
      </c>
      <c r="B97" s="467"/>
      <c r="C97" s="205">
        <f>SUM(C96)</f>
        <v>0</v>
      </c>
      <c r="D97" s="234"/>
      <c r="E97" s="115"/>
      <c r="F97" s="115"/>
      <c r="G97" s="170"/>
      <c r="H97" s="160"/>
      <c r="I97" s="170"/>
      <c r="J97" s="160"/>
      <c r="K97" s="170"/>
      <c r="L97" s="371"/>
      <c r="M97" s="170"/>
      <c r="N97" s="371"/>
    </row>
    <row r="98" spans="1:14" x14ac:dyDescent="0.25">
      <c r="A98" s="229"/>
      <c r="B98" s="182"/>
      <c r="C98" s="182"/>
      <c r="D98" s="230"/>
      <c r="E98" s="115"/>
      <c r="F98" s="115"/>
      <c r="G98" s="170"/>
      <c r="H98" s="160"/>
      <c r="I98" s="170"/>
      <c r="J98" s="160"/>
      <c r="K98" s="170"/>
      <c r="L98" s="371"/>
      <c r="M98" s="170"/>
      <c r="N98" s="371"/>
    </row>
    <row r="99" spans="1:14" x14ac:dyDescent="0.25">
      <c r="A99" s="415" t="s">
        <v>116</v>
      </c>
      <c r="B99" s="416"/>
      <c r="C99" s="416"/>
      <c r="D99" s="487"/>
      <c r="E99" s="115"/>
      <c r="F99" s="115"/>
      <c r="G99" s="170"/>
      <c r="H99" s="160"/>
      <c r="I99" s="170"/>
      <c r="J99" s="160"/>
      <c r="K99" s="170"/>
      <c r="L99" s="371"/>
      <c r="M99" s="170"/>
      <c r="N99" s="371"/>
    </row>
    <row r="100" spans="1:14" x14ac:dyDescent="0.25">
      <c r="A100" s="187">
        <v>4</v>
      </c>
      <c r="B100" s="476" t="s">
        <v>64</v>
      </c>
      <c r="C100" s="476"/>
      <c r="D100" s="93" t="s">
        <v>5</v>
      </c>
      <c r="E100" s="189" t="s">
        <v>5</v>
      </c>
      <c r="F100" s="189" t="s">
        <v>5</v>
      </c>
      <c r="G100" s="170"/>
      <c r="H100" s="93" t="s">
        <v>5</v>
      </c>
      <c r="I100" s="170"/>
      <c r="J100" s="93" t="s">
        <v>5</v>
      </c>
      <c r="K100" s="170"/>
      <c r="L100" s="93" t="s">
        <v>5</v>
      </c>
      <c r="M100" s="170"/>
      <c r="N100" s="93" t="s">
        <v>5</v>
      </c>
    </row>
    <row r="101" spans="1:14" x14ac:dyDescent="0.25">
      <c r="A101" s="181" t="s">
        <v>53</v>
      </c>
      <c r="B101" s="475" t="s">
        <v>54</v>
      </c>
      <c r="C101" s="475"/>
      <c r="D101" s="218">
        <f>D91</f>
        <v>109.22777894587904</v>
      </c>
      <c r="E101" s="83">
        <f>E91</f>
        <v>112.99613731951185</v>
      </c>
      <c r="F101" s="83">
        <f>F91</f>
        <v>112.99613731951185</v>
      </c>
      <c r="G101" s="170"/>
      <c r="H101" s="92">
        <f>H91</f>
        <v>112.95532389712017</v>
      </c>
      <c r="I101" s="170"/>
      <c r="J101" s="92">
        <f>J91</f>
        <v>112.95532389712017</v>
      </c>
      <c r="K101" s="170"/>
      <c r="L101" s="92">
        <f>L91</f>
        <v>119.73264333094741</v>
      </c>
      <c r="M101" s="170"/>
      <c r="N101" s="92">
        <f>N91</f>
        <v>121.99174980888981</v>
      </c>
    </row>
    <row r="102" spans="1:14" x14ac:dyDescent="0.25">
      <c r="A102" s="181" t="s">
        <v>61</v>
      </c>
      <c r="B102" s="182" t="s">
        <v>65</v>
      </c>
      <c r="C102" s="182"/>
      <c r="D102" s="235">
        <f>C97</f>
        <v>0</v>
      </c>
      <c r="E102" s="207">
        <f>E97</f>
        <v>0</v>
      </c>
      <c r="F102" s="207">
        <f>F97</f>
        <v>0</v>
      </c>
      <c r="G102" s="170"/>
      <c r="H102" s="97">
        <f>G97</f>
        <v>0</v>
      </c>
      <c r="I102" s="170"/>
      <c r="J102" s="97">
        <f>I97</f>
        <v>0</v>
      </c>
      <c r="K102" s="170"/>
      <c r="L102" s="97">
        <f>K97</f>
        <v>0</v>
      </c>
      <c r="M102" s="170"/>
      <c r="N102" s="97">
        <f>M97</f>
        <v>0</v>
      </c>
    </row>
    <row r="103" spans="1:14" x14ac:dyDescent="0.25">
      <c r="A103" s="466" t="s">
        <v>18</v>
      </c>
      <c r="B103" s="467"/>
      <c r="C103" s="467"/>
      <c r="D103" s="218">
        <f>SUM(D101:D102)</f>
        <v>109.22777894587904</v>
      </c>
      <c r="E103" s="83">
        <f>SUM(E101:E102)</f>
        <v>112.99613731951185</v>
      </c>
      <c r="F103" s="83">
        <f>SUM(F101:F102)</f>
        <v>112.99613731951185</v>
      </c>
      <c r="G103" s="170"/>
      <c r="H103" s="92">
        <f>SUM(H101:H102)</f>
        <v>112.95532389712017</v>
      </c>
      <c r="I103" s="170"/>
      <c r="J103" s="92">
        <f>SUM(J101:J102)</f>
        <v>112.95532389712017</v>
      </c>
      <c r="K103" s="170"/>
      <c r="L103" s="92">
        <f>SUM(L101:L102)</f>
        <v>119.73264333094741</v>
      </c>
      <c r="M103" s="170"/>
      <c r="N103" s="92">
        <f>SUM(N101:N102)</f>
        <v>121.99174980888981</v>
      </c>
    </row>
    <row r="104" spans="1:14" x14ac:dyDescent="0.25">
      <c r="A104" s="229"/>
      <c r="B104" s="182"/>
      <c r="C104" s="182"/>
      <c r="D104" s="230"/>
      <c r="E104" s="115"/>
      <c r="F104" s="115"/>
      <c r="G104" s="170"/>
      <c r="H104" s="160"/>
      <c r="I104" s="170"/>
      <c r="J104" s="160"/>
      <c r="K104" s="170"/>
      <c r="L104" s="371"/>
      <c r="M104" s="170"/>
      <c r="N104" s="371"/>
    </row>
    <row r="105" spans="1:14" x14ac:dyDescent="0.25">
      <c r="A105" s="481" t="s">
        <v>66</v>
      </c>
      <c r="B105" s="482"/>
      <c r="C105" s="482"/>
      <c r="D105" s="483"/>
      <c r="E105" s="115"/>
      <c r="F105" s="115"/>
      <c r="G105" s="170"/>
      <c r="H105" s="160"/>
      <c r="I105" s="170"/>
      <c r="J105" s="160"/>
      <c r="K105" s="170"/>
      <c r="L105" s="371"/>
      <c r="M105" s="170"/>
      <c r="N105" s="371"/>
    </row>
    <row r="106" spans="1:14" x14ac:dyDescent="0.25">
      <c r="A106" s="187">
        <v>5</v>
      </c>
      <c r="B106" s="476" t="s">
        <v>67</v>
      </c>
      <c r="C106" s="476"/>
      <c r="D106" s="93" t="s">
        <v>5</v>
      </c>
      <c r="E106" s="189" t="s">
        <v>5</v>
      </c>
      <c r="F106" s="189" t="s">
        <v>5</v>
      </c>
      <c r="G106" s="170"/>
      <c r="H106" s="93" t="s">
        <v>5</v>
      </c>
      <c r="I106" s="170"/>
      <c r="J106" s="93" t="s">
        <v>5</v>
      </c>
      <c r="K106" s="170"/>
      <c r="L106" s="93" t="s">
        <v>5</v>
      </c>
      <c r="M106" s="170"/>
      <c r="N106" s="93" t="s">
        <v>5</v>
      </c>
    </row>
    <row r="107" spans="1:14" x14ac:dyDescent="0.25">
      <c r="A107" s="181" t="s">
        <v>6</v>
      </c>
      <c r="B107" s="475" t="s">
        <v>68</v>
      </c>
      <c r="C107" s="475"/>
      <c r="D107" s="218">
        <v>0</v>
      </c>
      <c r="E107" s="83">
        <v>0</v>
      </c>
      <c r="F107" s="83">
        <v>0</v>
      </c>
      <c r="G107" s="170"/>
      <c r="H107" s="92">
        <v>0</v>
      </c>
      <c r="I107" s="170"/>
      <c r="J107" s="92">
        <v>0</v>
      </c>
      <c r="K107" s="170"/>
      <c r="L107" s="92">
        <v>0</v>
      </c>
      <c r="M107" s="170"/>
      <c r="N107" s="92">
        <v>0</v>
      </c>
    </row>
    <row r="108" spans="1:14" x14ac:dyDescent="0.25">
      <c r="A108" s="181" t="s">
        <v>8</v>
      </c>
      <c r="B108" s="475" t="s">
        <v>69</v>
      </c>
      <c r="C108" s="475"/>
      <c r="D108" s="218">
        <v>0</v>
      </c>
      <c r="E108" s="83">
        <v>0</v>
      </c>
      <c r="F108" s="83">
        <v>0</v>
      </c>
      <c r="G108" s="170"/>
      <c r="H108" s="92">
        <v>0</v>
      </c>
      <c r="I108" s="170"/>
      <c r="J108" s="92">
        <v>0</v>
      </c>
      <c r="K108" s="170"/>
      <c r="L108" s="92">
        <v>0</v>
      </c>
      <c r="M108" s="170"/>
      <c r="N108" s="92">
        <v>0</v>
      </c>
    </row>
    <row r="109" spans="1:14" x14ac:dyDescent="0.25">
      <c r="A109" s="181" t="s">
        <v>10</v>
      </c>
      <c r="B109" s="475" t="s">
        <v>70</v>
      </c>
      <c r="C109" s="475"/>
      <c r="D109" s="218">
        <v>0</v>
      </c>
      <c r="E109" s="83">
        <v>0</v>
      </c>
      <c r="F109" s="83">
        <v>0</v>
      </c>
      <c r="G109" s="170"/>
      <c r="H109" s="92">
        <v>0</v>
      </c>
      <c r="I109" s="170"/>
      <c r="J109" s="92">
        <v>0</v>
      </c>
      <c r="K109" s="170"/>
      <c r="L109" s="92">
        <v>0</v>
      </c>
      <c r="M109" s="170"/>
      <c r="N109" s="92">
        <v>0</v>
      </c>
    </row>
    <row r="110" spans="1:14" x14ac:dyDescent="0.25">
      <c r="A110" s="181" t="s">
        <v>12</v>
      </c>
      <c r="B110" s="475" t="s">
        <v>17</v>
      </c>
      <c r="C110" s="475"/>
      <c r="D110" s="218">
        <v>0</v>
      </c>
      <c r="E110" s="83">
        <v>0</v>
      </c>
      <c r="F110" s="83">
        <v>0</v>
      </c>
      <c r="G110" s="170"/>
      <c r="H110" s="92">
        <v>0</v>
      </c>
      <c r="I110" s="170"/>
      <c r="J110" s="92">
        <v>0</v>
      </c>
      <c r="K110" s="170"/>
      <c r="L110" s="92">
        <v>0</v>
      </c>
      <c r="M110" s="170"/>
      <c r="N110" s="92">
        <v>0</v>
      </c>
    </row>
    <row r="111" spans="1:14" x14ac:dyDescent="0.25">
      <c r="A111" s="466" t="s">
        <v>18</v>
      </c>
      <c r="B111" s="467"/>
      <c r="C111" s="467"/>
      <c r="D111" s="218">
        <f>SUM(D107:D110)</f>
        <v>0</v>
      </c>
      <c r="E111" s="83">
        <f>SUM(E107:E110)</f>
        <v>0</v>
      </c>
      <c r="F111" s="83">
        <f>SUM(F107:F110)</f>
        <v>0</v>
      </c>
      <c r="G111" s="170"/>
      <c r="H111" s="92">
        <f>SUM(H107:H110)</f>
        <v>0</v>
      </c>
      <c r="I111" s="170"/>
      <c r="J111" s="92">
        <f>SUM(J107:J110)</f>
        <v>0</v>
      </c>
      <c r="K111" s="170"/>
      <c r="L111" s="92">
        <f>SUM(L107:L110)</f>
        <v>0</v>
      </c>
      <c r="M111" s="170"/>
      <c r="N111" s="92">
        <f>SUM(N107:N110)</f>
        <v>0</v>
      </c>
    </row>
    <row r="112" spans="1:14" x14ac:dyDescent="0.25">
      <c r="A112" s="468" t="s">
        <v>80</v>
      </c>
      <c r="B112" s="469"/>
      <c r="C112" s="469"/>
      <c r="D112" s="470"/>
      <c r="E112" s="115"/>
      <c r="F112" s="115"/>
      <c r="G112" s="170"/>
      <c r="H112" s="160"/>
      <c r="I112" s="170"/>
      <c r="J112" s="160"/>
      <c r="K112" s="170"/>
      <c r="L112" s="371"/>
      <c r="M112" s="170"/>
      <c r="N112" s="371"/>
    </row>
    <row r="113" spans="1:14" x14ac:dyDescent="0.25">
      <c r="A113" s="229"/>
      <c r="B113" s="182"/>
      <c r="C113" s="182"/>
      <c r="D113" s="230"/>
      <c r="E113" s="115"/>
      <c r="F113" s="115"/>
      <c r="G113" s="170"/>
      <c r="H113" s="160"/>
      <c r="I113" s="170"/>
      <c r="J113" s="160"/>
      <c r="K113" s="170"/>
      <c r="L113" s="371"/>
      <c r="M113" s="170"/>
      <c r="N113" s="371"/>
    </row>
    <row r="114" spans="1:14" x14ac:dyDescent="0.25">
      <c r="A114" s="481" t="s">
        <v>71</v>
      </c>
      <c r="B114" s="482"/>
      <c r="C114" s="482"/>
      <c r="D114" s="483"/>
      <c r="E114" s="115"/>
      <c r="F114" s="115"/>
      <c r="G114" s="170"/>
      <c r="H114" s="160"/>
      <c r="I114" s="170"/>
      <c r="J114" s="160"/>
      <c r="K114" s="170"/>
      <c r="L114" s="371"/>
      <c r="M114" s="170"/>
      <c r="N114" s="371"/>
    </row>
    <row r="115" spans="1:14" x14ac:dyDescent="0.25">
      <c r="A115" s="477" t="s">
        <v>121</v>
      </c>
      <c r="B115" s="478"/>
      <c r="C115" s="479" t="s">
        <v>122</v>
      </c>
      <c r="D115" s="480"/>
      <c r="E115" s="208" t="s">
        <v>122</v>
      </c>
      <c r="F115" s="208" t="s">
        <v>122</v>
      </c>
      <c r="G115" s="464" t="s">
        <v>122</v>
      </c>
      <c r="H115" s="465"/>
      <c r="I115" s="209"/>
      <c r="J115" s="210" t="s">
        <v>122</v>
      </c>
      <c r="K115" s="209"/>
      <c r="L115" s="377" t="s">
        <v>122</v>
      </c>
      <c r="M115" s="209"/>
      <c r="N115" s="377" t="s">
        <v>122</v>
      </c>
    </row>
    <row r="116" spans="1:14" x14ac:dyDescent="0.25">
      <c r="A116" s="187">
        <v>6</v>
      </c>
      <c r="B116" s="178" t="s">
        <v>72</v>
      </c>
      <c r="C116" s="178" t="s">
        <v>26</v>
      </c>
      <c r="D116" s="231" t="s">
        <v>5</v>
      </c>
      <c r="E116" s="189" t="s">
        <v>5</v>
      </c>
      <c r="F116" s="189" t="s">
        <v>5</v>
      </c>
      <c r="G116" s="197" t="s">
        <v>26</v>
      </c>
      <c r="H116" s="93" t="s">
        <v>5</v>
      </c>
      <c r="I116" s="180"/>
      <c r="J116" s="93" t="s">
        <v>5</v>
      </c>
      <c r="K116" s="180"/>
      <c r="L116" s="93" t="s">
        <v>5</v>
      </c>
      <c r="M116" s="180"/>
      <c r="N116" s="93" t="s">
        <v>5</v>
      </c>
    </row>
    <row r="117" spans="1:14" x14ac:dyDescent="0.25">
      <c r="A117" s="181" t="s">
        <v>6</v>
      </c>
      <c r="B117" s="182" t="s">
        <v>73</v>
      </c>
      <c r="C117" s="191">
        <v>0.05</v>
      </c>
      <c r="D117" s="233">
        <f>C117*D135</f>
        <v>664.04740241544209</v>
      </c>
      <c r="E117" s="83">
        <f>$C117*E$135</f>
        <v>686.49920554877474</v>
      </c>
      <c r="F117" s="83">
        <f>$C117*F$135</f>
        <v>686.89920554877472</v>
      </c>
      <c r="G117" s="107">
        <v>0.05</v>
      </c>
      <c r="H117" s="92">
        <f>G117*H$135</f>
        <v>684.40778871682448</v>
      </c>
      <c r="I117" s="106"/>
      <c r="J117" s="92">
        <f>$G117*J$135</f>
        <v>673.06511126788132</v>
      </c>
      <c r="K117" s="106"/>
      <c r="L117" s="92">
        <f>G117*L$135</f>
        <v>713.40478794395415</v>
      </c>
      <c r="M117" s="106"/>
      <c r="N117" s="92">
        <f>G117*N$135</f>
        <v>721.36967856923184</v>
      </c>
    </row>
    <row r="118" spans="1:14" x14ac:dyDescent="0.25">
      <c r="A118" s="181" t="s">
        <v>8</v>
      </c>
      <c r="B118" s="182" t="s">
        <v>74</v>
      </c>
      <c r="C118" s="191">
        <v>4.5385541022847829E-2</v>
      </c>
      <c r="D118" s="233">
        <f>C118*D135</f>
        <v>602.76301246883168</v>
      </c>
      <c r="E118" s="83">
        <f>$C118*E$135</f>
        <v>623.14275711172718</v>
      </c>
      <c r="F118" s="83">
        <f>$C118*F$135</f>
        <v>623.50584143991</v>
      </c>
      <c r="G118" s="107">
        <v>4.5385541022847829E-2</v>
      </c>
      <c r="H118" s="92">
        <f>G118*H$135</f>
        <v>621.24435542328013</v>
      </c>
      <c r="I118" s="106"/>
      <c r="J118" s="92">
        <f>$G118*J$135</f>
        <v>610.94848436992129</v>
      </c>
      <c r="K118" s="106"/>
      <c r="L118" s="92">
        <f>G118*L$135</f>
        <v>647.56524538252768</v>
      </c>
      <c r="M118" s="106"/>
      <c r="N118" s="92">
        <f>G118*N$135</f>
        <v>654.79506278684835</v>
      </c>
    </row>
    <row r="119" spans="1:14" x14ac:dyDescent="0.25">
      <c r="A119" s="181" t="s">
        <v>10</v>
      </c>
      <c r="B119" s="182" t="s">
        <v>130</v>
      </c>
      <c r="C119" s="191">
        <f>SUM(C120:C122)</f>
        <v>8.6499999999999994E-2</v>
      </c>
      <c r="D119" s="233">
        <f>(D135+D118+D117)*(C119/IF(C115="Lucro presumido",91.45%,85.75%))</f>
        <v>1376.0318283938814</v>
      </c>
      <c r="E119" s="83">
        <f>(E$135+E$118+E$117)*($C119/IF($C115="Lucro presumido",91.45%,85.75%))</f>
        <v>1422.5562114483473</v>
      </c>
      <c r="F119" s="83">
        <f>(F$135+F$118+F$117)*($C119/IF($C115="Lucro presumido",91.45%,85.75%))</f>
        <v>1423.3850871119753</v>
      </c>
      <c r="G119" s="107">
        <f>SUM(G120:G122)</f>
        <v>8.6499999999999994E-2</v>
      </c>
      <c r="H119" s="92">
        <f>(H$135+H$118+H$117)*(G119/IF(G115="Lucro presumido",91.45%,85.75%))</f>
        <v>1418.2224001620834</v>
      </c>
      <c r="I119" s="106"/>
      <c r="J119" s="92">
        <f>(J$135+J$118+J$117)*(G119/IF(J115="Lucro presumido",91.45%,85.75%))</f>
        <v>1394.7182269175555</v>
      </c>
      <c r="K119" s="106"/>
      <c r="L119" s="92">
        <f>(L$135+L$118+L$117)*(G119/IF(L115="Lucro presumido",91.45%,85.75%))</f>
        <v>1478.3096676061032</v>
      </c>
      <c r="M119" s="106"/>
      <c r="N119" s="92">
        <f>(N$135+N$118+N$117)*(G119/IF(N115="Lucro presumido",91.45%,85.75%))</f>
        <v>1494.8144276129819</v>
      </c>
    </row>
    <row r="120" spans="1:14" x14ac:dyDescent="0.25">
      <c r="A120" s="181" t="s">
        <v>125</v>
      </c>
      <c r="B120" s="182" t="s">
        <v>124</v>
      </c>
      <c r="C120" s="191">
        <f>IF(C115="Lucro presumido",0.65%,1.65%)</f>
        <v>6.5000000000000006E-3</v>
      </c>
      <c r="D120" s="219" t="s">
        <v>123</v>
      </c>
      <c r="E120" s="83" t="s">
        <v>123</v>
      </c>
      <c r="F120" s="83" t="s">
        <v>123</v>
      </c>
      <c r="G120" s="107">
        <f>IF(G115="Lucro presumido",0.65%,1.65%)</f>
        <v>6.5000000000000006E-3</v>
      </c>
      <c r="H120" s="92" t="s">
        <v>123</v>
      </c>
      <c r="I120" s="106"/>
      <c r="J120" s="92" t="s">
        <v>123</v>
      </c>
      <c r="K120" s="106"/>
      <c r="L120" s="92" t="s">
        <v>123</v>
      </c>
      <c r="M120" s="106"/>
      <c r="N120" s="92" t="s">
        <v>123</v>
      </c>
    </row>
    <row r="121" spans="1:14" x14ac:dyDescent="0.25">
      <c r="A121" s="181" t="s">
        <v>127</v>
      </c>
      <c r="B121" s="182" t="s">
        <v>126</v>
      </c>
      <c r="C121" s="191">
        <f>IF(C115="Lucro presumido",3%,7.6%)</f>
        <v>0.03</v>
      </c>
      <c r="D121" s="219" t="s">
        <v>123</v>
      </c>
      <c r="E121" s="83" t="s">
        <v>123</v>
      </c>
      <c r="F121" s="83" t="s">
        <v>123</v>
      </c>
      <c r="G121" s="107">
        <f>IF(G115="Lucro presumido",3%,7.6%)</f>
        <v>0.03</v>
      </c>
      <c r="H121" s="92" t="s">
        <v>123</v>
      </c>
      <c r="I121" s="106"/>
      <c r="J121" s="92" t="s">
        <v>123</v>
      </c>
      <c r="K121" s="106"/>
      <c r="L121" s="92" t="s">
        <v>123</v>
      </c>
      <c r="M121" s="106"/>
      <c r="N121" s="92" t="s">
        <v>123</v>
      </c>
    </row>
    <row r="122" spans="1:14" x14ac:dyDescent="0.25">
      <c r="A122" s="181" t="s">
        <v>129</v>
      </c>
      <c r="B122" s="182" t="s">
        <v>128</v>
      </c>
      <c r="C122" s="191">
        <v>0.05</v>
      </c>
      <c r="D122" s="219" t="s">
        <v>123</v>
      </c>
      <c r="E122" s="83" t="s">
        <v>123</v>
      </c>
      <c r="F122" s="83" t="s">
        <v>123</v>
      </c>
      <c r="G122" s="107">
        <v>0.05</v>
      </c>
      <c r="H122" s="92" t="s">
        <v>123</v>
      </c>
      <c r="I122" s="106"/>
      <c r="J122" s="92" t="s">
        <v>123</v>
      </c>
      <c r="K122" s="106"/>
      <c r="L122" s="92" t="s">
        <v>123</v>
      </c>
      <c r="M122" s="106"/>
      <c r="N122" s="92" t="s">
        <v>123</v>
      </c>
    </row>
    <row r="123" spans="1:14" ht="30" x14ac:dyDescent="0.25">
      <c r="A123" s="161" t="s">
        <v>12</v>
      </c>
      <c r="B123" s="163" t="s">
        <v>132</v>
      </c>
      <c r="C123" s="191">
        <v>4.4999999999999998E-2</v>
      </c>
      <c r="D123" s="92">
        <f>(D135+D118+D117)*(C123/IF(C115="Lucro presumido",91.45%,85.75%))</f>
        <v>715.85470841300184</v>
      </c>
      <c r="E123" s="83">
        <f>(E$135+E$118+E$117)*($C123/IF($C115="Lucro presumido",91.45%,85.75%))</f>
        <v>740.05814468411143</v>
      </c>
      <c r="F123" s="83">
        <f>(F$135+F$118+F$117)*($C123/IF($C115="Lucro presumido",91.45%,85.75%))</f>
        <v>740.48935167675018</v>
      </c>
      <c r="G123" s="107">
        <v>4.4999999999999998E-2</v>
      </c>
      <c r="H123" s="92">
        <f>(H$135+H$118+H$117)*(G123/IF(G115="Lucro presumido",91.45%,85.75%))</f>
        <v>737.8035607779625</v>
      </c>
      <c r="I123" s="106"/>
      <c r="J123" s="92">
        <f>(J$135+J$118+J$117)*(G123/IF(J115="Lucro presumido",91.45%,85.75%))</f>
        <v>725.57595619988433</v>
      </c>
      <c r="K123" s="106"/>
      <c r="L123" s="92">
        <f>(L$135+L$118+L$117)*(G123/IF(L115="Lucro presumido",91.45%,85.75%))</f>
        <v>769.06283285866641</v>
      </c>
      <c r="M123" s="106"/>
      <c r="N123" s="92">
        <f>(N$135+N$118+N$117)*(G123/IF(N115="Lucro presumido",91.45%,85.75%))</f>
        <v>777.6491241917247</v>
      </c>
    </row>
    <row r="124" spans="1:14" x14ac:dyDescent="0.25">
      <c r="A124" s="466" t="s">
        <v>18</v>
      </c>
      <c r="B124" s="467"/>
      <c r="C124" s="193">
        <f>SUM(C117:C119)+(C123)</f>
        <v>0.2268855410228478</v>
      </c>
      <c r="D124" s="233">
        <f>SUM(D117:D119)+D123</f>
        <v>3358.6969516911572</v>
      </c>
      <c r="E124" s="83">
        <f>SUM(E117:E119)+E123</f>
        <v>3472.2563187929609</v>
      </c>
      <c r="F124" s="83">
        <f>SUM(F117:F119)+F123</f>
        <v>3474.2794857774102</v>
      </c>
      <c r="G124" s="194">
        <f>SUM(G117:G119)+(G123)</f>
        <v>0.2268855410228478</v>
      </c>
      <c r="H124" s="92">
        <f>SUM(H117:H119)+H123</f>
        <v>3461.6781050801505</v>
      </c>
      <c r="I124" s="106"/>
      <c r="J124" s="92">
        <f>SUM(J117:J119)+J123</f>
        <v>3404.3077787552425</v>
      </c>
      <c r="K124" s="106"/>
      <c r="L124" s="92">
        <f>SUM(L117:L119)+L123</f>
        <v>3608.3425337912513</v>
      </c>
      <c r="M124" s="106"/>
      <c r="N124" s="92">
        <f>SUM(N117:N119)+N123</f>
        <v>3648.6282931607866</v>
      </c>
    </row>
    <row r="125" spans="1:14" x14ac:dyDescent="0.25">
      <c r="A125" s="468" t="s">
        <v>81</v>
      </c>
      <c r="B125" s="469"/>
      <c r="C125" s="469"/>
      <c r="D125" s="470"/>
      <c r="E125" s="115"/>
      <c r="F125" s="115"/>
      <c r="G125" s="170"/>
      <c r="H125" s="160"/>
      <c r="I125" s="170"/>
      <c r="J125" s="160"/>
      <c r="K125" s="170"/>
      <c r="L125" s="371"/>
      <c r="M125" s="170"/>
      <c r="N125" s="371"/>
    </row>
    <row r="126" spans="1:14" x14ac:dyDescent="0.25">
      <c r="A126" s="468" t="s">
        <v>131</v>
      </c>
      <c r="B126" s="469"/>
      <c r="C126" s="469"/>
      <c r="D126" s="470"/>
      <c r="E126" s="115"/>
      <c r="F126" s="115"/>
      <c r="G126" s="170"/>
      <c r="H126" s="160"/>
      <c r="I126" s="170"/>
      <c r="J126" s="160"/>
      <c r="K126" s="170"/>
      <c r="L126" s="371"/>
      <c r="M126" s="170"/>
      <c r="N126" s="371"/>
    </row>
    <row r="127" spans="1:14" x14ac:dyDescent="0.25">
      <c r="A127" s="229"/>
      <c r="B127" s="182"/>
      <c r="C127" s="182"/>
      <c r="D127" s="230"/>
      <c r="E127" s="115"/>
      <c r="F127" s="115"/>
      <c r="G127" s="170"/>
      <c r="H127" s="160"/>
      <c r="I127" s="170"/>
      <c r="J127" s="160"/>
      <c r="K127" s="170"/>
      <c r="L127" s="371"/>
      <c r="M127" s="170"/>
      <c r="N127" s="371"/>
    </row>
    <row r="128" spans="1:14" x14ac:dyDescent="0.25">
      <c r="A128" s="481" t="s">
        <v>117</v>
      </c>
      <c r="B128" s="482"/>
      <c r="C128" s="482"/>
      <c r="D128" s="483"/>
      <c r="E128" s="115"/>
      <c r="F128" s="115"/>
      <c r="G128" s="170"/>
      <c r="H128" s="160"/>
      <c r="I128" s="170"/>
      <c r="J128" s="160"/>
      <c r="K128" s="170"/>
      <c r="L128" s="371"/>
      <c r="M128" s="170"/>
      <c r="N128" s="371"/>
    </row>
    <row r="129" spans="1:14" ht="30" x14ac:dyDescent="0.25">
      <c r="A129" s="466" t="s">
        <v>82</v>
      </c>
      <c r="B129" s="467"/>
      <c r="C129" s="467"/>
      <c r="D129" s="93" t="s">
        <v>75</v>
      </c>
      <c r="E129" s="169" t="s">
        <v>167</v>
      </c>
      <c r="F129" s="169" t="s">
        <v>168</v>
      </c>
      <c r="G129" s="170"/>
      <c r="H129" s="171" t="s">
        <v>210</v>
      </c>
      <c r="I129" s="170"/>
      <c r="J129" s="171" t="s">
        <v>209</v>
      </c>
      <c r="K129" s="170"/>
      <c r="L129" s="378" t="s">
        <v>209</v>
      </c>
      <c r="M129" s="170"/>
      <c r="N129" s="378" t="s">
        <v>209</v>
      </c>
    </row>
    <row r="130" spans="1:14" x14ac:dyDescent="0.25">
      <c r="A130" s="161" t="s">
        <v>6</v>
      </c>
      <c r="B130" s="474" t="s">
        <v>76</v>
      </c>
      <c r="C130" s="474"/>
      <c r="D130" s="218">
        <f>D19</f>
        <v>8683.4</v>
      </c>
      <c r="E130" s="83">
        <f>E19</f>
        <v>8982.9772999999986</v>
      </c>
      <c r="F130" s="83">
        <f>F19</f>
        <v>8982.9772999999986</v>
      </c>
      <c r="G130" s="170"/>
      <c r="H130" s="92">
        <f>H19</f>
        <v>8982.9772999999986</v>
      </c>
      <c r="I130" s="170"/>
      <c r="J130" s="92">
        <f>J19</f>
        <v>8982.9772999999986</v>
      </c>
      <c r="K130" s="170"/>
      <c r="L130" s="92">
        <f>L19</f>
        <v>9521.9559379999992</v>
      </c>
      <c r="M130" s="170"/>
      <c r="N130" s="92">
        <f>N19</f>
        <v>9701.6154839999999</v>
      </c>
    </row>
    <row r="131" spans="1:14" x14ac:dyDescent="0.25">
      <c r="A131" s="161" t="s">
        <v>8</v>
      </c>
      <c r="B131" s="474" t="s">
        <v>20</v>
      </c>
      <c r="C131" s="474"/>
      <c r="D131" s="218">
        <f>D65</f>
        <v>3827.5617119999997</v>
      </c>
      <c r="E131" s="83">
        <f>E65</f>
        <v>3950.4559460639994</v>
      </c>
      <c r="F131" s="83">
        <f>F65</f>
        <v>3958.4559460639994</v>
      </c>
      <c r="G131" s="170"/>
      <c r="H131" s="92">
        <f>H65</f>
        <v>3909.7706371866661</v>
      </c>
      <c r="I131" s="170"/>
      <c r="J131" s="92">
        <f>J65</f>
        <v>3909.7706371866661</v>
      </c>
      <c r="K131" s="170"/>
      <c r="L131" s="92">
        <f>L65</f>
        <v>4143.4722754178665</v>
      </c>
      <c r="M131" s="170"/>
      <c r="N131" s="92">
        <f>N65</f>
        <v>4111.7394561600004</v>
      </c>
    </row>
    <row r="132" spans="1:14" x14ac:dyDescent="0.25">
      <c r="A132" s="161" t="s">
        <v>10</v>
      </c>
      <c r="B132" s="474" t="s">
        <v>77</v>
      </c>
      <c r="C132" s="474"/>
      <c r="D132" s="218">
        <f>D76</f>
        <v>660.75855736296285</v>
      </c>
      <c r="E132" s="83">
        <f>E76</f>
        <v>683.55472759198506</v>
      </c>
      <c r="F132" s="83">
        <f>F76</f>
        <v>683.55472759198506</v>
      </c>
      <c r="G132" s="170"/>
      <c r="H132" s="92">
        <f>H76</f>
        <v>682.45251325270351</v>
      </c>
      <c r="I132" s="170"/>
      <c r="J132" s="92">
        <f>J76</f>
        <v>455.59896427383984</v>
      </c>
      <c r="K132" s="170"/>
      <c r="L132" s="92">
        <f>L76</f>
        <v>482.93490213027025</v>
      </c>
      <c r="M132" s="170"/>
      <c r="N132" s="92">
        <f>N76</f>
        <v>492.04688141574712</v>
      </c>
    </row>
    <row r="133" spans="1:14" x14ac:dyDescent="0.25">
      <c r="A133" s="161" t="s">
        <v>12</v>
      </c>
      <c r="B133" s="474" t="s">
        <v>52</v>
      </c>
      <c r="C133" s="474"/>
      <c r="D133" s="218">
        <f>D103</f>
        <v>109.22777894587904</v>
      </c>
      <c r="E133" s="83">
        <f>E103</f>
        <v>112.99613731951185</v>
      </c>
      <c r="F133" s="83">
        <f>F103</f>
        <v>112.99613731951185</v>
      </c>
      <c r="G133" s="170"/>
      <c r="H133" s="92">
        <f>H103</f>
        <v>112.95532389712017</v>
      </c>
      <c r="I133" s="170"/>
      <c r="J133" s="92">
        <f>J103</f>
        <v>112.95532389712017</v>
      </c>
      <c r="K133" s="170"/>
      <c r="L133" s="92">
        <f>L103</f>
        <v>119.73264333094741</v>
      </c>
      <c r="M133" s="170"/>
      <c r="N133" s="92">
        <f>N103</f>
        <v>121.99174980888981</v>
      </c>
    </row>
    <row r="134" spans="1:14" x14ac:dyDescent="0.25">
      <c r="A134" s="161" t="s">
        <v>14</v>
      </c>
      <c r="B134" s="474" t="s">
        <v>66</v>
      </c>
      <c r="C134" s="474"/>
      <c r="D134" s="218">
        <f>D111</f>
        <v>0</v>
      </c>
      <c r="E134" s="83">
        <f>E111</f>
        <v>0</v>
      </c>
      <c r="F134" s="83">
        <f>F111</f>
        <v>0</v>
      </c>
      <c r="G134" s="170"/>
      <c r="H134" s="92">
        <f>H111</f>
        <v>0</v>
      </c>
      <c r="I134" s="170"/>
      <c r="J134" s="92">
        <f>J111</f>
        <v>0</v>
      </c>
      <c r="K134" s="170"/>
      <c r="L134" s="92">
        <f>L111</f>
        <v>0</v>
      </c>
      <c r="M134" s="170"/>
      <c r="N134" s="92">
        <f>N111</f>
        <v>0</v>
      </c>
    </row>
    <row r="135" spans="1:14" x14ac:dyDescent="0.25">
      <c r="A135" s="466" t="s">
        <v>78</v>
      </c>
      <c r="B135" s="467"/>
      <c r="C135" s="467"/>
      <c r="D135" s="218">
        <f>SUM(D130:D134)</f>
        <v>13280.948048308841</v>
      </c>
      <c r="E135" s="83">
        <f>SUM(E130:E134)</f>
        <v>13729.984110975494</v>
      </c>
      <c r="F135" s="83">
        <f>SUM(F130:F134)</f>
        <v>13737.984110975494</v>
      </c>
      <c r="G135" s="170"/>
      <c r="H135" s="92">
        <f>SUM(H130:H134)</f>
        <v>13688.155774336488</v>
      </c>
      <c r="I135" s="170"/>
      <c r="J135" s="92">
        <f>SUM(J130:J134)</f>
        <v>13461.302225357626</v>
      </c>
      <c r="K135" s="170"/>
      <c r="L135" s="92">
        <f>SUM(L130:L134)</f>
        <v>14268.095758879082</v>
      </c>
      <c r="M135" s="170"/>
      <c r="N135" s="92">
        <f>SUM(N130:N134)</f>
        <v>14427.393571384635</v>
      </c>
    </row>
    <row r="136" spans="1:14" x14ac:dyDescent="0.25">
      <c r="A136" s="181" t="s">
        <v>16</v>
      </c>
      <c r="B136" s="475" t="s">
        <v>71</v>
      </c>
      <c r="C136" s="475"/>
      <c r="D136" s="218">
        <f>D124</f>
        <v>3358.6969516911572</v>
      </c>
      <c r="E136" s="83">
        <f>E124</f>
        <v>3472.2563187929609</v>
      </c>
      <c r="F136" s="83">
        <f>F124</f>
        <v>3474.2794857774102</v>
      </c>
      <c r="G136" s="170"/>
      <c r="H136" s="92">
        <f>H124</f>
        <v>3461.6781050801505</v>
      </c>
      <c r="I136" s="170"/>
      <c r="J136" s="92">
        <f>J124</f>
        <v>3404.3077787552425</v>
      </c>
      <c r="K136" s="170"/>
      <c r="L136" s="92">
        <f>L124</f>
        <v>3608.3425337912513</v>
      </c>
      <c r="M136" s="170"/>
      <c r="N136" s="92">
        <f>N124</f>
        <v>3648.6282931607866</v>
      </c>
    </row>
    <row r="137" spans="1:14" ht="15.75" thickBot="1" x14ac:dyDescent="0.3">
      <c r="A137" s="485" t="s">
        <v>79</v>
      </c>
      <c r="B137" s="486"/>
      <c r="C137" s="486"/>
      <c r="D137" s="236">
        <f>SUM(D135:D136)</f>
        <v>16639.644999999997</v>
      </c>
      <c r="E137" s="213">
        <f>SUM(E135:E136)</f>
        <v>17202.240429768455</v>
      </c>
      <c r="F137" s="213">
        <f>SUM(F135:F136)</f>
        <v>17212.263596752906</v>
      </c>
      <c r="G137" s="214"/>
      <c r="H137" s="215">
        <f>SUM(H135:H136)</f>
        <v>17149.833879416638</v>
      </c>
      <c r="I137" s="214"/>
      <c r="J137" s="215">
        <f>SUM(J135:J136)</f>
        <v>16865.610004112867</v>
      </c>
      <c r="K137" s="214"/>
      <c r="L137" s="215">
        <f>SUM(L135:L136)</f>
        <v>17876.438292670333</v>
      </c>
      <c r="M137" s="214"/>
      <c r="N137" s="215">
        <f>SUM(N135:N136)</f>
        <v>18076.021864545422</v>
      </c>
    </row>
  </sheetData>
  <mergeCells count="112">
    <mergeCell ref="B13:C13"/>
    <mergeCell ref="A10:D10"/>
    <mergeCell ref="A3:D3"/>
    <mergeCell ref="C4:D4"/>
    <mergeCell ref="C5:D5"/>
    <mergeCell ref="C6:D6"/>
    <mergeCell ref="C7:D7"/>
    <mergeCell ref="A76:B76"/>
    <mergeCell ref="A47:D47"/>
    <mergeCell ref="C8:D8"/>
    <mergeCell ref="A58:D58"/>
    <mergeCell ref="A60:D60"/>
    <mergeCell ref="A67:D67"/>
    <mergeCell ref="A30:D30"/>
    <mergeCell ref="A32:D32"/>
    <mergeCell ref="A42:B42"/>
    <mergeCell ref="B12:C12"/>
    <mergeCell ref="A29:D29"/>
    <mergeCell ref="C9:D9"/>
    <mergeCell ref="B14:C14"/>
    <mergeCell ref="B15:C15"/>
    <mergeCell ref="B16:C16"/>
    <mergeCell ref="A11:D11"/>
    <mergeCell ref="A20:D20"/>
    <mergeCell ref="A22:D22"/>
    <mergeCell ref="A23:D23"/>
    <mergeCell ref="A28:D28"/>
    <mergeCell ref="A27:B27"/>
    <mergeCell ref="B17:C17"/>
    <mergeCell ref="B18:C18"/>
    <mergeCell ref="A19:C19"/>
    <mergeCell ref="B136:C136"/>
    <mergeCell ref="A137:C137"/>
    <mergeCell ref="A125:D125"/>
    <mergeCell ref="A83:D83"/>
    <mergeCell ref="A91:B91"/>
    <mergeCell ref="A94:D94"/>
    <mergeCell ref="A97:B97"/>
    <mergeCell ref="A99:D99"/>
    <mergeCell ref="A105:D105"/>
    <mergeCell ref="A112:D112"/>
    <mergeCell ref="A114:D114"/>
    <mergeCell ref="A124:B124"/>
    <mergeCell ref="B107:C107"/>
    <mergeCell ref="B133:C133"/>
    <mergeCell ref="B134:C134"/>
    <mergeCell ref="A135:C135"/>
    <mergeCell ref="B131:C131"/>
    <mergeCell ref="B132:C132"/>
    <mergeCell ref="B130:C130"/>
    <mergeCell ref="A126:D126"/>
    <mergeCell ref="A80:D80"/>
    <mergeCell ref="B110:C110"/>
    <mergeCell ref="A129:C129"/>
    <mergeCell ref="A115:B115"/>
    <mergeCell ref="C115:D115"/>
    <mergeCell ref="B108:C108"/>
    <mergeCell ref="B109:C109"/>
    <mergeCell ref="A128:D128"/>
    <mergeCell ref="B100:C100"/>
    <mergeCell ref="B101:C101"/>
    <mergeCell ref="A103:C103"/>
    <mergeCell ref="B106:C106"/>
    <mergeCell ref="A92:D92"/>
    <mergeCell ref="A1:D2"/>
    <mergeCell ref="G115:H115"/>
    <mergeCell ref="G4:H4"/>
    <mergeCell ref="G6:H6"/>
    <mergeCell ref="G7:H7"/>
    <mergeCell ref="G8:H8"/>
    <mergeCell ref="G9:H9"/>
    <mergeCell ref="G5:H5"/>
    <mergeCell ref="A111:C111"/>
    <mergeCell ref="A81:D81"/>
    <mergeCell ref="A45:D45"/>
    <mergeCell ref="A46:D46"/>
    <mergeCell ref="A49:D49"/>
    <mergeCell ref="A57:D57"/>
    <mergeCell ref="A77:D77"/>
    <mergeCell ref="A78:D78"/>
    <mergeCell ref="B62:C62"/>
    <mergeCell ref="A56:C56"/>
    <mergeCell ref="B63:C63"/>
    <mergeCell ref="B64:C64"/>
    <mergeCell ref="A65:C65"/>
    <mergeCell ref="B61:C61"/>
    <mergeCell ref="A43:D43"/>
    <mergeCell ref="A44:D44"/>
    <mergeCell ref="G10:H10"/>
    <mergeCell ref="I10:J10"/>
    <mergeCell ref="K10:L10"/>
    <mergeCell ref="M10:N10"/>
    <mergeCell ref="K1:N3"/>
    <mergeCell ref="K9:L9"/>
    <mergeCell ref="M4:N4"/>
    <mergeCell ref="M5:N5"/>
    <mergeCell ref="M6:N6"/>
    <mergeCell ref="M7:N7"/>
    <mergeCell ref="M8:N8"/>
    <mergeCell ref="M9:N9"/>
    <mergeCell ref="K4:L4"/>
    <mergeCell ref="K5:L5"/>
    <mergeCell ref="K6:L6"/>
    <mergeCell ref="K7:L7"/>
    <mergeCell ref="K8:L8"/>
    <mergeCell ref="I4:J4"/>
    <mergeCell ref="I5:J5"/>
    <mergeCell ref="I6:J6"/>
    <mergeCell ref="I7:J7"/>
    <mergeCell ref="I8:J8"/>
    <mergeCell ref="I9:J9"/>
    <mergeCell ref="E1:J3"/>
  </mergeCells>
  <dataValidations disablePrompts="1" count="1">
    <dataValidation type="list" allowBlank="1" showInputMessage="1" showErrorMessage="1" sqref="C115:G115 I115:N115" xr:uid="{00000000-0002-0000-01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7E41-051C-4F53-9E46-CC7EF74CACEB}">
  <dimension ref="A1:N137"/>
  <sheetViews>
    <sheetView zoomScaleNormal="100" workbookViewId="0">
      <selection activeCell="Q12" sqref="Q12"/>
    </sheetView>
  </sheetViews>
  <sheetFormatPr defaultRowHeight="15" x14ac:dyDescent="0.25"/>
  <cols>
    <col min="1" max="1" width="4.7109375" style="216" bestFit="1" customWidth="1"/>
    <col min="2" max="2" width="46.28515625" style="217" bestFit="1" customWidth="1"/>
    <col min="3" max="3" width="14.140625" style="217" bestFit="1" customWidth="1"/>
    <col min="4" max="4" width="10.5703125" style="216" bestFit="1" customWidth="1"/>
    <col min="5" max="10" width="20.7109375" style="216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495" t="s">
        <v>98</v>
      </c>
      <c r="B1" s="496"/>
      <c r="C1" s="496"/>
      <c r="D1" s="496"/>
      <c r="E1" s="445" t="s">
        <v>225</v>
      </c>
      <c r="F1" s="451"/>
      <c r="G1" s="451"/>
      <c r="H1" s="451"/>
      <c r="I1" s="451"/>
      <c r="J1" s="446"/>
      <c r="K1" s="434" t="s">
        <v>267</v>
      </c>
      <c r="L1" s="435"/>
      <c r="M1" s="435"/>
      <c r="N1" s="436"/>
    </row>
    <row r="2" spans="1:14" x14ac:dyDescent="0.25">
      <c r="A2" s="497"/>
      <c r="B2" s="498"/>
      <c r="C2" s="498"/>
      <c r="D2" s="498"/>
      <c r="E2" s="452"/>
      <c r="F2" s="453"/>
      <c r="G2" s="453"/>
      <c r="H2" s="453"/>
      <c r="I2" s="453"/>
      <c r="J2" s="454"/>
      <c r="K2" s="437"/>
      <c r="L2" s="438"/>
      <c r="M2" s="438"/>
      <c r="N2" s="439"/>
    </row>
    <row r="3" spans="1:14" ht="15.75" thickBot="1" x14ac:dyDescent="0.3">
      <c r="A3" s="466" t="s">
        <v>0</v>
      </c>
      <c r="B3" s="467"/>
      <c r="C3" s="467"/>
      <c r="D3" s="503"/>
      <c r="E3" s="455"/>
      <c r="F3" s="456"/>
      <c r="G3" s="456"/>
      <c r="H3" s="456"/>
      <c r="I3" s="456"/>
      <c r="J3" s="457"/>
      <c r="K3" s="440"/>
      <c r="L3" s="441"/>
      <c r="M3" s="441"/>
      <c r="N3" s="442"/>
    </row>
    <row r="4" spans="1:14" ht="30" x14ac:dyDescent="0.25">
      <c r="A4" s="161">
        <v>1</v>
      </c>
      <c r="B4" s="162" t="s">
        <v>1</v>
      </c>
      <c r="C4" s="512" t="s">
        <v>150</v>
      </c>
      <c r="D4" s="513"/>
      <c r="E4" s="114" t="s">
        <v>150</v>
      </c>
      <c r="F4" s="114" t="s">
        <v>150</v>
      </c>
      <c r="G4" s="445" t="s">
        <v>150</v>
      </c>
      <c r="H4" s="446"/>
      <c r="I4" s="445" t="s">
        <v>150</v>
      </c>
      <c r="J4" s="446"/>
      <c r="K4" s="445" t="s">
        <v>150</v>
      </c>
      <c r="L4" s="446"/>
      <c r="M4" s="445" t="s">
        <v>150</v>
      </c>
      <c r="N4" s="446"/>
    </row>
    <row r="5" spans="1:14" x14ac:dyDescent="0.25">
      <c r="A5" s="159">
        <v>2</v>
      </c>
      <c r="B5" s="163" t="s">
        <v>2</v>
      </c>
      <c r="C5" s="491"/>
      <c r="D5" s="514"/>
      <c r="E5" s="115"/>
      <c r="F5" s="115"/>
      <c r="G5" s="432"/>
      <c r="H5" s="433"/>
      <c r="I5" s="432"/>
      <c r="J5" s="433"/>
      <c r="K5" s="432"/>
      <c r="L5" s="433"/>
      <c r="M5" s="432"/>
      <c r="N5" s="433"/>
    </row>
    <row r="6" spans="1:14" x14ac:dyDescent="0.25">
      <c r="A6" s="159">
        <v>3</v>
      </c>
      <c r="B6" s="163" t="s">
        <v>100</v>
      </c>
      <c r="C6" s="492">
        <v>7487.67</v>
      </c>
      <c r="D6" s="515"/>
      <c r="E6" s="85">
        <f>$C$6*1.0345</f>
        <v>7745.9946149999996</v>
      </c>
      <c r="F6" s="85">
        <f>E6</f>
        <v>7745.9946149999996</v>
      </c>
      <c r="G6" s="447">
        <f>F6</f>
        <v>7745.9946149999996</v>
      </c>
      <c r="H6" s="448"/>
      <c r="I6" s="447">
        <f>G6</f>
        <v>7745.9946149999996</v>
      </c>
      <c r="J6" s="448"/>
      <c r="K6" s="447">
        <f>$I$6*1.06</f>
        <v>8210.7542919000007</v>
      </c>
      <c r="L6" s="448"/>
      <c r="M6" s="447">
        <f>I6*1.08</f>
        <v>8365.674184200001</v>
      </c>
      <c r="N6" s="448"/>
    </row>
    <row r="7" spans="1:14" ht="30" x14ac:dyDescent="0.25">
      <c r="A7" s="159">
        <v>4</v>
      </c>
      <c r="B7" s="163" t="s">
        <v>101</v>
      </c>
      <c r="C7" s="493" t="s">
        <v>153</v>
      </c>
      <c r="D7" s="516"/>
      <c r="E7" s="104" t="s">
        <v>153</v>
      </c>
      <c r="F7" s="104" t="s">
        <v>153</v>
      </c>
      <c r="G7" s="449" t="s">
        <v>153</v>
      </c>
      <c r="H7" s="450"/>
      <c r="I7" s="449" t="s">
        <v>153</v>
      </c>
      <c r="J7" s="450"/>
      <c r="K7" s="449" t="s">
        <v>153</v>
      </c>
      <c r="L7" s="450"/>
      <c r="M7" s="449" t="s">
        <v>153</v>
      </c>
      <c r="N7" s="450"/>
    </row>
    <row r="8" spans="1:14" x14ac:dyDescent="0.25">
      <c r="A8" s="159">
        <v>5</v>
      </c>
      <c r="B8" s="163" t="s">
        <v>3</v>
      </c>
      <c r="C8" s="494">
        <v>43922</v>
      </c>
      <c r="D8" s="514"/>
      <c r="E8" s="86">
        <v>44287</v>
      </c>
      <c r="F8" s="86">
        <v>44287</v>
      </c>
      <c r="G8" s="443">
        <v>44287</v>
      </c>
      <c r="H8" s="444"/>
      <c r="I8" s="443">
        <v>44287</v>
      </c>
      <c r="J8" s="444"/>
      <c r="K8" s="443">
        <v>44652</v>
      </c>
      <c r="L8" s="444"/>
      <c r="M8" s="443">
        <v>44652</v>
      </c>
      <c r="N8" s="444"/>
    </row>
    <row r="9" spans="1:14" ht="15.75" thickBot="1" x14ac:dyDescent="0.3">
      <c r="A9" s="164">
        <v>6</v>
      </c>
      <c r="B9" s="165" t="s">
        <v>102</v>
      </c>
      <c r="C9" s="517"/>
      <c r="D9" s="518"/>
      <c r="E9" s="166" t="s">
        <v>166</v>
      </c>
      <c r="F9" s="166" t="s">
        <v>166</v>
      </c>
      <c r="G9" s="525" t="s">
        <v>166</v>
      </c>
      <c r="H9" s="526"/>
      <c r="I9" s="525" t="s">
        <v>166</v>
      </c>
      <c r="J9" s="526"/>
      <c r="K9" s="525" t="s">
        <v>261</v>
      </c>
      <c r="L9" s="526"/>
      <c r="M9" s="525" t="s">
        <v>261</v>
      </c>
      <c r="N9" s="526"/>
    </row>
    <row r="10" spans="1:14" ht="15.75" thickBot="1" x14ac:dyDescent="0.3">
      <c r="A10" s="522"/>
      <c r="B10" s="523"/>
      <c r="C10" s="523"/>
      <c r="D10" s="524"/>
      <c r="E10" s="225"/>
      <c r="F10" s="225"/>
      <c r="G10" s="522"/>
      <c r="H10" s="524"/>
      <c r="I10" s="522"/>
      <c r="J10" s="524"/>
      <c r="K10" s="522"/>
      <c r="L10" s="524"/>
      <c r="M10" s="522"/>
      <c r="N10" s="524"/>
    </row>
    <row r="11" spans="1:14" ht="90" x14ac:dyDescent="0.25">
      <c r="A11" s="519" t="s">
        <v>76</v>
      </c>
      <c r="B11" s="520"/>
      <c r="C11" s="520"/>
      <c r="D11" s="521"/>
      <c r="E11" s="261" t="s">
        <v>226</v>
      </c>
      <c r="F11" s="261" t="s">
        <v>227</v>
      </c>
      <c r="G11" s="262"/>
      <c r="H11" s="263" t="s">
        <v>228</v>
      </c>
      <c r="I11" s="262"/>
      <c r="J11" s="263" t="s">
        <v>229</v>
      </c>
      <c r="K11" s="262"/>
      <c r="L11" s="263" t="s">
        <v>263</v>
      </c>
      <c r="M11" s="262"/>
      <c r="N11" s="260" t="s">
        <v>271</v>
      </c>
    </row>
    <row r="12" spans="1:14" ht="30" x14ac:dyDescent="0.25">
      <c r="A12" s="187">
        <v>1</v>
      </c>
      <c r="B12" s="476" t="s">
        <v>4</v>
      </c>
      <c r="C12" s="476"/>
      <c r="D12" s="168" t="s">
        <v>5</v>
      </c>
      <c r="E12" s="169" t="s">
        <v>167</v>
      </c>
      <c r="F12" s="169" t="s">
        <v>168</v>
      </c>
      <c r="G12" s="170"/>
      <c r="H12" s="171" t="s">
        <v>210</v>
      </c>
      <c r="I12" s="170"/>
      <c r="J12" s="171" t="s">
        <v>209</v>
      </c>
      <c r="K12" s="170"/>
      <c r="L12" s="378" t="s">
        <v>262</v>
      </c>
      <c r="M12" s="170"/>
      <c r="N12" s="378" t="s">
        <v>264</v>
      </c>
    </row>
    <row r="13" spans="1:14" x14ac:dyDescent="0.25">
      <c r="A13" s="181" t="s">
        <v>6</v>
      </c>
      <c r="B13" s="475" t="s">
        <v>7</v>
      </c>
      <c r="C13" s="475"/>
      <c r="D13" s="172">
        <f>C6</f>
        <v>7487.67</v>
      </c>
      <c r="E13" s="83">
        <f>E6</f>
        <v>7745.9946149999996</v>
      </c>
      <c r="F13" s="83">
        <f>F6</f>
        <v>7745.9946149999996</v>
      </c>
      <c r="G13" s="170"/>
      <c r="H13" s="92">
        <f>G6</f>
        <v>7745.9946149999996</v>
      </c>
      <c r="I13" s="170"/>
      <c r="J13" s="92">
        <f>I6</f>
        <v>7745.9946149999996</v>
      </c>
      <c r="K13" s="170"/>
      <c r="L13" s="92">
        <f>K6</f>
        <v>8210.7542919000007</v>
      </c>
      <c r="M13" s="170"/>
      <c r="N13" s="92">
        <f>M6</f>
        <v>8365.674184200001</v>
      </c>
    </row>
    <row r="14" spans="1:14" x14ac:dyDescent="0.25">
      <c r="A14" s="181" t="s">
        <v>8</v>
      </c>
      <c r="B14" s="475" t="s">
        <v>9</v>
      </c>
      <c r="C14" s="475"/>
      <c r="D14" s="172">
        <v>0</v>
      </c>
      <c r="E14" s="83">
        <v>0</v>
      </c>
      <c r="F14" s="83">
        <v>0</v>
      </c>
      <c r="G14" s="170"/>
      <c r="H14" s="92">
        <v>0</v>
      </c>
      <c r="I14" s="170"/>
      <c r="J14" s="92">
        <v>0</v>
      </c>
      <c r="K14" s="170"/>
      <c r="L14" s="92">
        <v>0</v>
      </c>
      <c r="M14" s="170"/>
      <c r="N14" s="92">
        <v>0</v>
      </c>
    </row>
    <row r="15" spans="1:14" x14ac:dyDescent="0.25">
      <c r="A15" s="181" t="s">
        <v>10</v>
      </c>
      <c r="B15" s="475" t="s">
        <v>11</v>
      </c>
      <c r="C15" s="475"/>
      <c r="D15" s="172">
        <v>0</v>
      </c>
      <c r="E15" s="83">
        <v>0</v>
      </c>
      <c r="F15" s="83">
        <v>0</v>
      </c>
      <c r="G15" s="170"/>
      <c r="H15" s="92">
        <v>0</v>
      </c>
      <c r="I15" s="170"/>
      <c r="J15" s="92">
        <v>0</v>
      </c>
      <c r="K15" s="170"/>
      <c r="L15" s="92">
        <v>0</v>
      </c>
      <c r="M15" s="170"/>
      <c r="N15" s="92">
        <v>0</v>
      </c>
    </row>
    <row r="16" spans="1:14" x14ac:dyDescent="0.25">
      <c r="A16" s="181" t="s">
        <v>12</v>
      </c>
      <c r="B16" s="475" t="s">
        <v>13</v>
      </c>
      <c r="C16" s="475"/>
      <c r="D16" s="172">
        <v>0</v>
      </c>
      <c r="E16" s="83">
        <v>0</v>
      </c>
      <c r="F16" s="83">
        <v>0</v>
      </c>
      <c r="G16" s="170"/>
      <c r="H16" s="92">
        <v>0</v>
      </c>
      <c r="I16" s="170"/>
      <c r="J16" s="92">
        <v>0</v>
      </c>
      <c r="K16" s="170"/>
      <c r="L16" s="92">
        <v>0</v>
      </c>
      <c r="M16" s="170"/>
      <c r="N16" s="92">
        <v>0</v>
      </c>
    </row>
    <row r="17" spans="1:14" x14ac:dyDescent="0.25">
      <c r="A17" s="181" t="s">
        <v>14</v>
      </c>
      <c r="B17" s="475" t="s">
        <v>15</v>
      </c>
      <c r="C17" s="475"/>
      <c r="D17" s="172">
        <v>0</v>
      </c>
      <c r="E17" s="83">
        <v>0</v>
      </c>
      <c r="F17" s="83">
        <v>0</v>
      </c>
      <c r="G17" s="170"/>
      <c r="H17" s="92">
        <v>0</v>
      </c>
      <c r="I17" s="170"/>
      <c r="J17" s="92">
        <v>0</v>
      </c>
      <c r="K17" s="170"/>
      <c r="L17" s="92">
        <v>0</v>
      </c>
      <c r="M17" s="170"/>
      <c r="N17" s="92">
        <v>0</v>
      </c>
    </row>
    <row r="18" spans="1:14" x14ac:dyDescent="0.25">
      <c r="A18" s="181" t="s">
        <v>16</v>
      </c>
      <c r="B18" s="475" t="s">
        <v>17</v>
      </c>
      <c r="C18" s="475"/>
      <c r="D18" s="172">
        <v>0</v>
      </c>
      <c r="E18" s="83">
        <v>0</v>
      </c>
      <c r="F18" s="83">
        <v>0</v>
      </c>
      <c r="G18" s="170"/>
      <c r="H18" s="92">
        <v>0</v>
      </c>
      <c r="I18" s="170"/>
      <c r="J18" s="92">
        <v>0</v>
      </c>
      <c r="K18" s="170"/>
      <c r="L18" s="92">
        <v>0</v>
      </c>
      <c r="M18" s="170"/>
      <c r="N18" s="92">
        <v>0</v>
      </c>
    </row>
    <row r="19" spans="1:14" x14ac:dyDescent="0.25">
      <c r="A19" s="466" t="s">
        <v>18</v>
      </c>
      <c r="B19" s="467"/>
      <c r="C19" s="467"/>
      <c r="D19" s="172">
        <f>SUM(D13:D18)</f>
        <v>7487.67</v>
      </c>
      <c r="E19" s="83">
        <f>SUM(E13:E18)</f>
        <v>7745.9946149999996</v>
      </c>
      <c r="F19" s="83">
        <f>SUM(F13:F18)</f>
        <v>7745.9946149999996</v>
      </c>
      <c r="G19" s="170"/>
      <c r="H19" s="92">
        <f>SUM(H13:H18)</f>
        <v>7745.9946149999996</v>
      </c>
      <c r="I19" s="170"/>
      <c r="J19" s="92">
        <f>SUM(J13:J18)</f>
        <v>7745.9946149999996</v>
      </c>
      <c r="K19" s="170"/>
      <c r="L19" s="92">
        <f>SUM(L13:L18)</f>
        <v>8210.7542919000007</v>
      </c>
      <c r="M19" s="170"/>
      <c r="N19" s="92">
        <f>SUM(N13:N18)</f>
        <v>8365.674184200001</v>
      </c>
    </row>
    <row r="20" spans="1:14" x14ac:dyDescent="0.25">
      <c r="A20" s="510" t="s">
        <v>19</v>
      </c>
      <c r="B20" s="511"/>
      <c r="C20" s="511"/>
      <c r="D20" s="511"/>
      <c r="E20" s="115"/>
      <c r="F20" s="115"/>
      <c r="G20" s="170"/>
      <c r="H20" s="160"/>
      <c r="I20" s="170"/>
      <c r="J20" s="160"/>
      <c r="K20" s="170"/>
      <c r="L20" s="371"/>
      <c r="M20" s="170"/>
      <c r="N20" s="371"/>
    </row>
    <row r="21" spans="1:14" x14ac:dyDescent="0.25">
      <c r="A21" s="173"/>
      <c r="B21" s="174"/>
      <c r="C21" s="174"/>
      <c r="D21" s="175"/>
      <c r="E21" s="115"/>
      <c r="F21" s="115"/>
      <c r="G21" s="170"/>
      <c r="H21" s="160"/>
      <c r="I21" s="170"/>
      <c r="J21" s="160"/>
      <c r="K21" s="170"/>
      <c r="L21" s="371"/>
      <c r="M21" s="170"/>
      <c r="N21" s="371"/>
    </row>
    <row r="22" spans="1:14" x14ac:dyDescent="0.25">
      <c r="A22" s="466" t="s">
        <v>20</v>
      </c>
      <c r="B22" s="467"/>
      <c r="C22" s="467"/>
      <c r="D22" s="503"/>
      <c r="E22" s="115"/>
      <c r="F22" s="115"/>
      <c r="G22" s="170"/>
      <c r="H22" s="160"/>
      <c r="I22" s="170"/>
      <c r="J22" s="160"/>
      <c r="K22" s="170"/>
      <c r="L22" s="371"/>
      <c r="M22" s="170"/>
      <c r="N22" s="371"/>
    </row>
    <row r="23" spans="1:14" x14ac:dyDescent="0.25">
      <c r="A23" s="466" t="s">
        <v>164</v>
      </c>
      <c r="B23" s="467"/>
      <c r="C23" s="467"/>
      <c r="D23" s="503"/>
      <c r="E23" s="115"/>
      <c r="F23" s="115"/>
      <c r="G23" s="170"/>
      <c r="H23" s="160"/>
      <c r="I23" s="170"/>
      <c r="J23" s="160"/>
      <c r="K23" s="170"/>
      <c r="L23" s="371"/>
      <c r="M23" s="170"/>
      <c r="N23" s="371"/>
    </row>
    <row r="24" spans="1:14" x14ac:dyDescent="0.25">
      <c r="A24" s="176" t="s">
        <v>21</v>
      </c>
      <c r="B24" s="177" t="s">
        <v>163</v>
      </c>
      <c r="C24" s="178" t="s">
        <v>26</v>
      </c>
      <c r="D24" s="179" t="s">
        <v>5</v>
      </c>
      <c r="E24" s="169" t="s">
        <v>5</v>
      </c>
      <c r="F24" s="169" t="s">
        <v>5</v>
      </c>
      <c r="G24" s="180"/>
      <c r="H24" s="171" t="s">
        <v>5</v>
      </c>
      <c r="I24" s="180"/>
      <c r="J24" s="171" t="s">
        <v>5</v>
      </c>
      <c r="K24" s="180"/>
      <c r="L24" s="378" t="s">
        <v>5</v>
      </c>
      <c r="M24" s="180"/>
      <c r="N24" s="378" t="s">
        <v>5</v>
      </c>
    </row>
    <row r="25" spans="1:14" x14ac:dyDescent="0.25">
      <c r="A25" s="181" t="s">
        <v>6</v>
      </c>
      <c r="B25" s="182" t="s">
        <v>22</v>
      </c>
      <c r="C25" s="183">
        <f>(1/11)</f>
        <v>9.0909090909090912E-2</v>
      </c>
      <c r="D25" s="172">
        <f>C25*$D$19</f>
        <v>680.69727272727278</v>
      </c>
      <c r="E25" s="83">
        <f>$C25*E$19</f>
        <v>704.18132863636367</v>
      </c>
      <c r="F25" s="83">
        <f>$C25*F$19</f>
        <v>704.18132863636367</v>
      </c>
      <c r="G25" s="185"/>
      <c r="H25" s="92">
        <f>$C25*H$19</f>
        <v>704.18132863636367</v>
      </c>
      <c r="I25" s="185"/>
      <c r="J25" s="92">
        <f>$C25*J$19</f>
        <v>704.18132863636367</v>
      </c>
      <c r="K25" s="185"/>
      <c r="L25" s="92">
        <f>$C25*L$19</f>
        <v>746.43220835454554</v>
      </c>
      <c r="M25" s="185"/>
      <c r="N25" s="92">
        <f>$C25*N$19</f>
        <v>760.51583492727286</v>
      </c>
    </row>
    <row r="26" spans="1:14" x14ac:dyDescent="0.25">
      <c r="A26" s="181" t="s">
        <v>8</v>
      </c>
      <c r="B26" s="182" t="s">
        <v>162</v>
      </c>
      <c r="C26" s="183">
        <f>((1/3)*(1/11))+1/11</f>
        <v>0.12121212121212122</v>
      </c>
      <c r="D26" s="172">
        <f>C26*$D$19</f>
        <v>907.59636363636366</v>
      </c>
      <c r="E26" s="83">
        <f>$C26*E$19</f>
        <v>938.90843818181816</v>
      </c>
      <c r="F26" s="83">
        <f>$C26*F$19</f>
        <v>938.90843818181816</v>
      </c>
      <c r="G26" s="185"/>
      <c r="H26" s="92">
        <f>$C26*H$19</f>
        <v>938.90843818181816</v>
      </c>
      <c r="I26" s="185"/>
      <c r="J26" s="92">
        <f>$C26*J$19</f>
        <v>938.90843818181816</v>
      </c>
      <c r="K26" s="185"/>
      <c r="L26" s="92">
        <f>$C26*L$19</f>
        <v>995.24294447272734</v>
      </c>
      <c r="M26" s="185"/>
      <c r="N26" s="92">
        <f>$C26*N$19</f>
        <v>1014.0211132363638</v>
      </c>
    </row>
    <row r="27" spans="1:14" x14ac:dyDescent="0.25">
      <c r="A27" s="466" t="s">
        <v>18</v>
      </c>
      <c r="B27" s="467"/>
      <c r="C27" s="186">
        <f t="shared" ref="C27:D27" si="0">SUM(C25:C26)</f>
        <v>0.21212121212121213</v>
      </c>
      <c r="D27" s="172">
        <f t="shared" si="0"/>
        <v>1588.2936363636363</v>
      </c>
      <c r="E27" s="83">
        <f>SUM(E25:E26)</f>
        <v>1643.0897668181819</v>
      </c>
      <c r="F27" s="83">
        <f>SUM(F25:F26)</f>
        <v>1643.0897668181819</v>
      </c>
      <c r="G27" s="185"/>
      <c r="H27" s="92">
        <f>SUM(H25:H26)</f>
        <v>1643.0897668181819</v>
      </c>
      <c r="I27" s="185"/>
      <c r="J27" s="92">
        <f>SUM(J25:J26)</f>
        <v>1643.0897668181819</v>
      </c>
      <c r="K27" s="185"/>
      <c r="L27" s="92">
        <f>SUM(L25:L26)</f>
        <v>1741.675152827273</v>
      </c>
      <c r="M27" s="185"/>
      <c r="N27" s="92">
        <f>SUM(N25:N26)</f>
        <v>1774.5369481636367</v>
      </c>
    </row>
    <row r="28" spans="1:14" x14ac:dyDescent="0.25">
      <c r="A28" s="501" t="s">
        <v>103</v>
      </c>
      <c r="B28" s="502"/>
      <c r="C28" s="502"/>
      <c r="D28" s="502"/>
      <c r="E28" s="115"/>
      <c r="F28" s="115"/>
      <c r="G28" s="170"/>
      <c r="H28" s="160"/>
      <c r="I28" s="170"/>
      <c r="J28" s="160"/>
      <c r="K28" s="170"/>
      <c r="L28" s="371"/>
      <c r="M28" s="170"/>
      <c r="N28" s="371"/>
    </row>
    <row r="29" spans="1:14" x14ac:dyDescent="0.25">
      <c r="A29" s="501" t="s">
        <v>104</v>
      </c>
      <c r="B29" s="502"/>
      <c r="C29" s="502"/>
      <c r="D29" s="502"/>
      <c r="E29" s="115"/>
      <c r="F29" s="115"/>
      <c r="G29" s="170"/>
      <c r="H29" s="160"/>
      <c r="I29" s="170"/>
      <c r="J29" s="160"/>
      <c r="K29" s="170"/>
      <c r="L29" s="371"/>
      <c r="M29" s="170"/>
      <c r="N29" s="371"/>
    </row>
    <row r="30" spans="1:14" x14ac:dyDescent="0.25">
      <c r="A30" s="501" t="s">
        <v>105</v>
      </c>
      <c r="B30" s="502"/>
      <c r="C30" s="502"/>
      <c r="D30" s="502"/>
      <c r="E30" s="115"/>
      <c r="F30" s="115"/>
      <c r="G30" s="170"/>
      <c r="H30" s="160"/>
      <c r="I30" s="170"/>
      <c r="J30" s="160"/>
      <c r="K30" s="170"/>
      <c r="L30" s="371"/>
      <c r="M30" s="170"/>
      <c r="N30" s="371"/>
    </row>
    <row r="31" spans="1:14" x14ac:dyDescent="0.25">
      <c r="A31" s="173"/>
      <c r="B31" s="174"/>
      <c r="C31" s="174"/>
      <c r="D31" s="175"/>
      <c r="E31" s="115"/>
      <c r="F31" s="115"/>
      <c r="G31" s="170"/>
      <c r="H31" s="160"/>
      <c r="I31" s="170"/>
      <c r="J31" s="160"/>
      <c r="K31" s="170"/>
      <c r="L31" s="371"/>
      <c r="M31" s="170"/>
      <c r="N31" s="371"/>
    </row>
    <row r="32" spans="1:14" x14ac:dyDescent="0.25">
      <c r="A32" s="471" t="s">
        <v>23</v>
      </c>
      <c r="B32" s="472"/>
      <c r="C32" s="472"/>
      <c r="D32" s="506"/>
      <c r="E32" s="115"/>
      <c r="F32" s="115"/>
      <c r="G32" s="170"/>
      <c r="H32" s="160"/>
      <c r="I32" s="170"/>
      <c r="J32" s="160"/>
      <c r="K32" s="170"/>
      <c r="L32" s="371"/>
      <c r="M32" s="170"/>
      <c r="N32" s="371"/>
    </row>
    <row r="33" spans="1:14" x14ac:dyDescent="0.25">
      <c r="A33" s="187" t="s">
        <v>24</v>
      </c>
      <c r="B33" s="178" t="s">
        <v>25</v>
      </c>
      <c r="C33" s="178" t="s">
        <v>26</v>
      </c>
      <c r="D33" s="188" t="s">
        <v>5</v>
      </c>
      <c r="E33" s="189" t="s">
        <v>5</v>
      </c>
      <c r="F33" s="189" t="s">
        <v>5</v>
      </c>
      <c r="G33" s="190" t="s">
        <v>26</v>
      </c>
      <c r="H33" s="93" t="s">
        <v>5</v>
      </c>
      <c r="I33" s="180"/>
      <c r="J33" s="93" t="s">
        <v>5</v>
      </c>
      <c r="K33" s="180"/>
      <c r="L33" s="93" t="s">
        <v>5</v>
      </c>
      <c r="M33" s="180"/>
      <c r="N33" s="93" t="s">
        <v>5</v>
      </c>
    </row>
    <row r="34" spans="1:14" x14ac:dyDescent="0.25">
      <c r="A34" s="181" t="s">
        <v>6</v>
      </c>
      <c r="B34" s="182" t="s">
        <v>27</v>
      </c>
      <c r="C34" s="191">
        <v>0</v>
      </c>
      <c r="D34" s="211">
        <f>C34*($D$19+$D$27)</f>
        <v>0</v>
      </c>
      <c r="E34" s="87">
        <f t="shared" ref="E34:F41" si="1">$C34*(E$19+E$27)</f>
        <v>0</v>
      </c>
      <c r="F34" s="87">
        <f t="shared" si="1"/>
        <v>0</v>
      </c>
      <c r="G34" s="107">
        <v>0</v>
      </c>
      <c r="H34" s="101">
        <f>$C34*(H$19+H$27)</f>
        <v>0</v>
      </c>
      <c r="I34" s="106"/>
      <c r="J34" s="101">
        <f>$C34*(J$19+J$27)</f>
        <v>0</v>
      </c>
      <c r="K34" s="107"/>
      <c r="L34" s="101">
        <f>$C34*(L$19+L$27)</f>
        <v>0</v>
      </c>
      <c r="M34" s="107">
        <v>0</v>
      </c>
      <c r="N34" s="101">
        <f>$C34*(N$19+N$27)</f>
        <v>0</v>
      </c>
    </row>
    <row r="35" spans="1:14" x14ac:dyDescent="0.25">
      <c r="A35" s="181" t="s">
        <v>8</v>
      </c>
      <c r="B35" s="182" t="s">
        <v>28</v>
      </c>
      <c r="C35" s="191">
        <v>2.5000000000000001E-2</v>
      </c>
      <c r="D35" s="211">
        <f>C35*($D$19+$D$27)</f>
        <v>226.89909090909092</v>
      </c>
      <c r="E35" s="87">
        <f t="shared" si="1"/>
        <v>234.72710954545457</v>
      </c>
      <c r="F35" s="87">
        <f t="shared" si="1"/>
        <v>234.72710954545457</v>
      </c>
      <c r="G35" s="107">
        <v>2.5000000000000001E-2</v>
      </c>
      <c r="H35" s="101">
        <f>$C35*(H$19+H$27)</f>
        <v>234.72710954545457</v>
      </c>
      <c r="I35" s="106"/>
      <c r="J35" s="101">
        <f>$C35*(J$19+J$27)</f>
        <v>234.72710954545457</v>
      </c>
      <c r="K35" s="107"/>
      <c r="L35" s="101">
        <f>$G35*(L$19+L$27)</f>
        <v>248.81073611818184</v>
      </c>
      <c r="M35" s="107">
        <v>2.5000000000000001E-2</v>
      </c>
      <c r="N35" s="101">
        <f>$M35*(N$19+N$27)</f>
        <v>253.50527830909095</v>
      </c>
    </row>
    <row r="36" spans="1:14" x14ac:dyDescent="0.25">
      <c r="A36" s="181" t="s">
        <v>10</v>
      </c>
      <c r="B36" s="256" t="s">
        <v>106</v>
      </c>
      <c r="C36" s="191">
        <f>2%*1.2718</f>
        <v>2.5436E-2</v>
      </c>
      <c r="D36" s="211">
        <f>C36*($D$19+$D$27)</f>
        <v>230.85621105454547</v>
      </c>
      <c r="E36" s="87">
        <f t="shared" si="1"/>
        <v>238.82075033592727</v>
      </c>
      <c r="F36" s="87">
        <f t="shared" si="1"/>
        <v>238.82075033592727</v>
      </c>
      <c r="G36" s="107">
        <f>2%*1.0115</f>
        <v>2.0230000000000001E-2</v>
      </c>
      <c r="H36" s="101">
        <f>G$36*($H$19+$H$27)</f>
        <v>189.94117704418184</v>
      </c>
      <c r="I36" s="106"/>
      <c r="J36" s="101">
        <f>G$36*($H$19+$H$27)</f>
        <v>189.94117704418184</v>
      </c>
      <c r="K36" s="107"/>
      <c r="L36" s="101">
        <f>G$36*($L$19+$L$27)</f>
        <v>201.33764766683277</v>
      </c>
      <c r="M36" s="107">
        <f>2%*0.5</f>
        <v>0.01</v>
      </c>
      <c r="N36" s="101">
        <f>M$36*($N$19+$N$27)</f>
        <v>101.40211132363639</v>
      </c>
    </row>
    <row r="37" spans="1:14" x14ac:dyDescent="0.25">
      <c r="A37" s="181" t="s">
        <v>12</v>
      </c>
      <c r="B37" s="182" t="s">
        <v>29</v>
      </c>
      <c r="C37" s="191">
        <v>1.4999999999999999E-2</v>
      </c>
      <c r="D37" s="211">
        <f t="shared" ref="D37" si="2">C37*($D$19+$D$27)</f>
        <v>136.13945454545456</v>
      </c>
      <c r="E37" s="87">
        <f t="shared" si="1"/>
        <v>140.83626572727272</v>
      </c>
      <c r="F37" s="87">
        <f t="shared" si="1"/>
        <v>140.83626572727272</v>
      </c>
      <c r="G37" s="107">
        <v>1.4999999999999999E-2</v>
      </c>
      <c r="H37" s="101">
        <f>$C37*(H$19+H$27)</f>
        <v>140.83626572727272</v>
      </c>
      <c r="I37" s="106"/>
      <c r="J37" s="101">
        <f>$C37*(J$19+J$27)</f>
        <v>140.83626572727272</v>
      </c>
      <c r="K37" s="107"/>
      <c r="L37" s="101">
        <f>$G37*(L$19+L$27)</f>
        <v>149.28644167090908</v>
      </c>
      <c r="M37" s="107">
        <v>1.4999999999999999E-2</v>
      </c>
      <c r="N37" s="101">
        <f>$M37*(N$19+N$27)</f>
        <v>152.10316698545458</v>
      </c>
    </row>
    <row r="38" spans="1:14" x14ac:dyDescent="0.25">
      <c r="A38" s="181" t="s">
        <v>14</v>
      </c>
      <c r="B38" s="182" t="s">
        <v>30</v>
      </c>
      <c r="C38" s="191">
        <v>0.01</v>
      </c>
      <c r="D38" s="211">
        <f>C38*($D$19+$D$27)</f>
        <v>90.759636363636361</v>
      </c>
      <c r="E38" s="87">
        <f t="shared" si="1"/>
        <v>93.890843818181821</v>
      </c>
      <c r="F38" s="87">
        <f t="shared" si="1"/>
        <v>93.890843818181821</v>
      </c>
      <c r="G38" s="107">
        <v>0.01</v>
      </c>
      <c r="H38" s="101">
        <f>$C38*(H$19+H$27)</f>
        <v>93.890843818181821</v>
      </c>
      <c r="I38" s="106"/>
      <c r="J38" s="101">
        <f>$C38*(J$19+J$27)</f>
        <v>93.890843818181821</v>
      </c>
      <c r="K38" s="107"/>
      <c r="L38" s="101">
        <f>$G38*(L$19+L$27)</f>
        <v>99.524294447272737</v>
      </c>
      <c r="M38" s="107">
        <v>0.01</v>
      </c>
      <c r="N38" s="101">
        <f>$M38*(N$19+N$27)</f>
        <v>101.40211132363639</v>
      </c>
    </row>
    <row r="39" spans="1:14" x14ac:dyDescent="0.25">
      <c r="A39" s="181" t="s">
        <v>16</v>
      </c>
      <c r="B39" s="182" t="s">
        <v>31</v>
      </c>
      <c r="C39" s="191">
        <v>6.0000000000000001E-3</v>
      </c>
      <c r="D39" s="211">
        <f>C39*($D$19+$D$27)</f>
        <v>54.455781818181819</v>
      </c>
      <c r="E39" s="87">
        <f t="shared" si="1"/>
        <v>56.33450629090909</v>
      </c>
      <c r="F39" s="87">
        <f t="shared" si="1"/>
        <v>56.33450629090909</v>
      </c>
      <c r="G39" s="107">
        <v>6.0000000000000001E-3</v>
      </c>
      <c r="H39" s="101">
        <f>$C39*(H$19+H$27)</f>
        <v>56.33450629090909</v>
      </c>
      <c r="I39" s="106"/>
      <c r="J39" s="101">
        <f>$C39*(J$19+J$27)</f>
        <v>56.33450629090909</v>
      </c>
      <c r="K39" s="107"/>
      <c r="L39" s="101">
        <f>$G39*(L$19+L$27)</f>
        <v>59.714576668363641</v>
      </c>
      <c r="M39" s="107">
        <v>6.0000000000000001E-3</v>
      </c>
      <c r="N39" s="101">
        <f>$M39*(N$19+N$27)</f>
        <v>60.841266794181827</v>
      </c>
    </row>
    <row r="40" spans="1:14" x14ac:dyDescent="0.25">
      <c r="A40" s="181" t="s">
        <v>32</v>
      </c>
      <c r="B40" s="182" t="s">
        <v>33</v>
      </c>
      <c r="C40" s="191">
        <v>2E-3</v>
      </c>
      <c r="D40" s="211">
        <f>C40*($D$19+$D$27)</f>
        <v>18.151927272727274</v>
      </c>
      <c r="E40" s="87">
        <f t="shared" si="1"/>
        <v>18.778168763636366</v>
      </c>
      <c r="F40" s="87">
        <f t="shared" si="1"/>
        <v>18.778168763636366</v>
      </c>
      <c r="G40" s="107">
        <v>2E-3</v>
      </c>
      <c r="H40" s="101">
        <f>$C40*(H$19+H$27)</f>
        <v>18.778168763636366</v>
      </c>
      <c r="I40" s="106"/>
      <c r="J40" s="101">
        <f>$C40*(J$19+J$27)</f>
        <v>18.778168763636366</v>
      </c>
      <c r="K40" s="107"/>
      <c r="L40" s="101">
        <f>$G40*(L$19+L$27)</f>
        <v>19.904858889454548</v>
      </c>
      <c r="M40" s="107">
        <v>2E-3</v>
      </c>
      <c r="N40" s="101">
        <f>$M40*(N$19+N$27)</f>
        <v>20.280422264727278</v>
      </c>
    </row>
    <row r="41" spans="1:14" x14ac:dyDescent="0.25">
      <c r="A41" s="181" t="s">
        <v>34</v>
      </c>
      <c r="B41" s="182" t="s">
        <v>35</v>
      </c>
      <c r="C41" s="191">
        <v>0.08</v>
      </c>
      <c r="D41" s="211">
        <f>C41*($D$19+$D$27)</f>
        <v>726.07709090909088</v>
      </c>
      <c r="E41" s="87">
        <f t="shared" si="1"/>
        <v>751.12675054545457</v>
      </c>
      <c r="F41" s="87">
        <f t="shared" si="1"/>
        <v>751.12675054545457</v>
      </c>
      <c r="G41" s="107">
        <v>0.08</v>
      </c>
      <c r="H41" s="101">
        <f>$C41*(H$19+H$27)</f>
        <v>751.12675054545457</v>
      </c>
      <c r="I41" s="106"/>
      <c r="J41" s="101">
        <f>$C41*(J$19+J$27)</f>
        <v>751.12675054545457</v>
      </c>
      <c r="K41" s="107"/>
      <c r="L41" s="101">
        <f>$G41*(L$19+L$27)</f>
        <v>796.1943555781819</v>
      </c>
      <c r="M41" s="107">
        <v>0.08</v>
      </c>
      <c r="N41" s="101">
        <f>$M41*(N$19+N$27)</f>
        <v>811.21689058909112</v>
      </c>
    </row>
    <row r="42" spans="1:14" x14ac:dyDescent="0.25">
      <c r="A42" s="499" t="s">
        <v>18</v>
      </c>
      <c r="B42" s="500"/>
      <c r="C42" s="193">
        <f t="shared" ref="C42:D42" si="3">SUM(C34:C41)</f>
        <v>0.163436</v>
      </c>
      <c r="D42" s="211">
        <f t="shared" si="3"/>
        <v>1483.3391928727272</v>
      </c>
      <c r="E42" s="87">
        <f>SUM(E34:E41)</f>
        <v>1534.5143950268364</v>
      </c>
      <c r="F42" s="87">
        <f>SUM(F34:F41)</f>
        <v>1534.5143950268364</v>
      </c>
      <c r="G42" s="194">
        <f>SUM(G34:G41)</f>
        <v>0.15823000000000001</v>
      </c>
      <c r="H42" s="101">
        <f>SUM(H34:H41)</f>
        <v>1485.634821735091</v>
      </c>
      <c r="I42" s="106"/>
      <c r="J42" s="101">
        <f>SUM(J34:J41)</f>
        <v>1485.634821735091</v>
      </c>
      <c r="K42" s="107"/>
      <c r="L42" s="101">
        <f>SUM(L34:L41)</f>
        <v>1574.7729110391965</v>
      </c>
      <c r="M42" s="194">
        <f>SUM(M34:M41)</f>
        <v>0.14800000000000002</v>
      </c>
      <c r="N42" s="101">
        <f>SUM(N34:N41)</f>
        <v>1500.7512475898184</v>
      </c>
    </row>
    <row r="43" spans="1:14" x14ac:dyDescent="0.25">
      <c r="A43" s="501" t="s">
        <v>109</v>
      </c>
      <c r="B43" s="502"/>
      <c r="C43" s="502"/>
      <c r="D43" s="502"/>
      <c r="E43" s="115"/>
      <c r="F43" s="115"/>
      <c r="G43" s="170"/>
      <c r="H43" s="160"/>
      <c r="I43" s="170"/>
      <c r="J43" s="160"/>
      <c r="K43" s="170"/>
      <c r="L43" s="371"/>
      <c r="M43" s="170"/>
      <c r="N43" s="371"/>
    </row>
    <row r="44" spans="1:14" x14ac:dyDescent="0.25">
      <c r="A44" s="501" t="s">
        <v>107</v>
      </c>
      <c r="B44" s="502"/>
      <c r="C44" s="502"/>
      <c r="D44" s="502"/>
      <c r="E44" s="115"/>
      <c r="F44" s="115"/>
      <c r="G44" s="170"/>
      <c r="H44" s="160"/>
      <c r="I44" s="170"/>
      <c r="J44" s="160"/>
      <c r="K44" s="170"/>
      <c r="L44" s="371"/>
      <c r="M44" s="170"/>
      <c r="N44" s="371"/>
    </row>
    <row r="45" spans="1:14" x14ac:dyDescent="0.25">
      <c r="A45" s="501" t="s">
        <v>108</v>
      </c>
      <c r="B45" s="502"/>
      <c r="C45" s="502"/>
      <c r="D45" s="502"/>
      <c r="E45" s="115"/>
      <c r="F45" s="115"/>
      <c r="G45" s="170"/>
      <c r="H45" s="160"/>
      <c r="I45" s="170"/>
      <c r="J45" s="160"/>
      <c r="K45" s="170"/>
      <c r="L45" s="371"/>
      <c r="M45" s="170"/>
      <c r="N45" s="371"/>
    </row>
    <row r="46" spans="1:14" x14ac:dyDescent="0.25">
      <c r="A46" s="501" t="s">
        <v>113</v>
      </c>
      <c r="B46" s="502"/>
      <c r="C46" s="502"/>
      <c r="D46" s="502"/>
      <c r="E46" s="115"/>
      <c r="F46" s="115"/>
      <c r="G46" s="170"/>
      <c r="H46" s="160"/>
      <c r="I46" s="170"/>
      <c r="J46" s="160"/>
      <c r="K46" s="170"/>
      <c r="L46" s="371"/>
      <c r="M46" s="170"/>
      <c r="N46" s="371"/>
    </row>
    <row r="47" spans="1:14" x14ac:dyDescent="0.25">
      <c r="A47" s="501" t="s">
        <v>118</v>
      </c>
      <c r="B47" s="502"/>
      <c r="C47" s="502"/>
      <c r="D47" s="502"/>
      <c r="E47" s="115"/>
      <c r="F47" s="115"/>
      <c r="G47" s="170"/>
      <c r="H47" s="160"/>
      <c r="I47" s="170"/>
      <c r="J47" s="160"/>
      <c r="K47" s="170"/>
      <c r="L47" s="371"/>
      <c r="M47" s="170"/>
      <c r="N47" s="371"/>
    </row>
    <row r="48" spans="1:14" x14ac:dyDescent="0.25">
      <c r="A48" s="173"/>
      <c r="B48" s="174"/>
      <c r="C48" s="174"/>
      <c r="D48" s="175"/>
      <c r="E48" s="115"/>
      <c r="F48" s="115"/>
      <c r="G48" s="170"/>
      <c r="H48" s="160"/>
      <c r="I48" s="170"/>
      <c r="J48" s="160"/>
      <c r="K48" s="170"/>
      <c r="L48" s="371"/>
      <c r="M48" s="170"/>
      <c r="N48" s="371"/>
    </row>
    <row r="49" spans="1:14" x14ac:dyDescent="0.25">
      <c r="A49" s="471" t="s">
        <v>36</v>
      </c>
      <c r="B49" s="472"/>
      <c r="C49" s="472"/>
      <c r="D49" s="506"/>
      <c r="E49" s="115"/>
      <c r="F49" s="115"/>
      <c r="G49" s="170"/>
      <c r="H49" s="160"/>
      <c r="I49" s="170"/>
      <c r="J49" s="160"/>
      <c r="K49" s="170"/>
      <c r="L49" s="371"/>
      <c r="M49" s="170"/>
      <c r="N49" s="371"/>
    </row>
    <row r="50" spans="1:14" x14ac:dyDescent="0.25">
      <c r="A50" s="187" t="s">
        <v>37</v>
      </c>
      <c r="B50" s="178" t="s">
        <v>38</v>
      </c>
      <c r="C50" s="167" t="s">
        <v>96</v>
      </c>
      <c r="D50" s="168" t="s">
        <v>5</v>
      </c>
      <c r="E50" s="189" t="s">
        <v>5</v>
      </c>
      <c r="F50" s="189" t="s">
        <v>5</v>
      </c>
      <c r="G50" s="180"/>
      <c r="H50" s="93" t="s">
        <v>5</v>
      </c>
      <c r="I50" s="180"/>
      <c r="J50" s="93" t="s">
        <v>5</v>
      </c>
      <c r="K50" s="180"/>
      <c r="L50" s="93" t="s">
        <v>5</v>
      </c>
      <c r="M50" s="180"/>
      <c r="N50" s="93" t="s">
        <v>5</v>
      </c>
    </row>
    <row r="51" spans="1:14" x14ac:dyDescent="0.25">
      <c r="A51" s="181" t="s">
        <v>6</v>
      </c>
      <c r="B51" s="182" t="s">
        <v>39</v>
      </c>
      <c r="C51" s="195">
        <v>22</v>
      </c>
      <c r="D51" s="172">
        <f>IF(((5.5*2*C51)-D19*6%)&lt;0,0,((5.5*2*C51)-D19*6%))</f>
        <v>0</v>
      </c>
      <c r="E51" s="83">
        <f>IF(((5.5*2*$C$51)-E$19*6%)&lt;0,0,((5.5*2*$C$51)-E$19*6%))</f>
        <v>0</v>
      </c>
      <c r="F51" s="83">
        <f>IF(((5.5*2*$C$51)-F$19*6%)&lt;0,0,((5.5*2*$C$51)-F$19*6%))</f>
        <v>0</v>
      </c>
      <c r="G51" s="196"/>
      <c r="H51" s="92">
        <f>IF(((5.5*2*$C$51)-H$19*6%)&lt;0,0,((5.5*2*$C$51)-H$19*6%))</f>
        <v>0</v>
      </c>
      <c r="I51" s="196"/>
      <c r="J51" s="92">
        <f>IF(((5.5*2*$C$51)-J$19*6%)&lt;0,0,((5.5*2*$C$51)-J$19*6%))</f>
        <v>0</v>
      </c>
      <c r="K51" s="196"/>
      <c r="L51" s="92">
        <f>IF(((5.5*2*$C$51)-L$19*6%)&lt;0,0,((5.5*2*$C$51)-L$19*6%))</f>
        <v>0</v>
      </c>
      <c r="M51" s="196"/>
      <c r="N51" s="92">
        <f>IF(((5.5*2*$C$51)-N$19*6%)&lt;0,0,((5.5*2*$C$51)-N$19*6%))</f>
        <v>0</v>
      </c>
    </row>
    <row r="52" spans="1:14" x14ac:dyDescent="0.25">
      <c r="A52" s="181" t="s">
        <v>8</v>
      </c>
      <c r="B52" s="182" t="s">
        <v>40</v>
      </c>
      <c r="C52" s="195">
        <v>22</v>
      </c>
      <c r="D52" s="172">
        <f>330*0.8</f>
        <v>264</v>
      </c>
      <c r="E52" s="83">
        <f>330*0.8</f>
        <v>264</v>
      </c>
      <c r="F52" s="83">
        <f>340*0.8</f>
        <v>272</v>
      </c>
      <c r="G52" s="196"/>
      <c r="H52" s="92">
        <f>350*0.8</f>
        <v>280</v>
      </c>
      <c r="I52" s="196"/>
      <c r="J52" s="92">
        <f>350*0.8</f>
        <v>280</v>
      </c>
      <c r="K52" s="196"/>
      <c r="L52" s="92">
        <f>370*0.8</f>
        <v>296</v>
      </c>
      <c r="M52" s="196"/>
      <c r="N52" s="92">
        <f>390*0.8</f>
        <v>312</v>
      </c>
    </row>
    <row r="53" spans="1:14" x14ac:dyDescent="0.25">
      <c r="A53" s="181" t="s">
        <v>10</v>
      </c>
      <c r="B53" s="182" t="s">
        <v>41</v>
      </c>
      <c r="C53" s="195">
        <v>0</v>
      </c>
      <c r="D53" s="172">
        <v>0</v>
      </c>
      <c r="E53" s="83">
        <v>0</v>
      </c>
      <c r="F53" s="83">
        <v>0</v>
      </c>
      <c r="G53" s="196"/>
      <c r="H53" s="92">
        <v>0</v>
      </c>
      <c r="I53" s="196"/>
      <c r="J53" s="92">
        <v>0</v>
      </c>
      <c r="K53" s="196"/>
      <c r="L53" s="92">
        <v>0</v>
      </c>
      <c r="M53" s="196"/>
      <c r="N53" s="92">
        <v>0</v>
      </c>
    </row>
    <row r="54" spans="1:14" x14ac:dyDescent="0.25">
      <c r="A54" s="181" t="s">
        <v>12</v>
      </c>
      <c r="B54" s="182" t="s">
        <v>97</v>
      </c>
      <c r="C54" s="195">
        <v>0</v>
      </c>
      <c r="D54" s="172">
        <v>0</v>
      </c>
      <c r="E54" s="83">
        <v>0</v>
      </c>
      <c r="F54" s="83">
        <v>0</v>
      </c>
      <c r="G54" s="196"/>
      <c r="H54" s="92">
        <v>0</v>
      </c>
      <c r="I54" s="196"/>
      <c r="J54" s="92">
        <v>0</v>
      </c>
      <c r="K54" s="196"/>
      <c r="L54" s="92">
        <v>0</v>
      </c>
      <c r="M54" s="196"/>
      <c r="N54" s="92">
        <v>0</v>
      </c>
    </row>
    <row r="55" spans="1:14" x14ac:dyDescent="0.25">
      <c r="A55" s="181" t="s">
        <v>14</v>
      </c>
      <c r="B55" s="182" t="s">
        <v>158</v>
      </c>
      <c r="C55" s="195">
        <v>1</v>
      </c>
      <c r="D55" s="172">
        <v>1.41</v>
      </c>
      <c r="E55" s="83">
        <v>1.41</v>
      </c>
      <c r="F55" s="83">
        <v>1.41</v>
      </c>
      <c r="G55" s="196"/>
      <c r="H55" s="92">
        <v>1.41</v>
      </c>
      <c r="I55" s="196"/>
      <c r="J55" s="92">
        <v>1.41</v>
      </c>
      <c r="K55" s="196"/>
      <c r="L55" s="92">
        <v>1.41</v>
      </c>
      <c r="M55" s="196"/>
      <c r="N55" s="92">
        <v>1.41</v>
      </c>
    </row>
    <row r="56" spans="1:14" x14ac:dyDescent="0.25">
      <c r="A56" s="466" t="s">
        <v>18</v>
      </c>
      <c r="B56" s="467"/>
      <c r="C56" s="467"/>
      <c r="D56" s="172">
        <f>SUM(D51:D55)</f>
        <v>265.41000000000003</v>
      </c>
      <c r="E56" s="83">
        <f>SUM(E51:E55)</f>
        <v>265.41000000000003</v>
      </c>
      <c r="F56" s="83">
        <f>SUM(F51:F55)</f>
        <v>273.41000000000003</v>
      </c>
      <c r="G56" s="196"/>
      <c r="H56" s="92">
        <f>SUM(H51:H55)</f>
        <v>281.41000000000003</v>
      </c>
      <c r="I56" s="196"/>
      <c r="J56" s="92">
        <f>SUM(J51:J55)</f>
        <v>281.41000000000003</v>
      </c>
      <c r="K56" s="196"/>
      <c r="L56" s="92">
        <f>SUM(L51:L55)</f>
        <v>297.41000000000003</v>
      </c>
      <c r="M56" s="196"/>
      <c r="N56" s="92">
        <f>SUM(N51:N55)</f>
        <v>313.41000000000003</v>
      </c>
    </row>
    <row r="57" spans="1:14" x14ac:dyDescent="0.25">
      <c r="A57" s="501" t="s">
        <v>44</v>
      </c>
      <c r="B57" s="502"/>
      <c r="C57" s="502"/>
      <c r="D57" s="502"/>
      <c r="E57" s="115"/>
      <c r="F57" s="115"/>
      <c r="G57" s="170"/>
      <c r="H57" s="160"/>
      <c r="I57" s="170"/>
      <c r="J57" s="160"/>
      <c r="K57" s="170"/>
      <c r="L57" s="371"/>
      <c r="M57" s="170"/>
      <c r="N57" s="371"/>
    </row>
    <row r="58" spans="1:14" x14ac:dyDescent="0.25">
      <c r="A58" s="501" t="s">
        <v>110</v>
      </c>
      <c r="B58" s="502"/>
      <c r="C58" s="502"/>
      <c r="D58" s="502"/>
      <c r="E58" s="115"/>
      <c r="F58" s="115"/>
      <c r="G58" s="170"/>
      <c r="H58" s="160"/>
      <c r="I58" s="170"/>
      <c r="J58" s="160"/>
      <c r="K58" s="170"/>
      <c r="L58" s="371"/>
      <c r="M58" s="170"/>
      <c r="N58" s="371"/>
    </row>
    <row r="59" spans="1:14" x14ac:dyDescent="0.25">
      <c r="A59" s="173"/>
      <c r="B59" s="174"/>
      <c r="C59" s="174"/>
      <c r="D59" s="175"/>
      <c r="E59" s="115"/>
      <c r="F59" s="115"/>
      <c r="G59" s="170"/>
      <c r="H59" s="160"/>
      <c r="I59" s="170"/>
      <c r="J59" s="160"/>
      <c r="K59" s="170"/>
      <c r="L59" s="371"/>
      <c r="M59" s="170"/>
      <c r="N59" s="371"/>
    </row>
    <row r="60" spans="1:14" x14ac:dyDescent="0.25">
      <c r="A60" s="471" t="s">
        <v>42</v>
      </c>
      <c r="B60" s="472"/>
      <c r="C60" s="472"/>
      <c r="D60" s="506"/>
      <c r="E60" s="115"/>
      <c r="F60" s="115"/>
      <c r="G60" s="170"/>
      <c r="H60" s="160"/>
      <c r="I60" s="170"/>
      <c r="J60" s="160"/>
      <c r="K60" s="170"/>
      <c r="L60" s="371"/>
      <c r="M60" s="170"/>
      <c r="N60" s="371"/>
    </row>
    <row r="61" spans="1:14" x14ac:dyDescent="0.25">
      <c r="A61" s="197">
        <v>2</v>
      </c>
      <c r="B61" s="476" t="s">
        <v>43</v>
      </c>
      <c r="C61" s="476"/>
      <c r="D61" s="168" t="s">
        <v>5</v>
      </c>
      <c r="E61" s="189" t="s">
        <v>5</v>
      </c>
      <c r="F61" s="189" t="s">
        <v>5</v>
      </c>
      <c r="G61" s="170"/>
      <c r="H61" s="93" t="s">
        <v>5</v>
      </c>
      <c r="I61" s="170"/>
      <c r="J61" s="93" t="s">
        <v>5</v>
      </c>
      <c r="K61" s="170"/>
      <c r="L61" s="93" t="s">
        <v>5</v>
      </c>
      <c r="M61" s="170"/>
      <c r="N61" s="93" t="s">
        <v>5</v>
      </c>
    </row>
    <row r="62" spans="1:14" x14ac:dyDescent="0.25">
      <c r="A62" s="161" t="s">
        <v>21</v>
      </c>
      <c r="B62" s="474" t="s">
        <v>163</v>
      </c>
      <c r="C62" s="474"/>
      <c r="D62" s="172">
        <f>D27</f>
        <v>1588.2936363636363</v>
      </c>
      <c r="E62" s="83">
        <f>E27</f>
        <v>1643.0897668181819</v>
      </c>
      <c r="F62" s="83">
        <f>F27</f>
        <v>1643.0897668181819</v>
      </c>
      <c r="G62" s="170"/>
      <c r="H62" s="92">
        <f>H27</f>
        <v>1643.0897668181819</v>
      </c>
      <c r="I62" s="170"/>
      <c r="J62" s="92">
        <f>J27</f>
        <v>1643.0897668181819</v>
      </c>
      <c r="K62" s="170"/>
      <c r="L62" s="92">
        <f>L27</f>
        <v>1741.675152827273</v>
      </c>
      <c r="M62" s="170"/>
      <c r="N62" s="92">
        <f>N27</f>
        <v>1774.5369481636367</v>
      </c>
    </row>
    <row r="63" spans="1:14" x14ac:dyDescent="0.25">
      <c r="A63" s="161" t="s">
        <v>24</v>
      </c>
      <c r="B63" s="475" t="s">
        <v>25</v>
      </c>
      <c r="C63" s="475"/>
      <c r="D63" s="172">
        <f>D42</f>
        <v>1483.3391928727272</v>
      </c>
      <c r="E63" s="83">
        <f>E42</f>
        <v>1534.5143950268364</v>
      </c>
      <c r="F63" s="83">
        <f>F42</f>
        <v>1534.5143950268364</v>
      </c>
      <c r="G63" s="170"/>
      <c r="H63" s="92">
        <f>H42</f>
        <v>1485.634821735091</v>
      </c>
      <c r="I63" s="170"/>
      <c r="J63" s="92">
        <f>J42</f>
        <v>1485.634821735091</v>
      </c>
      <c r="K63" s="170"/>
      <c r="L63" s="92">
        <f>L42</f>
        <v>1574.7729110391965</v>
      </c>
      <c r="M63" s="170"/>
      <c r="N63" s="92">
        <f>N42</f>
        <v>1500.7512475898184</v>
      </c>
    </row>
    <row r="64" spans="1:14" x14ac:dyDescent="0.25">
      <c r="A64" s="161" t="s">
        <v>37</v>
      </c>
      <c r="B64" s="475" t="s">
        <v>38</v>
      </c>
      <c r="C64" s="475"/>
      <c r="D64" s="172">
        <f>D56</f>
        <v>265.41000000000003</v>
      </c>
      <c r="E64" s="83">
        <f>E56</f>
        <v>265.41000000000003</v>
      </c>
      <c r="F64" s="83">
        <f>F56</f>
        <v>273.41000000000003</v>
      </c>
      <c r="G64" s="170"/>
      <c r="H64" s="92">
        <f>H56</f>
        <v>281.41000000000003</v>
      </c>
      <c r="I64" s="170"/>
      <c r="J64" s="92">
        <f>J56</f>
        <v>281.41000000000003</v>
      </c>
      <c r="K64" s="170"/>
      <c r="L64" s="92">
        <f>L56</f>
        <v>297.41000000000003</v>
      </c>
      <c r="M64" s="170"/>
      <c r="N64" s="92">
        <f>N56</f>
        <v>313.41000000000003</v>
      </c>
    </row>
    <row r="65" spans="1:14" x14ac:dyDescent="0.25">
      <c r="A65" s="499" t="s">
        <v>18</v>
      </c>
      <c r="B65" s="507"/>
      <c r="C65" s="500"/>
      <c r="D65" s="172">
        <f>SUM(D62:D64)</f>
        <v>3337.0428292363631</v>
      </c>
      <c r="E65" s="83">
        <f>SUM(E62:E64)</f>
        <v>3443.014161845018</v>
      </c>
      <c r="F65" s="83">
        <f>SUM(F62:F64)</f>
        <v>3451.014161845018</v>
      </c>
      <c r="G65" s="170"/>
      <c r="H65" s="92">
        <f>SUM(H62:H64)</f>
        <v>3410.1345885532728</v>
      </c>
      <c r="I65" s="170"/>
      <c r="J65" s="92">
        <f>SUM(J62:J64)</f>
        <v>3410.1345885532728</v>
      </c>
      <c r="K65" s="170"/>
      <c r="L65" s="92">
        <f>SUM(L62:L64)</f>
        <v>3613.8580638664694</v>
      </c>
      <c r="M65" s="170"/>
      <c r="N65" s="92">
        <f>SUM(N62:N64)</f>
        <v>3588.6981957534549</v>
      </c>
    </row>
    <row r="66" spans="1:14" x14ac:dyDescent="0.25">
      <c r="A66" s="173"/>
      <c r="B66" s="174"/>
      <c r="C66" s="174"/>
      <c r="D66" s="175"/>
      <c r="E66" s="115"/>
      <c r="F66" s="115"/>
      <c r="G66" s="170"/>
      <c r="H66" s="160"/>
      <c r="I66" s="170"/>
      <c r="J66" s="160"/>
      <c r="K66" s="170"/>
      <c r="L66" s="371"/>
      <c r="M66" s="170"/>
      <c r="N66" s="371"/>
    </row>
    <row r="67" spans="1:14" x14ac:dyDescent="0.25">
      <c r="A67" s="471" t="s">
        <v>77</v>
      </c>
      <c r="B67" s="472"/>
      <c r="C67" s="472"/>
      <c r="D67" s="506"/>
      <c r="E67" s="115"/>
      <c r="F67" s="115"/>
      <c r="G67" s="170"/>
      <c r="H67" s="160"/>
      <c r="I67" s="170"/>
      <c r="J67" s="160"/>
      <c r="K67" s="170"/>
      <c r="L67" s="371"/>
      <c r="M67" s="170"/>
      <c r="N67" s="371"/>
    </row>
    <row r="68" spans="1:14" x14ac:dyDescent="0.25">
      <c r="A68" s="197">
        <v>3</v>
      </c>
      <c r="B68" s="178" t="s">
        <v>45</v>
      </c>
      <c r="C68" s="178" t="s">
        <v>26</v>
      </c>
      <c r="D68" s="168" t="s">
        <v>5</v>
      </c>
      <c r="E68" s="189" t="s">
        <v>5</v>
      </c>
      <c r="F68" s="189" t="s">
        <v>5</v>
      </c>
      <c r="G68" s="190" t="s">
        <v>26</v>
      </c>
      <c r="H68" s="93" t="s">
        <v>5</v>
      </c>
      <c r="I68" s="190" t="s">
        <v>26</v>
      </c>
      <c r="J68" s="93" t="s">
        <v>5</v>
      </c>
      <c r="K68" s="190" t="s">
        <v>26</v>
      </c>
      <c r="L68" s="93" t="s">
        <v>5</v>
      </c>
      <c r="M68" s="190" t="s">
        <v>26</v>
      </c>
      <c r="N68" s="93" t="s">
        <v>5</v>
      </c>
    </row>
    <row r="69" spans="1:14" x14ac:dyDescent="0.25">
      <c r="A69" s="161" t="s">
        <v>6</v>
      </c>
      <c r="B69" s="163" t="s">
        <v>46</v>
      </c>
      <c r="C69" s="191">
        <f>(1/12)*5%</f>
        <v>4.1666666666666666E-3</v>
      </c>
      <c r="D69" s="211">
        <f t="shared" ref="D69:D75" si="4">C69*($D$19+$D$27)</f>
        <v>37.816515151515148</v>
      </c>
      <c r="E69" s="83">
        <f t="shared" ref="E69:F75" si="5">$C69*(E$19+E$27)</f>
        <v>39.121184924242428</v>
      </c>
      <c r="F69" s="83">
        <f t="shared" si="5"/>
        <v>39.121184924242428</v>
      </c>
      <c r="G69" s="107">
        <f>(1/12)*5%</f>
        <v>4.1666666666666666E-3</v>
      </c>
      <c r="H69" s="92">
        <f t="shared" ref="H69:H75" si="6">G69*($H$19+$H$27)</f>
        <v>39.121184924242428</v>
      </c>
      <c r="I69" s="107">
        <f>(1/12)*5%</f>
        <v>4.1666666666666666E-3</v>
      </c>
      <c r="J69" s="92">
        <f t="shared" ref="J69:J75" si="7">I69*($H$19+$H$27)</f>
        <v>39.121184924242428</v>
      </c>
      <c r="K69" s="107">
        <f>(1/12)*5%</f>
        <v>4.1666666666666666E-3</v>
      </c>
      <c r="L69" s="92">
        <f t="shared" ref="L69:L75" si="8">K69*($L$19+$L$27)</f>
        <v>41.468456019696973</v>
      </c>
      <c r="M69" s="107">
        <f>(1/12)*5%</f>
        <v>4.1666666666666666E-3</v>
      </c>
      <c r="N69" s="92">
        <f t="shared" ref="N69:N75" si="9">M69*($N$19+$N$27)</f>
        <v>42.250879718181828</v>
      </c>
    </row>
    <row r="70" spans="1:14" ht="30" x14ac:dyDescent="0.25">
      <c r="A70" s="161" t="s">
        <v>8</v>
      </c>
      <c r="B70" s="163" t="s">
        <v>47</v>
      </c>
      <c r="C70" s="191">
        <f>C69*C41</f>
        <v>3.3333333333333332E-4</v>
      </c>
      <c r="D70" s="211">
        <f t="shared" si="4"/>
        <v>3.0253212121212121</v>
      </c>
      <c r="E70" s="83">
        <f t="shared" si="5"/>
        <v>3.129694793939394</v>
      </c>
      <c r="F70" s="83">
        <f t="shared" si="5"/>
        <v>3.129694793939394</v>
      </c>
      <c r="G70" s="107">
        <f>$G$69*$G$41</f>
        <v>3.3333333333333332E-4</v>
      </c>
      <c r="H70" s="92">
        <f t="shared" si="6"/>
        <v>3.129694793939394</v>
      </c>
      <c r="I70" s="107">
        <f>$I$69*$G$41</f>
        <v>3.3333333333333332E-4</v>
      </c>
      <c r="J70" s="92">
        <f t="shared" si="7"/>
        <v>3.129694793939394</v>
      </c>
      <c r="K70" s="107">
        <f>$I$69*$G$41</f>
        <v>3.3333333333333332E-4</v>
      </c>
      <c r="L70" s="92">
        <f t="shared" si="8"/>
        <v>3.3174764815757576</v>
      </c>
      <c r="M70" s="107">
        <f>$I$69*$G$41</f>
        <v>3.3333333333333332E-4</v>
      </c>
      <c r="N70" s="92">
        <f t="shared" si="9"/>
        <v>3.3800703774545457</v>
      </c>
    </row>
    <row r="71" spans="1:14" ht="30" x14ac:dyDescent="0.25">
      <c r="A71" s="161" t="s">
        <v>10</v>
      </c>
      <c r="B71" s="163" t="s">
        <v>48</v>
      </c>
      <c r="C71" s="191">
        <f>C69*8%*40%</f>
        <v>1.3333333333333334E-4</v>
      </c>
      <c r="D71" s="211">
        <f t="shared" si="4"/>
        <v>1.210128484848485</v>
      </c>
      <c r="E71" s="83">
        <f t="shared" si="5"/>
        <v>1.2518779175757577</v>
      </c>
      <c r="F71" s="83">
        <f t="shared" si="5"/>
        <v>1.2518779175757577</v>
      </c>
      <c r="G71" s="107">
        <f>$G$69*8%*40%</f>
        <v>1.3333333333333334E-4</v>
      </c>
      <c r="H71" s="92">
        <f t="shared" si="6"/>
        <v>1.2518779175757577</v>
      </c>
      <c r="I71" s="107">
        <f>$I$69*8%*40%</f>
        <v>1.3333333333333334E-4</v>
      </c>
      <c r="J71" s="92">
        <f t="shared" si="7"/>
        <v>1.2518779175757577</v>
      </c>
      <c r="K71" s="107">
        <f>$I$69*8%*40%</f>
        <v>1.3333333333333334E-4</v>
      </c>
      <c r="L71" s="92">
        <f t="shared" si="8"/>
        <v>1.3269905926303032</v>
      </c>
      <c r="M71" s="107">
        <f>$I$69*8%*40%</f>
        <v>1.3333333333333334E-4</v>
      </c>
      <c r="N71" s="92">
        <f t="shared" si="9"/>
        <v>1.3520281509818184</v>
      </c>
    </row>
    <row r="72" spans="1:14" x14ac:dyDescent="0.25">
      <c r="A72" s="161" t="s">
        <v>12</v>
      </c>
      <c r="B72" s="163" t="s">
        <v>49</v>
      </c>
      <c r="C72" s="191">
        <f>(7/30/12)*100%</f>
        <v>1.9444444444444445E-2</v>
      </c>
      <c r="D72" s="211">
        <f t="shared" si="4"/>
        <v>176.47707070707071</v>
      </c>
      <c r="E72" s="83">
        <f t="shared" si="5"/>
        <v>182.56552964646465</v>
      </c>
      <c r="F72" s="83">
        <f t="shared" si="5"/>
        <v>182.56552964646465</v>
      </c>
      <c r="G72" s="107">
        <f>(7/30/12)*100%</f>
        <v>1.9444444444444445E-2</v>
      </c>
      <c r="H72" s="92">
        <f t="shared" si="6"/>
        <v>182.56552964646465</v>
      </c>
      <c r="I72" s="107">
        <v>1.9400000000000001E-3</v>
      </c>
      <c r="J72" s="92">
        <f t="shared" si="7"/>
        <v>18.214823700727273</v>
      </c>
      <c r="K72" s="107">
        <v>1.9400000000000001E-3</v>
      </c>
      <c r="L72" s="92">
        <f t="shared" si="8"/>
        <v>19.30771312277091</v>
      </c>
      <c r="M72" s="107">
        <v>1.9400000000000001E-3</v>
      </c>
      <c r="N72" s="92">
        <f t="shared" si="9"/>
        <v>19.672009596785458</v>
      </c>
    </row>
    <row r="73" spans="1:14" ht="30" x14ac:dyDescent="0.25">
      <c r="A73" s="161" t="s">
        <v>14</v>
      </c>
      <c r="B73" s="163" t="s">
        <v>50</v>
      </c>
      <c r="C73" s="191">
        <f>C72*C42</f>
        <v>3.1779222222222221E-3</v>
      </c>
      <c r="D73" s="211">
        <f t="shared" si="4"/>
        <v>28.842706528080807</v>
      </c>
      <c r="E73" s="83">
        <f t="shared" si="5"/>
        <v>29.837779903299595</v>
      </c>
      <c r="F73" s="83">
        <f t="shared" si="5"/>
        <v>29.837779903299595</v>
      </c>
      <c r="G73" s="107">
        <f>$G$72*G$42</f>
        <v>3.0766944444444448E-3</v>
      </c>
      <c r="H73" s="92">
        <f t="shared" si="6"/>
        <v>28.887343755960107</v>
      </c>
      <c r="I73" s="107">
        <f>$I$72*$G$42</f>
        <v>3.0696620000000006E-4</v>
      </c>
      <c r="J73" s="92">
        <f t="shared" si="7"/>
        <v>2.8821315541660768</v>
      </c>
      <c r="K73" s="107">
        <f>$I$72*$G$42</f>
        <v>3.0696620000000006E-4</v>
      </c>
      <c r="L73" s="92">
        <f t="shared" si="8"/>
        <v>3.0550594474160415</v>
      </c>
      <c r="M73" s="107">
        <f>$I$72*$G$42</f>
        <v>3.0696620000000006E-4</v>
      </c>
      <c r="N73" s="92">
        <f t="shared" si="9"/>
        <v>3.1127020784993635</v>
      </c>
    </row>
    <row r="74" spans="1:14" ht="30" x14ac:dyDescent="0.25">
      <c r="A74" s="161" t="s">
        <v>16</v>
      </c>
      <c r="B74" s="163" t="s">
        <v>51</v>
      </c>
      <c r="C74" s="191">
        <f>C72*8%*40%</f>
        <v>6.2222222222222236E-4</v>
      </c>
      <c r="D74" s="211">
        <f t="shared" si="4"/>
        <v>5.647266262626264</v>
      </c>
      <c r="E74" s="83">
        <f t="shared" si="5"/>
        <v>5.8420969486868701</v>
      </c>
      <c r="F74" s="83">
        <f t="shared" si="5"/>
        <v>5.8420969486868701</v>
      </c>
      <c r="G74" s="107">
        <f>$G$72*8%*40%</f>
        <v>6.2222222222222236E-4</v>
      </c>
      <c r="H74" s="92">
        <f t="shared" si="6"/>
        <v>5.8420969486868701</v>
      </c>
      <c r="I74" s="107">
        <f>$I$72*8%*40%</f>
        <v>6.2080000000000002E-5</v>
      </c>
      <c r="J74" s="92">
        <f t="shared" si="7"/>
        <v>0.58287435842327273</v>
      </c>
      <c r="K74" s="107">
        <f>$I$72*8%*40%</f>
        <v>6.2080000000000002E-5</v>
      </c>
      <c r="L74" s="92">
        <f t="shared" si="8"/>
        <v>0.61784681992866919</v>
      </c>
      <c r="M74" s="107">
        <f>$I$72*8%*40%</f>
        <v>6.2080000000000002E-5</v>
      </c>
      <c r="N74" s="92">
        <f t="shared" si="9"/>
        <v>0.62950430709713467</v>
      </c>
    </row>
    <row r="75" spans="1:14" x14ac:dyDescent="0.25">
      <c r="A75" s="199" t="s">
        <v>32</v>
      </c>
      <c r="B75" s="200" t="s">
        <v>133</v>
      </c>
      <c r="C75" s="191">
        <v>3.49E-2</v>
      </c>
      <c r="D75" s="211">
        <f t="shared" si="4"/>
        <v>316.75113090909093</v>
      </c>
      <c r="E75" s="83">
        <f t="shared" si="5"/>
        <v>327.67904492545455</v>
      </c>
      <c r="F75" s="83">
        <f t="shared" si="5"/>
        <v>327.67904492545455</v>
      </c>
      <c r="G75" s="107">
        <v>3.49E-2</v>
      </c>
      <c r="H75" s="92">
        <f t="shared" si="6"/>
        <v>327.67904492545455</v>
      </c>
      <c r="I75" s="107">
        <v>3.49E-2</v>
      </c>
      <c r="J75" s="92">
        <f t="shared" si="7"/>
        <v>327.67904492545455</v>
      </c>
      <c r="K75" s="107">
        <v>3.49E-2</v>
      </c>
      <c r="L75" s="92">
        <f t="shared" si="8"/>
        <v>347.33978762098184</v>
      </c>
      <c r="M75" s="107">
        <v>3.49E-2</v>
      </c>
      <c r="N75" s="92">
        <f t="shared" si="9"/>
        <v>353.89336851949099</v>
      </c>
    </row>
    <row r="76" spans="1:14" x14ac:dyDescent="0.25">
      <c r="A76" s="499" t="s">
        <v>161</v>
      </c>
      <c r="B76" s="500"/>
      <c r="C76" s="186">
        <f t="shared" ref="C76:D76" si="10">SUM(C69:C75)</f>
        <v>6.2777922222222227E-2</v>
      </c>
      <c r="D76" s="172">
        <f t="shared" si="10"/>
        <v>569.77013925535357</v>
      </c>
      <c r="E76" s="83">
        <f>SUM(E69:E75)</f>
        <v>589.42720905966326</v>
      </c>
      <c r="F76" s="83">
        <f>SUM(F69:F75)</f>
        <v>589.42720905966326</v>
      </c>
      <c r="G76" s="108">
        <f>SUM(G69:G75)</f>
        <v>6.2676694444444445E-2</v>
      </c>
      <c r="H76" s="92">
        <f>SUM(H69:H75)</f>
        <v>588.47677291232367</v>
      </c>
      <c r="I76" s="108">
        <f t="shared" ref="I76" si="11">SUM(I69:I75)</f>
        <v>4.1842379533333335E-2</v>
      </c>
      <c r="J76" s="92">
        <f>SUM(J69:J75)</f>
        <v>392.86163217452872</v>
      </c>
      <c r="K76" s="108">
        <f t="shared" ref="K76" si="12">SUM(K69:K75)</f>
        <v>4.1842379533333335E-2</v>
      </c>
      <c r="L76" s="92">
        <f>SUM(L69:L75)</f>
        <v>416.43333010500049</v>
      </c>
      <c r="M76" s="108">
        <f t="shared" ref="M76" si="13">SUM(M69:M75)</f>
        <v>4.1842379533333335E-2</v>
      </c>
      <c r="N76" s="92">
        <f>SUM(N69:N75)</f>
        <v>424.29056274849114</v>
      </c>
    </row>
    <row r="77" spans="1:14" x14ac:dyDescent="0.25">
      <c r="A77" s="501" t="s">
        <v>111</v>
      </c>
      <c r="B77" s="502"/>
      <c r="C77" s="502"/>
      <c r="D77" s="502"/>
      <c r="E77" s="115"/>
      <c r="F77" s="115"/>
      <c r="G77" s="170"/>
      <c r="H77" s="160"/>
      <c r="I77" s="170"/>
      <c r="J77" s="160"/>
      <c r="K77" s="170"/>
      <c r="L77" s="371"/>
      <c r="M77" s="170"/>
      <c r="N77" s="371"/>
    </row>
    <row r="78" spans="1:14" x14ac:dyDescent="0.25">
      <c r="A78" s="501" t="s">
        <v>119</v>
      </c>
      <c r="B78" s="502"/>
      <c r="C78" s="502"/>
      <c r="D78" s="502"/>
      <c r="E78" s="115"/>
      <c r="F78" s="115"/>
      <c r="G78" s="170"/>
      <c r="H78" s="160"/>
      <c r="I78" s="170"/>
      <c r="J78" s="160"/>
      <c r="K78" s="170"/>
      <c r="L78" s="371"/>
      <c r="M78" s="170"/>
      <c r="N78" s="371"/>
    </row>
    <row r="79" spans="1:14" x14ac:dyDescent="0.25">
      <c r="A79" s="173"/>
      <c r="B79" s="174"/>
      <c r="C79" s="174"/>
      <c r="D79" s="175"/>
      <c r="E79" s="115"/>
      <c r="F79" s="115"/>
      <c r="G79" s="170"/>
      <c r="H79" s="160"/>
      <c r="I79" s="170"/>
      <c r="J79" s="160"/>
      <c r="K79" s="170"/>
      <c r="L79" s="371"/>
      <c r="M79" s="170"/>
      <c r="N79" s="371"/>
    </row>
    <row r="80" spans="1:14" x14ac:dyDescent="0.25">
      <c r="A80" s="471" t="s">
        <v>52</v>
      </c>
      <c r="B80" s="472"/>
      <c r="C80" s="472"/>
      <c r="D80" s="506"/>
      <c r="E80" s="115"/>
      <c r="F80" s="115"/>
      <c r="G80" s="170"/>
      <c r="H80" s="160"/>
      <c r="I80" s="170"/>
      <c r="J80" s="160"/>
      <c r="K80" s="170"/>
      <c r="L80" s="371"/>
      <c r="M80" s="170"/>
      <c r="N80" s="371"/>
    </row>
    <row r="81" spans="1:14" x14ac:dyDescent="0.25">
      <c r="A81" s="468" t="s">
        <v>112</v>
      </c>
      <c r="B81" s="469"/>
      <c r="C81" s="469"/>
      <c r="D81" s="509"/>
      <c r="E81" s="115"/>
      <c r="F81" s="115"/>
      <c r="G81" s="170"/>
      <c r="H81" s="160"/>
      <c r="I81" s="170"/>
      <c r="J81" s="160"/>
      <c r="K81" s="170"/>
      <c r="L81" s="371"/>
      <c r="M81" s="170"/>
      <c r="N81" s="371"/>
    </row>
    <row r="82" spans="1:14" x14ac:dyDescent="0.25">
      <c r="A82" s="173"/>
      <c r="B82" s="174"/>
      <c r="C82" s="174"/>
      <c r="D82" s="175"/>
      <c r="E82" s="115"/>
      <c r="F82" s="115"/>
      <c r="G82" s="170"/>
      <c r="H82" s="160"/>
      <c r="I82" s="170"/>
      <c r="J82" s="160"/>
      <c r="K82" s="170"/>
      <c r="L82" s="371"/>
      <c r="M82" s="170"/>
      <c r="N82" s="371"/>
    </row>
    <row r="83" spans="1:14" x14ac:dyDescent="0.25">
      <c r="A83" s="471" t="s">
        <v>114</v>
      </c>
      <c r="B83" s="472"/>
      <c r="C83" s="472"/>
      <c r="D83" s="506"/>
      <c r="E83" s="115"/>
      <c r="F83" s="115"/>
      <c r="G83" s="170"/>
      <c r="H83" s="160"/>
      <c r="I83" s="170"/>
      <c r="J83" s="160"/>
      <c r="K83" s="170"/>
      <c r="L83" s="371"/>
      <c r="M83" s="170"/>
      <c r="N83" s="371"/>
    </row>
    <row r="84" spans="1:14" x14ac:dyDescent="0.25">
      <c r="A84" s="187" t="s">
        <v>53</v>
      </c>
      <c r="B84" s="178" t="s">
        <v>54</v>
      </c>
      <c r="C84" s="178" t="s">
        <v>26</v>
      </c>
      <c r="D84" s="168" t="s">
        <v>5</v>
      </c>
      <c r="E84" s="189" t="s">
        <v>5</v>
      </c>
      <c r="F84" s="189" t="s">
        <v>5</v>
      </c>
      <c r="G84" s="190" t="s">
        <v>26</v>
      </c>
      <c r="H84" s="93" t="s">
        <v>5</v>
      </c>
      <c r="I84" s="190" t="s">
        <v>26</v>
      </c>
      <c r="J84" s="93" t="s">
        <v>5</v>
      </c>
      <c r="K84" s="190" t="s">
        <v>26</v>
      </c>
      <c r="L84" s="93" t="s">
        <v>5</v>
      </c>
      <c r="M84" s="190" t="s">
        <v>26</v>
      </c>
      <c r="N84" s="93" t="s">
        <v>5</v>
      </c>
    </row>
    <row r="85" spans="1:14" x14ac:dyDescent="0.25">
      <c r="A85" s="161" t="s">
        <v>6</v>
      </c>
      <c r="B85" s="163" t="s">
        <v>55</v>
      </c>
      <c r="C85" s="191">
        <v>6.8999999999999999E-3</v>
      </c>
      <c r="D85" s="211">
        <f t="shared" ref="D85:D90" si="14">C85*($D$19+$D$27)</f>
        <v>62.624149090909093</v>
      </c>
      <c r="E85" s="83">
        <f t="shared" ref="E85:F90" si="15">$C85*(E$19+E$27)</f>
        <v>64.784682234545457</v>
      </c>
      <c r="F85" s="83">
        <f t="shared" si="15"/>
        <v>64.784682234545457</v>
      </c>
      <c r="G85" s="107">
        <v>6.8999999999999999E-3</v>
      </c>
      <c r="H85" s="92">
        <f t="shared" ref="H85:H90" si="16">G85*($H$19+$H$27)</f>
        <v>64.784682234545457</v>
      </c>
      <c r="I85" s="107">
        <v>6.8999999999999999E-3</v>
      </c>
      <c r="J85" s="92">
        <f t="shared" ref="J85:J90" si="17">I85*($H$19+$H$27)</f>
        <v>64.784682234545457</v>
      </c>
      <c r="K85" s="107">
        <v>6.8999999999999999E-3</v>
      </c>
      <c r="L85" s="92">
        <f t="shared" ref="L85:L90" si="18">K85*(L$19+L$27)</f>
        <v>68.671763168618185</v>
      </c>
      <c r="M85" s="107">
        <v>6.8999999999999999E-3</v>
      </c>
      <c r="N85" s="92">
        <f t="shared" ref="N85:N90" si="19">M85*(N$19+N$27)</f>
        <v>69.967456813309099</v>
      </c>
    </row>
    <row r="86" spans="1:14" x14ac:dyDescent="0.25">
      <c r="A86" s="161" t="s">
        <v>8</v>
      </c>
      <c r="B86" s="163" t="s">
        <v>56</v>
      </c>
      <c r="C86" s="191">
        <f>(1/30)*(1/12)</f>
        <v>2.7777777777777775E-3</v>
      </c>
      <c r="D86" s="211">
        <f t="shared" si="14"/>
        <v>25.2110101010101</v>
      </c>
      <c r="E86" s="83">
        <f t="shared" si="15"/>
        <v>26.080789949494946</v>
      </c>
      <c r="F86" s="83">
        <f t="shared" si="15"/>
        <v>26.080789949494946</v>
      </c>
      <c r="G86" s="107">
        <f>(1/30)*(1/12)</f>
        <v>2.7777777777777775E-3</v>
      </c>
      <c r="H86" s="92">
        <f t="shared" si="16"/>
        <v>26.080789949494946</v>
      </c>
      <c r="I86" s="107">
        <f>(1/30)*(1/12)</f>
        <v>2.7777777777777775E-3</v>
      </c>
      <c r="J86" s="92">
        <f t="shared" si="17"/>
        <v>26.080789949494946</v>
      </c>
      <c r="K86" s="107">
        <f>(1/30)*(1/12)</f>
        <v>2.7777777777777775E-3</v>
      </c>
      <c r="L86" s="92">
        <f t="shared" si="18"/>
        <v>27.645637346464646</v>
      </c>
      <c r="M86" s="107">
        <f>(1/30)*(1/12)</f>
        <v>2.7777777777777775E-3</v>
      </c>
      <c r="N86" s="92">
        <f t="shared" si="19"/>
        <v>28.167253145454549</v>
      </c>
    </row>
    <row r="87" spans="1:14" x14ac:dyDescent="0.25">
      <c r="A87" s="161" t="s">
        <v>10</v>
      </c>
      <c r="B87" s="163" t="s">
        <v>57</v>
      </c>
      <c r="C87" s="191">
        <f>(5/30/12)*1.5%</f>
        <v>2.0833333333333332E-4</v>
      </c>
      <c r="D87" s="211">
        <f t="shared" si="14"/>
        <v>1.8908257575757574</v>
      </c>
      <c r="E87" s="83">
        <f t="shared" si="15"/>
        <v>1.9560592462121211</v>
      </c>
      <c r="F87" s="83">
        <f t="shared" si="15"/>
        <v>1.9560592462121211</v>
      </c>
      <c r="G87" s="107">
        <f>(5/30/12)*1.5%</f>
        <v>2.0833333333333332E-4</v>
      </c>
      <c r="H87" s="92">
        <f t="shared" si="16"/>
        <v>1.9560592462121211</v>
      </c>
      <c r="I87" s="107">
        <f>(5/30/12)*1.5%</f>
        <v>2.0833333333333332E-4</v>
      </c>
      <c r="J87" s="92">
        <f t="shared" si="17"/>
        <v>1.9560592462121211</v>
      </c>
      <c r="K87" s="107">
        <f>(5/30/12)*1.5%</f>
        <v>2.0833333333333332E-4</v>
      </c>
      <c r="L87" s="92">
        <f t="shared" si="18"/>
        <v>2.0734228009848485</v>
      </c>
      <c r="M87" s="107">
        <f>(5/30/12)*1.5%</f>
        <v>2.0833333333333332E-4</v>
      </c>
      <c r="N87" s="92">
        <f t="shared" si="19"/>
        <v>2.1125439859090913</v>
      </c>
    </row>
    <row r="88" spans="1:14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11">
        <f t="shared" si="14"/>
        <v>2.9496881818181815</v>
      </c>
      <c r="E88" s="83">
        <f t="shared" si="15"/>
        <v>3.0514524240909089</v>
      </c>
      <c r="F88" s="83">
        <f t="shared" si="15"/>
        <v>3.0514524240909089</v>
      </c>
      <c r="G88" s="107">
        <f>(15/30/12)*0.78%</f>
        <v>3.2499999999999999E-4</v>
      </c>
      <c r="H88" s="92">
        <f t="shared" si="16"/>
        <v>3.0514524240909089</v>
      </c>
      <c r="I88" s="107">
        <f>(15/30/12)*0.78%</f>
        <v>3.2499999999999999E-4</v>
      </c>
      <c r="J88" s="92">
        <f t="shared" si="17"/>
        <v>3.0514524240909089</v>
      </c>
      <c r="K88" s="107">
        <f>(15/30/12)*0.78%</f>
        <v>3.2499999999999999E-4</v>
      </c>
      <c r="L88" s="92">
        <f t="shared" si="18"/>
        <v>3.2345395695363637</v>
      </c>
      <c r="M88" s="107">
        <f>(15/30/12)*0.78%</f>
        <v>3.2499999999999999E-4</v>
      </c>
      <c r="N88" s="92">
        <f t="shared" si="19"/>
        <v>3.2955686180181822</v>
      </c>
    </row>
    <row r="89" spans="1:14" ht="30" x14ac:dyDescent="0.25">
      <c r="A89" s="161" t="s">
        <v>14</v>
      </c>
      <c r="B89" s="163" t="s">
        <v>59</v>
      </c>
      <c r="C89" s="191">
        <f>(1.44%*10%*(C34+C36+C25+C41+C75)*6/12)</f>
        <v>1.6649646545454546E-4</v>
      </c>
      <c r="D89" s="211">
        <f t="shared" si="14"/>
        <v>1.5111158660485289</v>
      </c>
      <c r="E89" s="83">
        <f t="shared" si="15"/>
        <v>1.5632493634272033</v>
      </c>
      <c r="F89" s="83">
        <f t="shared" si="15"/>
        <v>1.5632493634272033</v>
      </c>
      <c r="G89" s="107">
        <f>(1.44%*10%*(G$34+G$36+C$25+G$41+G$75)*6/12)</f>
        <v>1.6274814545454546E-4</v>
      </c>
      <c r="H89" s="92">
        <f t="shared" si="16"/>
        <v>1.5280560706571464</v>
      </c>
      <c r="I89" s="107">
        <f>(1.44%*10%*(G$34+G$36+C$25+G$41+I$75)*6/12)</f>
        <v>1.6274814545454546E-4</v>
      </c>
      <c r="J89" s="92">
        <f t="shared" si="17"/>
        <v>1.5280560706571464</v>
      </c>
      <c r="K89" s="107">
        <f>(1.44%*10%*($G$34+$G$36+$C$25+$G$41+K$75)*6/12)</f>
        <v>1.6274814545454546E-4</v>
      </c>
      <c r="L89" s="92">
        <f t="shared" si="18"/>
        <v>1.6197394348965752</v>
      </c>
      <c r="M89" s="107">
        <f>(1.44%*10%*($G$34+$G$36+$C$25+$G$41+M$75)*6/12)</f>
        <v>1.6274814545454546E-4</v>
      </c>
      <c r="N89" s="92">
        <f t="shared" si="19"/>
        <v>1.6503005563097184</v>
      </c>
    </row>
    <row r="90" spans="1:14" ht="30" x14ac:dyDescent="0.25">
      <c r="A90" s="161" t="s">
        <v>16</v>
      </c>
      <c r="B90" s="163" t="s">
        <v>60</v>
      </c>
      <c r="C90" s="191">
        <v>0</v>
      </c>
      <c r="D90" s="211">
        <f t="shared" si="14"/>
        <v>0</v>
      </c>
      <c r="E90" s="83">
        <f t="shared" si="15"/>
        <v>0</v>
      </c>
      <c r="F90" s="83">
        <f t="shared" si="15"/>
        <v>0</v>
      </c>
      <c r="G90" s="107">
        <v>0</v>
      </c>
      <c r="H90" s="92">
        <f t="shared" si="16"/>
        <v>0</v>
      </c>
      <c r="I90" s="107">
        <v>0</v>
      </c>
      <c r="J90" s="92">
        <f t="shared" si="17"/>
        <v>0</v>
      </c>
      <c r="K90" s="107">
        <v>0</v>
      </c>
      <c r="L90" s="92">
        <f t="shared" si="18"/>
        <v>0</v>
      </c>
      <c r="M90" s="107">
        <v>0</v>
      </c>
      <c r="N90" s="92">
        <f t="shared" si="19"/>
        <v>0</v>
      </c>
    </row>
    <row r="91" spans="1:14" x14ac:dyDescent="0.25">
      <c r="A91" s="499" t="s">
        <v>18</v>
      </c>
      <c r="B91" s="500"/>
      <c r="C91" s="186">
        <f t="shared" ref="C91:D91" si="20">SUM(C85:C90)</f>
        <v>1.0377607576565657E-2</v>
      </c>
      <c r="D91" s="172">
        <f t="shared" si="20"/>
        <v>94.186788997361646</v>
      </c>
      <c r="E91" s="83">
        <f>SUM(E85:E90)</f>
        <v>97.436233217770635</v>
      </c>
      <c r="F91" s="83">
        <f>SUM(F85:F90)</f>
        <v>97.436233217770635</v>
      </c>
      <c r="G91" s="108">
        <f>SUM(G85:G90)</f>
        <v>1.0373859256565657E-2</v>
      </c>
      <c r="H91" s="92">
        <f>SUM(H85:H90)</f>
        <v>97.401039925000575</v>
      </c>
      <c r="I91" s="108">
        <f t="shared" ref="I91" si="21">SUM(I85:I90)</f>
        <v>1.0373859256565657E-2</v>
      </c>
      <c r="J91" s="92">
        <f>SUM(J85:J90)</f>
        <v>97.401039925000575</v>
      </c>
      <c r="K91" s="108">
        <f t="shared" ref="K91" si="22">SUM(K85:K90)</f>
        <v>1.0373859256565657E-2</v>
      </c>
      <c r="L91" s="92">
        <f>SUM(L85:L90)</f>
        <v>103.24510232050061</v>
      </c>
      <c r="M91" s="108">
        <f t="shared" ref="M91" si="23">SUM(M85:M90)</f>
        <v>1.0373859256565657E-2</v>
      </c>
      <c r="N91" s="92">
        <f>SUM(N85:N90)</f>
        <v>105.19312311900063</v>
      </c>
    </row>
    <row r="92" spans="1:14" x14ac:dyDescent="0.25">
      <c r="A92" s="501" t="s">
        <v>120</v>
      </c>
      <c r="B92" s="502"/>
      <c r="C92" s="502"/>
      <c r="D92" s="502"/>
      <c r="E92" s="115"/>
      <c r="F92" s="115"/>
      <c r="G92" s="170"/>
      <c r="H92" s="160"/>
      <c r="I92" s="170"/>
      <c r="J92" s="160"/>
      <c r="K92" s="170"/>
      <c r="L92" s="371"/>
      <c r="M92" s="170"/>
      <c r="N92" s="371"/>
    </row>
    <row r="93" spans="1:14" x14ac:dyDescent="0.25">
      <c r="A93" s="173"/>
      <c r="B93" s="174"/>
      <c r="C93" s="174"/>
      <c r="D93" s="175"/>
      <c r="E93" s="115"/>
      <c r="F93" s="115"/>
      <c r="G93" s="170"/>
      <c r="H93" s="160"/>
      <c r="I93" s="170"/>
      <c r="J93" s="160"/>
      <c r="K93" s="170"/>
      <c r="L93" s="371"/>
      <c r="M93" s="170"/>
      <c r="N93" s="371"/>
    </row>
    <row r="94" spans="1:14" x14ac:dyDescent="0.25">
      <c r="A94" s="466" t="s">
        <v>115</v>
      </c>
      <c r="B94" s="467"/>
      <c r="C94" s="467"/>
      <c r="D94" s="503"/>
      <c r="E94" s="115"/>
      <c r="F94" s="115"/>
      <c r="G94" s="170"/>
      <c r="H94" s="160"/>
      <c r="I94" s="170"/>
      <c r="J94" s="160"/>
      <c r="K94" s="170"/>
      <c r="L94" s="371"/>
      <c r="M94" s="170"/>
      <c r="N94" s="371"/>
    </row>
    <row r="95" spans="1:14" x14ac:dyDescent="0.25">
      <c r="A95" s="187" t="s">
        <v>61</v>
      </c>
      <c r="B95" s="178" t="s">
        <v>62</v>
      </c>
      <c r="C95" s="178" t="s">
        <v>5</v>
      </c>
      <c r="D95" s="188"/>
      <c r="E95" s="115"/>
      <c r="F95" s="115"/>
      <c r="G95" s="170"/>
      <c r="H95" s="160"/>
      <c r="I95" s="170"/>
      <c r="J95" s="160"/>
      <c r="K95" s="170"/>
      <c r="L95" s="371"/>
      <c r="M95" s="170"/>
      <c r="N95" s="371"/>
    </row>
    <row r="96" spans="1:14" ht="30" x14ac:dyDescent="0.25">
      <c r="A96" s="161" t="s">
        <v>6</v>
      </c>
      <c r="B96" s="163" t="s">
        <v>63</v>
      </c>
      <c r="C96" s="203"/>
      <c r="D96" s="204"/>
      <c r="E96" s="115"/>
      <c r="F96" s="115"/>
      <c r="G96" s="170"/>
      <c r="H96" s="160"/>
      <c r="I96" s="170"/>
      <c r="J96" s="160"/>
      <c r="K96" s="170"/>
      <c r="L96" s="371"/>
      <c r="M96" s="170"/>
      <c r="N96" s="371"/>
    </row>
    <row r="97" spans="1:14" x14ac:dyDescent="0.25">
      <c r="A97" s="499" t="s">
        <v>18</v>
      </c>
      <c r="B97" s="500"/>
      <c r="C97" s="205">
        <f>SUM(C96)</f>
        <v>0</v>
      </c>
      <c r="D97" s="204"/>
      <c r="E97" s="115"/>
      <c r="F97" s="115"/>
      <c r="G97" s="170"/>
      <c r="H97" s="160"/>
      <c r="I97" s="170"/>
      <c r="J97" s="160"/>
      <c r="K97" s="170"/>
      <c r="L97" s="371"/>
      <c r="M97" s="170"/>
      <c r="N97" s="371"/>
    </row>
    <row r="98" spans="1:14" x14ac:dyDescent="0.25">
      <c r="A98" s="173"/>
      <c r="B98" s="174"/>
      <c r="C98" s="174"/>
      <c r="D98" s="175"/>
      <c r="E98" s="115"/>
      <c r="F98" s="115"/>
      <c r="G98" s="170"/>
      <c r="H98" s="160"/>
      <c r="I98" s="170"/>
      <c r="J98" s="160"/>
      <c r="K98" s="170"/>
      <c r="L98" s="371"/>
      <c r="M98" s="170"/>
      <c r="N98" s="371"/>
    </row>
    <row r="99" spans="1:14" x14ac:dyDescent="0.25">
      <c r="A99" s="415" t="s">
        <v>116</v>
      </c>
      <c r="B99" s="416"/>
      <c r="C99" s="416"/>
      <c r="D99" s="504"/>
      <c r="E99" s="115"/>
      <c r="F99" s="115"/>
      <c r="G99" s="170"/>
      <c r="H99" s="160"/>
      <c r="I99" s="170"/>
      <c r="J99" s="160"/>
      <c r="K99" s="170"/>
      <c r="L99" s="371"/>
      <c r="M99" s="170"/>
      <c r="N99" s="371"/>
    </row>
    <row r="100" spans="1:14" x14ac:dyDescent="0.25">
      <c r="A100" s="187">
        <v>4</v>
      </c>
      <c r="B100" s="476" t="s">
        <v>64</v>
      </c>
      <c r="C100" s="476"/>
      <c r="D100" s="168" t="s">
        <v>5</v>
      </c>
      <c r="E100" s="189" t="s">
        <v>5</v>
      </c>
      <c r="F100" s="189" t="s">
        <v>5</v>
      </c>
      <c r="G100" s="170"/>
      <c r="H100" s="93" t="s">
        <v>5</v>
      </c>
      <c r="I100" s="170"/>
      <c r="J100" s="93" t="s">
        <v>5</v>
      </c>
      <c r="K100" s="170"/>
      <c r="L100" s="93" t="s">
        <v>5</v>
      </c>
      <c r="M100" s="170"/>
      <c r="N100" s="93" t="s">
        <v>5</v>
      </c>
    </row>
    <row r="101" spans="1:14" x14ac:dyDescent="0.25">
      <c r="A101" s="181" t="s">
        <v>53</v>
      </c>
      <c r="B101" s="475" t="s">
        <v>54</v>
      </c>
      <c r="C101" s="475"/>
      <c r="D101" s="172">
        <f>D91</f>
        <v>94.186788997361646</v>
      </c>
      <c r="E101" s="83">
        <f>E91</f>
        <v>97.436233217770635</v>
      </c>
      <c r="F101" s="83">
        <f>F91</f>
        <v>97.436233217770635</v>
      </c>
      <c r="G101" s="170"/>
      <c r="H101" s="92">
        <f>H91</f>
        <v>97.401039925000575</v>
      </c>
      <c r="I101" s="170"/>
      <c r="J101" s="92">
        <f>J91</f>
        <v>97.401039925000575</v>
      </c>
      <c r="K101" s="170"/>
      <c r="L101" s="92">
        <f>L91</f>
        <v>103.24510232050061</v>
      </c>
      <c r="M101" s="170"/>
      <c r="N101" s="92">
        <f>N91</f>
        <v>105.19312311900063</v>
      </c>
    </row>
    <row r="102" spans="1:14" x14ac:dyDescent="0.25">
      <c r="A102" s="181" t="s">
        <v>61</v>
      </c>
      <c r="B102" s="182" t="s">
        <v>65</v>
      </c>
      <c r="C102" s="182"/>
      <c r="D102" s="220">
        <f>C97</f>
        <v>0</v>
      </c>
      <c r="E102" s="207">
        <f>E97</f>
        <v>0</v>
      </c>
      <c r="F102" s="207">
        <f>F97</f>
        <v>0</v>
      </c>
      <c r="G102" s="170"/>
      <c r="H102" s="97">
        <f>G97</f>
        <v>0</v>
      </c>
      <c r="I102" s="170"/>
      <c r="J102" s="97">
        <f>I97</f>
        <v>0</v>
      </c>
      <c r="K102" s="170"/>
      <c r="L102" s="97">
        <f>K97</f>
        <v>0</v>
      </c>
      <c r="M102" s="170"/>
      <c r="N102" s="97">
        <f>M97</f>
        <v>0</v>
      </c>
    </row>
    <row r="103" spans="1:14" x14ac:dyDescent="0.25">
      <c r="A103" s="466" t="s">
        <v>18</v>
      </c>
      <c r="B103" s="467"/>
      <c r="C103" s="467"/>
      <c r="D103" s="172">
        <f>SUM(D101:D102)</f>
        <v>94.186788997361646</v>
      </c>
      <c r="E103" s="83">
        <f>SUM(E101:E102)</f>
        <v>97.436233217770635</v>
      </c>
      <c r="F103" s="83">
        <f>SUM(F101:F102)</f>
        <v>97.436233217770635</v>
      </c>
      <c r="G103" s="170"/>
      <c r="H103" s="92">
        <f>SUM(H101:H102)</f>
        <v>97.401039925000575</v>
      </c>
      <c r="I103" s="170"/>
      <c r="J103" s="92">
        <f>SUM(J101:J102)</f>
        <v>97.401039925000575</v>
      </c>
      <c r="K103" s="170"/>
      <c r="L103" s="92">
        <f>SUM(L101:L102)</f>
        <v>103.24510232050061</v>
      </c>
      <c r="M103" s="170"/>
      <c r="N103" s="92">
        <f>SUM(N101:N102)</f>
        <v>105.19312311900063</v>
      </c>
    </row>
    <row r="104" spans="1:14" x14ac:dyDescent="0.25">
      <c r="A104" s="173"/>
      <c r="B104" s="174"/>
      <c r="C104" s="174"/>
      <c r="D104" s="175"/>
      <c r="E104" s="115"/>
      <c r="F104" s="115"/>
      <c r="G104" s="170"/>
      <c r="H104" s="160"/>
      <c r="I104" s="170"/>
      <c r="J104" s="160"/>
      <c r="K104" s="170"/>
      <c r="L104" s="371"/>
      <c r="M104" s="170"/>
      <c r="N104" s="371"/>
    </row>
    <row r="105" spans="1:14" x14ac:dyDescent="0.25">
      <c r="A105" s="481" t="s">
        <v>66</v>
      </c>
      <c r="B105" s="482"/>
      <c r="C105" s="482"/>
      <c r="D105" s="505"/>
      <c r="E105" s="115"/>
      <c r="F105" s="115"/>
      <c r="G105" s="170"/>
      <c r="H105" s="160"/>
      <c r="I105" s="170"/>
      <c r="J105" s="160"/>
      <c r="K105" s="170"/>
      <c r="L105" s="371"/>
      <c r="M105" s="170"/>
      <c r="N105" s="371"/>
    </row>
    <row r="106" spans="1:14" x14ac:dyDescent="0.25">
      <c r="A106" s="187">
        <v>5</v>
      </c>
      <c r="B106" s="476" t="s">
        <v>67</v>
      </c>
      <c r="C106" s="476"/>
      <c r="D106" s="168" t="s">
        <v>5</v>
      </c>
      <c r="E106" s="189" t="s">
        <v>5</v>
      </c>
      <c r="F106" s="189" t="s">
        <v>5</v>
      </c>
      <c r="G106" s="170"/>
      <c r="H106" s="93" t="s">
        <v>5</v>
      </c>
      <c r="I106" s="170"/>
      <c r="J106" s="93" t="s">
        <v>5</v>
      </c>
      <c r="K106" s="170"/>
      <c r="L106" s="93" t="s">
        <v>5</v>
      </c>
      <c r="M106" s="170"/>
      <c r="N106" s="93" t="s">
        <v>5</v>
      </c>
    </row>
    <row r="107" spans="1:14" x14ac:dyDescent="0.25">
      <c r="A107" s="181" t="s">
        <v>6</v>
      </c>
      <c r="B107" s="475" t="s">
        <v>68</v>
      </c>
      <c r="C107" s="475"/>
      <c r="D107" s="184">
        <v>0</v>
      </c>
      <c r="E107" s="83">
        <v>0</v>
      </c>
      <c r="F107" s="83">
        <v>0</v>
      </c>
      <c r="G107" s="170"/>
      <c r="H107" s="92">
        <v>0</v>
      </c>
      <c r="I107" s="170"/>
      <c r="J107" s="92">
        <v>0</v>
      </c>
      <c r="K107" s="170"/>
      <c r="L107" s="92">
        <v>0</v>
      </c>
      <c r="M107" s="170"/>
      <c r="N107" s="92">
        <v>0</v>
      </c>
    </row>
    <row r="108" spans="1:14" x14ac:dyDescent="0.25">
      <c r="A108" s="181" t="s">
        <v>8</v>
      </c>
      <c r="B108" s="475" t="s">
        <v>69</v>
      </c>
      <c r="C108" s="475"/>
      <c r="D108" s="184">
        <v>0</v>
      </c>
      <c r="E108" s="83">
        <v>0</v>
      </c>
      <c r="F108" s="83">
        <v>0</v>
      </c>
      <c r="G108" s="170"/>
      <c r="H108" s="92">
        <v>0</v>
      </c>
      <c r="I108" s="170"/>
      <c r="J108" s="92">
        <v>0</v>
      </c>
      <c r="K108" s="170"/>
      <c r="L108" s="92">
        <v>0</v>
      </c>
      <c r="M108" s="170"/>
      <c r="N108" s="92">
        <v>0</v>
      </c>
    </row>
    <row r="109" spans="1:14" x14ac:dyDescent="0.25">
      <c r="A109" s="181" t="s">
        <v>10</v>
      </c>
      <c r="B109" s="475" t="s">
        <v>70</v>
      </c>
      <c r="C109" s="475"/>
      <c r="D109" s="184">
        <v>0</v>
      </c>
      <c r="E109" s="83">
        <v>0</v>
      </c>
      <c r="F109" s="83">
        <v>0</v>
      </c>
      <c r="G109" s="170"/>
      <c r="H109" s="92">
        <v>0</v>
      </c>
      <c r="I109" s="170"/>
      <c r="J109" s="92">
        <v>0</v>
      </c>
      <c r="K109" s="170"/>
      <c r="L109" s="92">
        <v>0</v>
      </c>
      <c r="M109" s="170"/>
      <c r="N109" s="92">
        <v>0</v>
      </c>
    </row>
    <row r="110" spans="1:14" x14ac:dyDescent="0.25">
      <c r="A110" s="181" t="s">
        <v>12</v>
      </c>
      <c r="B110" s="475" t="s">
        <v>17</v>
      </c>
      <c r="C110" s="475"/>
      <c r="D110" s="184">
        <v>0</v>
      </c>
      <c r="E110" s="83">
        <v>0</v>
      </c>
      <c r="F110" s="83">
        <v>0</v>
      </c>
      <c r="G110" s="170"/>
      <c r="H110" s="92">
        <v>0</v>
      </c>
      <c r="I110" s="170"/>
      <c r="J110" s="92">
        <v>0</v>
      </c>
      <c r="K110" s="170"/>
      <c r="L110" s="92">
        <v>0</v>
      </c>
      <c r="M110" s="170"/>
      <c r="N110" s="92">
        <v>0</v>
      </c>
    </row>
    <row r="111" spans="1:14" x14ac:dyDescent="0.25">
      <c r="A111" s="466" t="s">
        <v>18</v>
      </c>
      <c r="B111" s="467"/>
      <c r="C111" s="467"/>
      <c r="D111" s="184">
        <f>SUM(D107:D110)</f>
        <v>0</v>
      </c>
      <c r="E111" s="83">
        <f>SUM(E107:E110)</f>
        <v>0</v>
      </c>
      <c r="F111" s="83">
        <f>SUM(F107:F110)</f>
        <v>0</v>
      </c>
      <c r="G111" s="170"/>
      <c r="H111" s="92">
        <f>SUM(H107:H110)</f>
        <v>0</v>
      </c>
      <c r="I111" s="170"/>
      <c r="J111" s="92">
        <f>SUM(J107:J110)</f>
        <v>0</v>
      </c>
      <c r="K111" s="170"/>
      <c r="L111" s="92">
        <f>SUM(L107:L110)</f>
        <v>0</v>
      </c>
      <c r="M111" s="170"/>
      <c r="N111" s="92">
        <f>SUM(N107:N110)</f>
        <v>0</v>
      </c>
    </row>
    <row r="112" spans="1:14" x14ac:dyDescent="0.25">
      <c r="A112" s="501" t="s">
        <v>80</v>
      </c>
      <c r="B112" s="502"/>
      <c r="C112" s="502"/>
      <c r="D112" s="502"/>
      <c r="E112" s="115"/>
      <c r="F112" s="115"/>
      <c r="G112" s="170"/>
      <c r="H112" s="160"/>
      <c r="I112" s="170"/>
      <c r="J112" s="160"/>
      <c r="K112" s="170"/>
      <c r="L112" s="371"/>
      <c r="M112" s="170"/>
      <c r="N112" s="371"/>
    </row>
    <row r="113" spans="1:14" x14ac:dyDescent="0.25">
      <c r="A113" s="173"/>
      <c r="B113" s="174"/>
      <c r="C113" s="174"/>
      <c r="D113" s="175"/>
      <c r="E113" s="115"/>
      <c r="F113" s="115"/>
      <c r="G113" s="170"/>
      <c r="H113" s="160"/>
      <c r="I113" s="170"/>
      <c r="J113" s="160"/>
      <c r="K113" s="170"/>
      <c r="L113" s="371"/>
      <c r="M113" s="170"/>
      <c r="N113" s="371"/>
    </row>
    <row r="114" spans="1:14" x14ac:dyDescent="0.25">
      <c r="A114" s="481" t="s">
        <v>71</v>
      </c>
      <c r="B114" s="482"/>
      <c r="C114" s="482"/>
      <c r="D114" s="505"/>
      <c r="E114" s="115"/>
      <c r="F114" s="115"/>
      <c r="G114" s="170"/>
      <c r="H114" s="160"/>
      <c r="I114" s="170"/>
      <c r="J114" s="160"/>
      <c r="K114" s="170"/>
      <c r="L114" s="371"/>
      <c r="M114" s="170"/>
      <c r="N114" s="371"/>
    </row>
    <row r="115" spans="1:14" x14ac:dyDescent="0.25">
      <c r="A115" s="477" t="s">
        <v>121</v>
      </c>
      <c r="B115" s="478"/>
      <c r="C115" s="479" t="s">
        <v>122</v>
      </c>
      <c r="D115" s="508"/>
      <c r="E115" s="208" t="s">
        <v>122</v>
      </c>
      <c r="F115" s="208" t="s">
        <v>122</v>
      </c>
      <c r="G115" s="464" t="s">
        <v>122</v>
      </c>
      <c r="H115" s="465"/>
      <c r="I115" s="209"/>
      <c r="J115" s="210" t="s">
        <v>122</v>
      </c>
      <c r="K115" s="209"/>
      <c r="L115" s="377" t="s">
        <v>122</v>
      </c>
      <c r="M115" s="209"/>
      <c r="N115" s="377" t="s">
        <v>122</v>
      </c>
    </row>
    <row r="116" spans="1:14" x14ac:dyDescent="0.25">
      <c r="A116" s="187">
        <v>6</v>
      </c>
      <c r="B116" s="178" t="s">
        <v>72</v>
      </c>
      <c r="C116" s="178" t="s">
        <v>26</v>
      </c>
      <c r="D116" s="188" t="s">
        <v>5</v>
      </c>
      <c r="E116" s="189" t="s">
        <v>5</v>
      </c>
      <c r="F116" s="189" t="s">
        <v>5</v>
      </c>
      <c r="G116" s="197" t="s">
        <v>26</v>
      </c>
      <c r="H116" s="93" t="s">
        <v>5</v>
      </c>
      <c r="I116" s="180"/>
      <c r="J116" s="93" t="s">
        <v>5</v>
      </c>
      <c r="K116" s="180"/>
      <c r="L116" s="93" t="s">
        <v>5</v>
      </c>
      <c r="M116" s="180"/>
      <c r="N116" s="93" t="s">
        <v>5</v>
      </c>
    </row>
    <row r="117" spans="1:14" x14ac:dyDescent="0.25">
      <c r="A117" s="181" t="s">
        <v>6</v>
      </c>
      <c r="B117" s="182" t="s">
        <v>73</v>
      </c>
      <c r="C117" s="198">
        <v>0.05</v>
      </c>
      <c r="D117" s="172">
        <f>C117*D135</f>
        <v>574.43348787445393</v>
      </c>
      <c r="E117" s="83">
        <f>$C117*E$135</f>
        <v>593.79361095612262</v>
      </c>
      <c r="F117" s="83">
        <f>$C117*F$135</f>
        <v>594.1936109561226</v>
      </c>
      <c r="G117" s="107">
        <v>0.05</v>
      </c>
      <c r="H117" s="92">
        <f>G117*H$135</f>
        <v>592.10035081952981</v>
      </c>
      <c r="I117" s="106"/>
      <c r="J117" s="92">
        <f>G117*J$135</f>
        <v>582.31959378264003</v>
      </c>
      <c r="K117" s="106"/>
      <c r="L117" s="92">
        <f>G117*L$135</f>
        <v>617.21453940959873</v>
      </c>
      <c r="M117" s="106"/>
      <c r="N117" s="92">
        <f>G117*N$135</f>
        <v>624.19280329104743</v>
      </c>
    </row>
    <row r="118" spans="1:14" x14ac:dyDescent="0.25">
      <c r="A118" s="181" t="s">
        <v>8</v>
      </c>
      <c r="B118" s="182" t="s">
        <v>74</v>
      </c>
      <c r="C118" s="198">
        <v>4.5391710715628607E-2</v>
      </c>
      <c r="D118" s="172">
        <f>C118*D135</f>
        <v>521.49037413933536</v>
      </c>
      <c r="E118" s="83">
        <f>$C118*E$135</f>
        <v>539.06615626617668</v>
      </c>
      <c r="F118" s="83">
        <f>$C118*F$135</f>
        <v>539.42928995190164</v>
      </c>
      <c r="G118" s="107">
        <v>4.5391710715628607E-2</v>
      </c>
      <c r="H118" s="92">
        <f>G118*H$135</f>
        <v>537.52895678044615</v>
      </c>
      <c r="I118" s="106"/>
      <c r="J118" s="92">
        <f>G118*J$135</f>
        <v>528.64965090047917</v>
      </c>
      <c r="K118" s="106"/>
      <c r="L118" s="92">
        <f>G118*L$135</f>
        <v>560.32847644720903</v>
      </c>
      <c r="M118" s="106"/>
      <c r="N118" s="92">
        <f>G118*N$135</f>
        <v>566.66358315528987</v>
      </c>
    </row>
    <row r="119" spans="1:14" x14ac:dyDescent="0.25">
      <c r="A119" s="181" t="s">
        <v>10</v>
      </c>
      <c r="B119" s="182" t="s">
        <v>130</v>
      </c>
      <c r="C119" s="198">
        <f>SUM(C120:C122)</f>
        <v>8.6499999999999994E-2</v>
      </c>
      <c r="D119" s="172">
        <f>(D135+D118+D117)*(C119/IF(C115="Lucro presumido",91.45%,85.75%))</f>
        <v>1190.3415506692161</v>
      </c>
      <c r="E119" s="83">
        <f>(E$135+E$118+E$117)*($C119/IF($C115="Lucro presumido",91.45%,85.75%))</f>
        <v>1230.4596137986014</v>
      </c>
      <c r="F119" s="83">
        <f>(F$135+F$118+F$117)*($C119/IF($C115="Lucro presumido",91.45%,85.75%))</f>
        <v>1231.2884941308214</v>
      </c>
      <c r="G119" s="107">
        <f>SUM(G120:G122)</f>
        <v>8.6499999999999994E-2</v>
      </c>
      <c r="H119" s="92">
        <f>(H$135+H$118+H$117)*(G119/IF(G115="Lucro presumido",91.45%,85.75%))</f>
        <v>1226.9508387372164</v>
      </c>
      <c r="I119" s="106"/>
      <c r="J119" s="92">
        <f>(J$135+J$118+J$117)*(G119/IF(J115="Lucro presumido",91.45%,85.75%))</f>
        <v>1206.6831458819652</v>
      </c>
      <c r="K119" s="106"/>
      <c r="L119" s="92">
        <f>(L$135+L$118+L$117)*(G119/IF(L115="Lucro presumido",91.45%,85.75%))</f>
        <v>1278.992481192148</v>
      </c>
      <c r="M119" s="106"/>
      <c r="N119" s="92">
        <f>(N$135+N$118+N$117)*(G119/IF(N115="Lucro presumido",91.45%,85.75%))</f>
        <v>1293.452845403084</v>
      </c>
    </row>
    <row r="120" spans="1:14" x14ac:dyDescent="0.25">
      <c r="A120" s="181" t="s">
        <v>125</v>
      </c>
      <c r="B120" s="182" t="s">
        <v>124</v>
      </c>
      <c r="C120" s="198">
        <f>IF(C115="Lucro presumido",0.65%,1.65%)</f>
        <v>6.5000000000000006E-3</v>
      </c>
      <c r="D120" s="172" t="s">
        <v>123</v>
      </c>
      <c r="E120" s="83" t="s">
        <v>123</v>
      </c>
      <c r="F120" s="83" t="s">
        <v>123</v>
      </c>
      <c r="G120" s="107">
        <f>IF(G115="Lucro presumido",0.65%,1.65%)</f>
        <v>6.5000000000000006E-3</v>
      </c>
      <c r="H120" s="92" t="s">
        <v>123</v>
      </c>
      <c r="I120" s="106"/>
      <c r="J120" s="92" t="s">
        <v>123</v>
      </c>
      <c r="K120" s="106"/>
      <c r="L120" s="92" t="s">
        <v>123</v>
      </c>
      <c r="M120" s="106"/>
      <c r="N120" s="92" t="s">
        <v>123</v>
      </c>
    </row>
    <row r="121" spans="1:14" x14ac:dyDescent="0.25">
      <c r="A121" s="181" t="s">
        <v>127</v>
      </c>
      <c r="B121" s="182" t="s">
        <v>126</v>
      </c>
      <c r="C121" s="198">
        <f>IF(C115="Lucro presumido",3%,7.6%)</f>
        <v>0.03</v>
      </c>
      <c r="D121" s="172" t="s">
        <v>123</v>
      </c>
      <c r="E121" s="83" t="s">
        <v>123</v>
      </c>
      <c r="F121" s="83" t="s">
        <v>123</v>
      </c>
      <c r="G121" s="107">
        <f>IF(G115="Lucro presumido",3%,7.6%)</f>
        <v>0.03</v>
      </c>
      <c r="H121" s="92" t="s">
        <v>123</v>
      </c>
      <c r="I121" s="106"/>
      <c r="J121" s="92" t="s">
        <v>123</v>
      </c>
      <c r="K121" s="106"/>
      <c r="L121" s="92" t="s">
        <v>123</v>
      </c>
      <c r="M121" s="106"/>
      <c r="N121" s="92" t="s">
        <v>123</v>
      </c>
    </row>
    <row r="122" spans="1:14" x14ac:dyDescent="0.25">
      <c r="A122" s="181" t="s">
        <v>129</v>
      </c>
      <c r="B122" s="182" t="s">
        <v>128</v>
      </c>
      <c r="C122" s="198">
        <v>0.05</v>
      </c>
      <c r="D122" s="172" t="s">
        <v>123</v>
      </c>
      <c r="E122" s="83" t="s">
        <v>123</v>
      </c>
      <c r="F122" s="83" t="s">
        <v>123</v>
      </c>
      <c r="G122" s="107">
        <v>0.05</v>
      </c>
      <c r="H122" s="92" t="s">
        <v>123</v>
      </c>
      <c r="I122" s="106"/>
      <c r="J122" s="92" t="s">
        <v>123</v>
      </c>
      <c r="K122" s="106"/>
      <c r="L122" s="92" t="s">
        <v>123</v>
      </c>
      <c r="M122" s="106"/>
      <c r="N122" s="92" t="s">
        <v>123</v>
      </c>
    </row>
    <row r="123" spans="1:14" ht="30" x14ac:dyDescent="0.25">
      <c r="A123" s="161" t="s">
        <v>12</v>
      </c>
      <c r="B123" s="163" t="s">
        <v>132</v>
      </c>
      <c r="C123" s="221">
        <v>4.4999999999999998E-2</v>
      </c>
      <c r="D123" s="172">
        <f>(D135+D118+D117)*(C123/IF(C115="Lucro presumido",91.45%,85.75%))</f>
        <v>619.25282982791589</v>
      </c>
      <c r="E123" s="83">
        <f>(E$135+E$118+E$117)*($C123/IF($C115="Lucro presumido",91.45%,85.75%))</f>
        <v>640.12349850794294</v>
      </c>
      <c r="F123" s="83">
        <f>(F$135+F$118+F$117)*($C123/IF($C115="Lucro presumido",91.45%,85.75%))</f>
        <v>640.55470792932908</v>
      </c>
      <c r="G123" s="107">
        <v>4.4999999999999998E-2</v>
      </c>
      <c r="H123" s="92">
        <f>(H$135+H$118+H$117)*(G123/IF(G115="Lucro presumido",91.45%,85.75%))</f>
        <v>638.29812419855193</v>
      </c>
      <c r="I123" s="106"/>
      <c r="J123" s="92">
        <f>(J$135+J$118+J$117)*(G123/IF(J115="Lucro presumido",91.45%,85.75%))</f>
        <v>627.75423774206274</v>
      </c>
      <c r="K123" s="106"/>
      <c r="L123" s="92">
        <f>(L$135+L$118+L$117)*(G123/IF(L115="Lucro presumido",91.45%,85.75%))</f>
        <v>665.37181102481702</v>
      </c>
      <c r="M123" s="106"/>
      <c r="N123" s="92">
        <f>(N$135+N$118+N$117)*(G123/IF(N115="Lucro presumido",91.45%,85.75%))</f>
        <v>672.89454385131535</v>
      </c>
    </row>
    <row r="124" spans="1:14" x14ac:dyDescent="0.25">
      <c r="A124" s="466" t="s">
        <v>18</v>
      </c>
      <c r="B124" s="467"/>
      <c r="C124" s="222">
        <f>SUM(C117:C119)+(C123)</f>
        <v>0.22689171071562858</v>
      </c>
      <c r="D124" s="172">
        <f>SUM(D117:D119)+D123</f>
        <v>2905.5182425109215</v>
      </c>
      <c r="E124" s="83">
        <f>SUM(E117:E119)+E123</f>
        <v>3003.4428795288432</v>
      </c>
      <c r="F124" s="83">
        <f>SUM(F117:F119)+F123</f>
        <v>3005.4661029681747</v>
      </c>
      <c r="G124" s="194">
        <f>SUM(G117:G119)+(G123)</f>
        <v>0.22689171071562858</v>
      </c>
      <c r="H124" s="92">
        <f>SUM(H117:H119)+H123</f>
        <v>2994.8782705357444</v>
      </c>
      <c r="I124" s="106"/>
      <c r="J124" s="92">
        <f>SUM(J117:J119)+J123</f>
        <v>2945.406628307147</v>
      </c>
      <c r="K124" s="106"/>
      <c r="L124" s="92">
        <f>SUM(L117:L119)+L123</f>
        <v>3121.907308073773</v>
      </c>
      <c r="M124" s="106"/>
      <c r="N124" s="92">
        <f>SUM(N117:N119)+N123</f>
        <v>3157.2037757007365</v>
      </c>
    </row>
    <row r="125" spans="1:14" x14ac:dyDescent="0.25">
      <c r="A125" s="501" t="s">
        <v>81</v>
      </c>
      <c r="B125" s="502"/>
      <c r="C125" s="502"/>
      <c r="D125" s="502"/>
      <c r="E125" s="115"/>
      <c r="F125" s="115"/>
      <c r="G125" s="170"/>
      <c r="H125" s="160"/>
      <c r="I125" s="170"/>
      <c r="J125" s="160"/>
      <c r="K125" s="170"/>
      <c r="L125" s="371"/>
      <c r="M125" s="170"/>
      <c r="N125" s="371"/>
    </row>
    <row r="126" spans="1:14" x14ac:dyDescent="0.25">
      <c r="A126" s="501" t="s">
        <v>131</v>
      </c>
      <c r="B126" s="502"/>
      <c r="C126" s="502"/>
      <c r="D126" s="502"/>
      <c r="E126" s="115"/>
      <c r="F126" s="115"/>
      <c r="G126" s="170"/>
      <c r="H126" s="160"/>
      <c r="I126" s="170"/>
      <c r="J126" s="160"/>
      <c r="K126" s="170"/>
      <c r="L126" s="371"/>
      <c r="M126" s="170"/>
      <c r="N126" s="371"/>
    </row>
    <row r="127" spans="1:14" x14ac:dyDescent="0.25">
      <c r="A127" s="173"/>
      <c r="B127" s="174"/>
      <c r="C127" s="174"/>
      <c r="D127" s="175"/>
      <c r="E127" s="115"/>
      <c r="F127" s="115"/>
      <c r="G127" s="170"/>
      <c r="H127" s="160"/>
      <c r="I127" s="170"/>
      <c r="J127" s="160"/>
      <c r="K127" s="170"/>
      <c r="L127" s="371"/>
      <c r="M127" s="170"/>
      <c r="N127" s="371"/>
    </row>
    <row r="128" spans="1:14" x14ac:dyDescent="0.25">
      <c r="A128" s="481" t="s">
        <v>117</v>
      </c>
      <c r="B128" s="482"/>
      <c r="C128" s="482"/>
      <c r="D128" s="505"/>
      <c r="E128" s="115"/>
      <c r="F128" s="115"/>
      <c r="G128" s="170"/>
      <c r="H128" s="160"/>
      <c r="I128" s="170"/>
      <c r="J128" s="160"/>
      <c r="K128" s="170"/>
      <c r="L128" s="371"/>
      <c r="M128" s="170"/>
      <c r="N128" s="371"/>
    </row>
    <row r="129" spans="1:14" ht="30" x14ac:dyDescent="0.25">
      <c r="A129" s="499" t="s">
        <v>82</v>
      </c>
      <c r="B129" s="507"/>
      <c r="C129" s="500"/>
      <c r="D129" s="188" t="s">
        <v>75</v>
      </c>
      <c r="E129" s="169" t="s">
        <v>167</v>
      </c>
      <c r="F129" s="169" t="s">
        <v>168</v>
      </c>
      <c r="G129" s="170"/>
      <c r="H129" s="171" t="s">
        <v>210</v>
      </c>
      <c r="I129" s="170"/>
      <c r="J129" s="171" t="s">
        <v>209</v>
      </c>
      <c r="K129" s="170"/>
      <c r="L129" s="378" t="s">
        <v>209</v>
      </c>
      <c r="M129" s="170"/>
      <c r="N129" s="378" t="s">
        <v>209</v>
      </c>
    </row>
    <row r="130" spans="1:14" x14ac:dyDescent="0.25">
      <c r="A130" s="161" t="s">
        <v>6</v>
      </c>
      <c r="B130" s="474" t="s">
        <v>76</v>
      </c>
      <c r="C130" s="474"/>
      <c r="D130" s="211">
        <f>D19</f>
        <v>7487.67</v>
      </c>
      <c r="E130" s="83">
        <f>E19</f>
        <v>7745.9946149999996</v>
      </c>
      <c r="F130" s="83">
        <f>F19</f>
        <v>7745.9946149999996</v>
      </c>
      <c r="G130" s="170"/>
      <c r="H130" s="92">
        <f>H19</f>
        <v>7745.9946149999996</v>
      </c>
      <c r="I130" s="170"/>
      <c r="J130" s="92">
        <f>J19</f>
        <v>7745.9946149999996</v>
      </c>
      <c r="K130" s="170"/>
      <c r="L130" s="92">
        <f>L19</f>
        <v>8210.7542919000007</v>
      </c>
      <c r="M130" s="170"/>
      <c r="N130" s="92">
        <f>N19</f>
        <v>8365.674184200001</v>
      </c>
    </row>
    <row r="131" spans="1:14" x14ac:dyDescent="0.25">
      <c r="A131" s="161" t="s">
        <v>8</v>
      </c>
      <c r="B131" s="474" t="s">
        <v>20</v>
      </c>
      <c r="C131" s="474"/>
      <c r="D131" s="211">
        <f>D65</f>
        <v>3337.0428292363631</v>
      </c>
      <c r="E131" s="83">
        <f>E65</f>
        <v>3443.014161845018</v>
      </c>
      <c r="F131" s="83">
        <f>F65</f>
        <v>3451.014161845018</v>
      </c>
      <c r="G131" s="170"/>
      <c r="H131" s="92">
        <f>H65</f>
        <v>3410.1345885532728</v>
      </c>
      <c r="I131" s="170"/>
      <c r="J131" s="92">
        <f>J65</f>
        <v>3410.1345885532728</v>
      </c>
      <c r="K131" s="170"/>
      <c r="L131" s="92">
        <f>L65</f>
        <v>3613.8580638664694</v>
      </c>
      <c r="M131" s="170"/>
      <c r="N131" s="92">
        <f>N65</f>
        <v>3588.6981957534549</v>
      </c>
    </row>
    <row r="132" spans="1:14" x14ac:dyDescent="0.25">
      <c r="A132" s="161" t="s">
        <v>10</v>
      </c>
      <c r="B132" s="474" t="s">
        <v>77</v>
      </c>
      <c r="C132" s="474"/>
      <c r="D132" s="211">
        <f>D76</f>
        <v>569.77013925535357</v>
      </c>
      <c r="E132" s="83">
        <f>E76</f>
        <v>589.42720905966326</v>
      </c>
      <c r="F132" s="83">
        <f>F76</f>
        <v>589.42720905966326</v>
      </c>
      <c r="G132" s="170"/>
      <c r="H132" s="92">
        <f>H76</f>
        <v>588.47677291232367</v>
      </c>
      <c r="I132" s="170"/>
      <c r="J132" s="92">
        <f>J76</f>
        <v>392.86163217452872</v>
      </c>
      <c r="K132" s="170"/>
      <c r="L132" s="92">
        <f>L76</f>
        <v>416.43333010500049</v>
      </c>
      <c r="M132" s="170"/>
      <c r="N132" s="92">
        <f>N76</f>
        <v>424.29056274849114</v>
      </c>
    </row>
    <row r="133" spans="1:14" x14ac:dyDescent="0.25">
      <c r="A133" s="161" t="s">
        <v>12</v>
      </c>
      <c r="B133" s="474" t="s">
        <v>52</v>
      </c>
      <c r="C133" s="474"/>
      <c r="D133" s="211">
        <f>D103</f>
        <v>94.186788997361646</v>
      </c>
      <c r="E133" s="83">
        <f>E103</f>
        <v>97.436233217770635</v>
      </c>
      <c r="F133" s="83">
        <f>F103</f>
        <v>97.436233217770635</v>
      </c>
      <c r="G133" s="170"/>
      <c r="H133" s="92">
        <f>H103</f>
        <v>97.401039925000575</v>
      </c>
      <c r="I133" s="170"/>
      <c r="J133" s="92">
        <f>J103</f>
        <v>97.401039925000575</v>
      </c>
      <c r="K133" s="170"/>
      <c r="L133" s="92">
        <f>L103</f>
        <v>103.24510232050061</v>
      </c>
      <c r="M133" s="170"/>
      <c r="N133" s="92">
        <f>N103</f>
        <v>105.19312311900063</v>
      </c>
    </row>
    <row r="134" spans="1:14" x14ac:dyDescent="0.25">
      <c r="A134" s="161" t="s">
        <v>14</v>
      </c>
      <c r="B134" s="474" t="s">
        <v>66</v>
      </c>
      <c r="C134" s="474"/>
      <c r="D134" s="211">
        <f>D111</f>
        <v>0</v>
      </c>
      <c r="E134" s="83">
        <f>E111</f>
        <v>0</v>
      </c>
      <c r="F134" s="83">
        <f>F111</f>
        <v>0</v>
      </c>
      <c r="G134" s="170"/>
      <c r="H134" s="92">
        <f>H111</f>
        <v>0</v>
      </c>
      <c r="I134" s="170"/>
      <c r="J134" s="92">
        <f>J111</f>
        <v>0</v>
      </c>
      <c r="K134" s="170"/>
      <c r="L134" s="92">
        <f>L111</f>
        <v>0</v>
      </c>
      <c r="M134" s="170"/>
      <c r="N134" s="92">
        <f>N111</f>
        <v>0</v>
      </c>
    </row>
    <row r="135" spans="1:14" x14ac:dyDescent="0.25">
      <c r="A135" s="466" t="s">
        <v>78</v>
      </c>
      <c r="B135" s="467"/>
      <c r="C135" s="467"/>
      <c r="D135" s="211">
        <f>SUM(D130:D134)</f>
        <v>11488.669757489079</v>
      </c>
      <c r="E135" s="83">
        <f>SUM(E130:E134)</f>
        <v>11875.872219122451</v>
      </c>
      <c r="F135" s="83">
        <f>SUM(F130:F134)</f>
        <v>11883.872219122451</v>
      </c>
      <c r="G135" s="170"/>
      <c r="H135" s="92">
        <f>SUM(H130:H134)</f>
        <v>11842.007016390595</v>
      </c>
      <c r="I135" s="170"/>
      <c r="J135" s="92">
        <f>SUM(J130:J134)</f>
        <v>11646.3918756528</v>
      </c>
      <c r="K135" s="170"/>
      <c r="L135" s="92">
        <f>SUM(L130:L134)</f>
        <v>12344.290788191973</v>
      </c>
      <c r="M135" s="170"/>
      <c r="N135" s="92">
        <f>SUM(N130:N134)</f>
        <v>12483.856065820948</v>
      </c>
    </row>
    <row r="136" spans="1:14" x14ac:dyDescent="0.25">
      <c r="A136" s="181" t="s">
        <v>16</v>
      </c>
      <c r="B136" s="475" t="s">
        <v>71</v>
      </c>
      <c r="C136" s="475"/>
      <c r="D136" s="211">
        <f>D124</f>
        <v>2905.5182425109215</v>
      </c>
      <c r="E136" s="83">
        <f>E124</f>
        <v>3003.4428795288432</v>
      </c>
      <c r="F136" s="83">
        <f>F124</f>
        <v>3005.4661029681747</v>
      </c>
      <c r="G136" s="170"/>
      <c r="H136" s="92">
        <f>H124</f>
        <v>2994.8782705357444</v>
      </c>
      <c r="I136" s="170"/>
      <c r="J136" s="92">
        <f>J124</f>
        <v>2945.406628307147</v>
      </c>
      <c r="K136" s="170"/>
      <c r="L136" s="92">
        <f>L124</f>
        <v>3121.907308073773</v>
      </c>
      <c r="M136" s="170"/>
      <c r="N136" s="92">
        <f>N124</f>
        <v>3157.2037757007365</v>
      </c>
    </row>
    <row r="137" spans="1:14" ht="15.75" thickBot="1" x14ac:dyDescent="0.3">
      <c r="A137" s="485" t="s">
        <v>79</v>
      </c>
      <c r="B137" s="486"/>
      <c r="C137" s="486"/>
      <c r="D137" s="223">
        <f>SUM(D135:D136)</f>
        <v>14394.188</v>
      </c>
      <c r="E137" s="213">
        <f>SUM(E135:E136)</f>
        <v>14879.315098651296</v>
      </c>
      <c r="F137" s="213">
        <f>SUM(F135:F136)</f>
        <v>14889.338322090625</v>
      </c>
      <c r="G137" s="214"/>
      <c r="H137" s="215">
        <f>SUM(H135:H136)</f>
        <v>14836.885286926339</v>
      </c>
      <c r="I137" s="214"/>
      <c r="J137" s="215">
        <f>SUM(J135:J136)</f>
        <v>14591.798503959948</v>
      </c>
      <c r="K137" s="214"/>
      <c r="L137" s="215">
        <f>SUM(L135:L136)</f>
        <v>15466.198096265745</v>
      </c>
      <c r="M137" s="214"/>
      <c r="N137" s="215">
        <f>SUM(N135:N136)</f>
        <v>15641.059841521685</v>
      </c>
    </row>
  </sheetData>
  <mergeCells count="112">
    <mergeCell ref="K1:N3"/>
    <mergeCell ref="K4:L4"/>
    <mergeCell ref="M4:N4"/>
    <mergeCell ref="K5:L5"/>
    <mergeCell ref="M5:N5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  <mergeCell ref="K9:L9"/>
    <mergeCell ref="M9:N9"/>
    <mergeCell ref="K10:L10"/>
    <mergeCell ref="M10:N10"/>
    <mergeCell ref="G10:H10"/>
    <mergeCell ref="I10:J10"/>
    <mergeCell ref="G9:H9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A10:D10"/>
    <mergeCell ref="K6:L6"/>
    <mergeCell ref="M6:N6"/>
    <mergeCell ref="K7:L7"/>
    <mergeCell ref="M7:N7"/>
    <mergeCell ref="K8:L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B13:C13"/>
    <mergeCell ref="M8:N8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76:B76"/>
    <mergeCell ref="A77:D77"/>
    <mergeCell ref="A78:D78"/>
    <mergeCell ref="A80:D80"/>
    <mergeCell ref="A81:D81"/>
    <mergeCell ref="B62:C62"/>
    <mergeCell ref="B63:C63"/>
    <mergeCell ref="B64:C64"/>
    <mergeCell ref="A65:C65"/>
    <mergeCell ref="A67:D67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A137:C137"/>
    <mergeCell ref="B131:C131"/>
    <mergeCell ref="B132:C132"/>
    <mergeCell ref="B133:C133"/>
    <mergeCell ref="B134:C134"/>
    <mergeCell ref="A135:C135"/>
    <mergeCell ref="B136:C136"/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B130:C130"/>
  </mergeCells>
  <dataValidations disablePrompts="1" count="1">
    <dataValidation type="list" allowBlank="1" showInputMessage="1" showErrorMessage="1" sqref="C115:G115 I115:N115" xr:uid="{8BADE506-F020-4C58-B4B7-54099747834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4135-2FD0-428B-875F-4E00B65301FB}">
  <dimension ref="A1:N137"/>
  <sheetViews>
    <sheetView topLeftCell="A4" workbookViewId="0">
      <selection activeCell="P16" sqref="P16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10.5703125" bestFit="1" customWidth="1"/>
    <col min="5" max="10" width="20.7109375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533" t="s">
        <v>98</v>
      </c>
      <c r="B1" s="534"/>
      <c r="C1" s="534"/>
      <c r="D1" s="535"/>
      <c r="E1" s="445" t="s">
        <v>225</v>
      </c>
      <c r="F1" s="451"/>
      <c r="G1" s="451"/>
      <c r="H1" s="451"/>
      <c r="I1" s="451"/>
      <c r="J1" s="446"/>
      <c r="K1" s="445" t="s">
        <v>267</v>
      </c>
      <c r="L1" s="451"/>
      <c r="M1" s="451"/>
      <c r="N1" s="446"/>
    </row>
    <row r="2" spans="1:14" x14ac:dyDescent="0.25">
      <c r="A2" s="536"/>
      <c r="B2" s="537"/>
      <c r="C2" s="537"/>
      <c r="D2" s="538"/>
      <c r="E2" s="452"/>
      <c r="F2" s="453"/>
      <c r="G2" s="453"/>
      <c r="H2" s="453"/>
      <c r="I2" s="453"/>
      <c r="J2" s="454"/>
      <c r="K2" s="452"/>
      <c r="L2" s="453"/>
      <c r="M2" s="453"/>
      <c r="N2" s="454"/>
    </row>
    <row r="3" spans="1:14" ht="15.75" thickBot="1" x14ac:dyDescent="0.3">
      <c r="A3" s="530" t="s">
        <v>0</v>
      </c>
      <c r="B3" s="531"/>
      <c r="C3" s="531"/>
      <c r="D3" s="542"/>
      <c r="E3" s="455"/>
      <c r="F3" s="456"/>
      <c r="G3" s="456"/>
      <c r="H3" s="456"/>
      <c r="I3" s="456"/>
      <c r="J3" s="457"/>
      <c r="K3" s="455"/>
      <c r="L3" s="456"/>
      <c r="M3" s="456"/>
      <c r="N3" s="457"/>
    </row>
    <row r="4" spans="1:14" ht="30" x14ac:dyDescent="0.25">
      <c r="A4" s="151">
        <v>1</v>
      </c>
      <c r="B4" s="10" t="s">
        <v>1</v>
      </c>
      <c r="C4" s="557" t="s">
        <v>151</v>
      </c>
      <c r="D4" s="558"/>
      <c r="E4" s="114" t="s">
        <v>151</v>
      </c>
      <c r="F4" s="114" t="s">
        <v>151</v>
      </c>
      <c r="G4" s="445" t="s">
        <v>151</v>
      </c>
      <c r="H4" s="446"/>
      <c r="I4" s="445" t="s">
        <v>151</v>
      </c>
      <c r="J4" s="446"/>
      <c r="K4" s="445" t="s">
        <v>151</v>
      </c>
      <c r="L4" s="446"/>
      <c r="M4" s="445" t="s">
        <v>151</v>
      </c>
      <c r="N4" s="446"/>
    </row>
    <row r="5" spans="1:14" x14ac:dyDescent="0.25">
      <c r="A5" s="156">
        <v>2</v>
      </c>
      <c r="B5" s="2" t="s">
        <v>2</v>
      </c>
      <c r="C5" s="559"/>
      <c r="D5" s="560"/>
      <c r="E5" s="115"/>
      <c r="F5" s="115"/>
      <c r="G5" s="432"/>
      <c r="H5" s="433"/>
      <c r="I5" s="432"/>
      <c r="J5" s="433"/>
      <c r="K5" s="432"/>
      <c r="L5" s="433"/>
      <c r="M5" s="432"/>
      <c r="N5" s="433"/>
    </row>
    <row r="6" spans="1:14" x14ac:dyDescent="0.25">
      <c r="A6" s="156">
        <v>3</v>
      </c>
      <c r="B6" s="2" t="s">
        <v>100</v>
      </c>
      <c r="C6" s="561">
        <v>6633.98</v>
      </c>
      <c r="D6" s="562"/>
      <c r="E6" s="85">
        <f>$C$6*1.0345</f>
        <v>6862.8523099999993</v>
      </c>
      <c r="F6" s="85">
        <f>$C$6*1.0345</f>
        <v>6862.8523099999993</v>
      </c>
      <c r="G6" s="447">
        <f>F6</f>
        <v>6862.8523099999993</v>
      </c>
      <c r="H6" s="448"/>
      <c r="I6" s="447">
        <f>G6</f>
        <v>6862.8523099999993</v>
      </c>
      <c r="J6" s="448"/>
      <c r="K6" s="447">
        <f>$I$6*1.06</f>
        <v>7274.6234485999994</v>
      </c>
      <c r="L6" s="448"/>
      <c r="M6" s="447">
        <f>I6*1.08</f>
        <v>7411.8804947999997</v>
      </c>
      <c r="N6" s="448"/>
    </row>
    <row r="7" spans="1:14" ht="30" x14ac:dyDescent="0.25">
      <c r="A7" s="156">
        <v>4</v>
      </c>
      <c r="B7" s="2" t="s">
        <v>101</v>
      </c>
      <c r="C7" s="563" t="s">
        <v>153</v>
      </c>
      <c r="D7" s="564"/>
      <c r="E7" s="104" t="s">
        <v>153</v>
      </c>
      <c r="F7" s="104" t="s">
        <v>153</v>
      </c>
      <c r="G7" s="449" t="s">
        <v>153</v>
      </c>
      <c r="H7" s="450"/>
      <c r="I7" s="449" t="s">
        <v>153</v>
      </c>
      <c r="J7" s="450"/>
      <c r="K7" s="449" t="s">
        <v>153</v>
      </c>
      <c r="L7" s="450"/>
      <c r="M7" s="449" t="s">
        <v>153</v>
      </c>
      <c r="N7" s="450"/>
    </row>
    <row r="8" spans="1:14" x14ac:dyDescent="0.25">
      <c r="A8" s="156">
        <v>5</v>
      </c>
      <c r="B8" s="2" t="s">
        <v>3</v>
      </c>
      <c r="C8" s="565">
        <v>43922</v>
      </c>
      <c r="D8" s="566"/>
      <c r="E8" s="86">
        <v>44287</v>
      </c>
      <c r="F8" s="86">
        <v>44287</v>
      </c>
      <c r="G8" s="443">
        <v>44287</v>
      </c>
      <c r="H8" s="444"/>
      <c r="I8" s="443">
        <v>44287</v>
      </c>
      <c r="J8" s="444"/>
      <c r="K8" s="443">
        <v>44652</v>
      </c>
      <c r="L8" s="444"/>
      <c r="M8" s="443">
        <v>44652</v>
      </c>
      <c r="N8" s="444"/>
    </row>
    <row r="9" spans="1:14" x14ac:dyDescent="0.25">
      <c r="A9" s="156">
        <v>6</v>
      </c>
      <c r="B9" s="2" t="s">
        <v>102</v>
      </c>
      <c r="C9" s="565"/>
      <c r="D9" s="566"/>
      <c r="E9" s="86" t="s">
        <v>166</v>
      </c>
      <c r="F9" s="86" t="s">
        <v>166</v>
      </c>
      <c r="G9" s="443" t="s">
        <v>166</v>
      </c>
      <c r="H9" s="444"/>
      <c r="I9" s="443" t="s">
        <v>166</v>
      </c>
      <c r="J9" s="444"/>
      <c r="K9" s="443" t="s">
        <v>261</v>
      </c>
      <c r="L9" s="444"/>
      <c r="M9" s="443" t="s">
        <v>261</v>
      </c>
      <c r="N9" s="444"/>
    </row>
    <row r="10" spans="1:14" x14ac:dyDescent="0.25">
      <c r="A10" s="567"/>
      <c r="B10" s="426"/>
      <c r="C10" s="426"/>
      <c r="D10" s="568"/>
      <c r="E10" s="385"/>
      <c r="F10" s="385"/>
      <c r="G10" s="488"/>
      <c r="H10" s="490"/>
      <c r="I10" s="488"/>
      <c r="J10" s="490"/>
      <c r="K10" s="488"/>
      <c r="L10" s="490"/>
      <c r="M10" s="488"/>
      <c r="N10" s="490"/>
    </row>
    <row r="11" spans="1:14" ht="90" x14ac:dyDescent="0.25">
      <c r="A11" s="543" t="s">
        <v>76</v>
      </c>
      <c r="B11" s="544"/>
      <c r="C11" s="544"/>
      <c r="D11" s="545"/>
      <c r="E11" s="258" t="s">
        <v>226</v>
      </c>
      <c r="F11" s="258" t="s">
        <v>227</v>
      </c>
      <c r="G11" s="259"/>
      <c r="H11" s="260" t="s">
        <v>228</v>
      </c>
      <c r="I11" s="259"/>
      <c r="J11" s="260" t="s">
        <v>229</v>
      </c>
      <c r="K11" s="259"/>
      <c r="L11" s="260" t="s">
        <v>263</v>
      </c>
      <c r="M11" s="259"/>
      <c r="N11" s="260" t="s">
        <v>271</v>
      </c>
    </row>
    <row r="12" spans="1:14" ht="30" x14ac:dyDescent="0.25">
      <c r="A12" s="146">
        <v>1</v>
      </c>
      <c r="B12" s="546" t="s">
        <v>4</v>
      </c>
      <c r="C12" s="546"/>
      <c r="D12" s="39" t="s">
        <v>5</v>
      </c>
      <c r="E12" s="169" t="s">
        <v>167</v>
      </c>
      <c r="F12" s="169" t="s">
        <v>168</v>
      </c>
      <c r="G12" s="370"/>
      <c r="H12" s="378" t="s">
        <v>210</v>
      </c>
      <c r="I12" s="370"/>
      <c r="J12" s="378" t="s">
        <v>209</v>
      </c>
      <c r="K12" s="170"/>
      <c r="L12" s="378" t="s">
        <v>262</v>
      </c>
      <c r="M12" s="170"/>
      <c r="N12" s="378" t="s">
        <v>264</v>
      </c>
    </row>
    <row r="13" spans="1:14" x14ac:dyDescent="0.25">
      <c r="A13" s="40" t="s">
        <v>6</v>
      </c>
      <c r="B13" s="532" t="s">
        <v>7</v>
      </c>
      <c r="C13" s="532"/>
      <c r="D13" s="41">
        <f>C6</f>
        <v>6633.98</v>
      </c>
      <c r="E13" s="105">
        <f>E6</f>
        <v>6862.8523099999993</v>
      </c>
      <c r="F13" s="83">
        <f>F6</f>
        <v>6862.8523099999993</v>
      </c>
      <c r="G13" s="370"/>
      <c r="H13" s="92">
        <f>G6</f>
        <v>6862.8523099999993</v>
      </c>
      <c r="I13" s="370"/>
      <c r="J13" s="92">
        <f>I6</f>
        <v>6862.8523099999993</v>
      </c>
      <c r="K13" s="170"/>
      <c r="L13" s="92">
        <f>K6</f>
        <v>7274.6234485999994</v>
      </c>
      <c r="M13" s="170"/>
      <c r="N13" s="92">
        <f>M6</f>
        <v>7411.8804947999997</v>
      </c>
    </row>
    <row r="14" spans="1:14" x14ac:dyDescent="0.25">
      <c r="A14" s="40" t="s">
        <v>8</v>
      </c>
      <c r="B14" s="532" t="s">
        <v>9</v>
      </c>
      <c r="C14" s="532"/>
      <c r="D14" s="41">
        <v>0</v>
      </c>
      <c r="E14" s="83">
        <v>0</v>
      </c>
      <c r="F14" s="83">
        <v>0</v>
      </c>
      <c r="G14" s="370"/>
      <c r="H14" s="92">
        <v>0</v>
      </c>
      <c r="I14" s="370"/>
      <c r="J14" s="92">
        <v>0</v>
      </c>
      <c r="K14" s="170"/>
      <c r="L14" s="92">
        <v>0</v>
      </c>
      <c r="M14" s="170"/>
      <c r="N14" s="92">
        <v>0</v>
      </c>
    </row>
    <row r="15" spans="1:14" x14ac:dyDescent="0.25">
      <c r="A15" s="40" t="s">
        <v>10</v>
      </c>
      <c r="B15" s="532" t="s">
        <v>11</v>
      </c>
      <c r="C15" s="532"/>
      <c r="D15" s="41">
        <v>0</v>
      </c>
      <c r="E15" s="83">
        <v>0</v>
      </c>
      <c r="F15" s="83">
        <v>0</v>
      </c>
      <c r="G15" s="370"/>
      <c r="H15" s="92">
        <v>0</v>
      </c>
      <c r="I15" s="370"/>
      <c r="J15" s="92">
        <v>0</v>
      </c>
      <c r="K15" s="170"/>
      <c r="L15" s="92">
        <v>0</v>
      </c>
      <c r="M15" s="170"/>
      <c r="N15" s="92">
        <v>0</v>
      </c>
    </row>
    <row r="16" spans="1:14" x14ac:dyDescent="0.25">
      <c r="A16" s="40" t="s">
        <v>12</v>
      </c>
      <c r="B16" s="532" t="s">
        <v>13</v>
      </c>
      <c r="C16" s="532"/>
      <c r="D16" s="41">
        <v>0</v>
      </c>
      <c r="E16" s="83">
        <v>0</v>
      </c>
      <c r="F16" s="83">
        <v>0</v>
      </c>
      <c r="G16" s="370"/>
      <c r="H16" s="92">
        <v>0</v>
      </c>
      <c r="I16" s="370"/>
      <c r="J16" s="92">
        <v>0</v>
      </c>
      <c r="K16" s="170"/>
      <c r="L16" s="92">
        <v>0</v>
      </c>
      <c r="M16" s="170"/>
      <c r="N16" s="92">
        <v>0</v>
      </c>
    </row>
    <row r="17" spans="1:14" x14ac:dyDescent="0.25">
      <c r="A17" s="40" t="s">
        <v>14</v>
      </c>
      <c r="B17" s="532" t="s">
        <v>15</v>
      </c>
      <c r="C17" s="532"/>
      <c r="D17" s="41">
        <v>0</v>
      </c>
      <c r="E17" s="83">
        <v>0</v>
      </c>
      <c r="F17" s="83">
        <v>0</v>
      </c>
      <c r="G17" s="370"/>
      <c r="H17" s="92">
        <v>0</v>
      </c>
      <c r="I17" s="370"/>
      <c r="J17" s="92">
        <v>0</v>
      </c>
      <c r="K17" s="170"/>
      <c r="L17" s="92">
        <v>0</v>
      </c>
      <c r="M17" s="170"/>
      <c r="N17" s="92">
        <v>0</v>
      </c>
    </row>
    <row r="18" spans="1:14" x14ac:dyDescent="0.25">
      <c r="A18" s="40" t="s">
        <v>16</v>
      </c>
      <c r="B18" s="532" t="s">
        <v>17</v>
      </c>
      <c r="C18" s="532"/>
      <c r="D18" s="41">
        <v>0</v>
      </c>
      <c r="E18" s="83">
        <v>0</v>
      </c>
      <c r="F18" s="83">
        <v>0</v>
      </c>
      <c r="G18" s="370"/>
      <c r="H18" s="92">
        <v>0</v>
      </c>
      <c r="I18" s="370"/>
      <c r="J18" s="92">
        <v>0</v>
      </c>
      <c r="K18" s="170"/>
      <c r="L18" s="92">
        <v>0</v>
      </c>
      <c r="M18" s="170"/>
      <c r="N18" s="92">
        <v>0</v>
      </c>
    </row>
    <row r="19" spans="1:14" x14ac:dyDescent="0.25">
      <c r="A19" s="530" t="s">
        <v>18</v>
      </c>
      <c r="B19" s="531"/>
      <c r="C19" s="531"/>
      <c r="D19" s="41">
        <f>SUM(D13:D18)</f>
        <v>6633.98</v>
      </c>
      <c r="E19" s="83">
        <f>SUM(E13:E18)</f>
        <v>6862.8523099999993</v>
      </c>
      <c r="F19" s="83">
        <f>SUM(F13:F18)</f>
        <v>6862.8523099999993</v>
      </c>
      <c r="G19" s="370"/>
      <c r="H19" s="92">
        <f>SUM(H13:H18)</f>
        <v>6862.8523099999993</v>
      </c>
      <c r="I19" s="370"/>
      <c r="J19" s="92">
        <f>SUM(J13:J18)</f>
        <v>6862.8523099999993</v>
      </c>
      <c r="K19" s="170"/>
      <c r="L19" s="92">
        <f>SUM(L13:L18)</f>
        <v>7274.6234485999994</v>
      </c>
      <c r="M19" s="170"/>
      <c r="N19" s="92">
        <f>SUM(N13:N18)</f>
        <v>7411.8804947999997</v>
      </c>
    </row>
    <row r="20" spans="1:14" x14ac:dyDescent="0.25">
      <c r="A20" s="539" t="s">
        <v>19</v>
      </c>
      <c r="B20" s="540"/>
      <c r="C20" s="540"/>
      <c r="D20" s="541"/>
      <c r="E20" s="115"/>
      <c r="F20" s="115"/>
      <c r="G20" s="370"/>
      <c r="H20" s="371"/>
      <c r="I20" s="370"/>
      <c r="J20" s="371"/>
      <c r="K20" s="170"/>
      <c r="L20" s="371"/>
      <c r="M20" s="170"/>
      <c r="N20" s="371"/>
    </row>
    <row r="21" spans="1:14" x14ac:dyDescent="0.25">
      <c r="A21" s="226"/>
      <c r="B21" s="3"/>
      <c r="C21" s="3"/>
      <c r="D21" s="227"/>
      <c r="E21" s="115"/>
      <c r="F21" s="115"/>
      <c r="G21" s="370"/>
      <c r="H21" s="371"/>
      <c r="I21" s="370"/>
      <c r="J21" s="371"/>
      <c r="K21" s="170"/>
      <c r="L21" s="371"/>
      <c r="M21" s="170"/>
      <c r="N21" s="371"/>
    </row>
    <row r="22" spans="1:14" x14ac:dyDescent="0.25">
      <c r="A22" s="530" t="s">
        <v>20</v>
      </c>
      <c r="B22" s="531"/>
      <c r="C22" s="531"/>
      <c r="D22" s="542"/>
      <c r="E22" s="115"/>
      <c r="F22" s="115"/>
      <c r="G22" s="370"/>
      <c r="H22" s="371"/>
      <c r="I22" s="370"/>
      <c r="J22" s="371"/>
      <c r="K22" s="170"/>
      <c r="L22" s="371"/>
      <c r="M22" s="170"/>
      <c r="N22" s="371"/>
    </row>
    <row r="23" spans="1:14" x14ac:dyDescent="0.25">
      <c r="A23" s="530" t="s">
        <v>164</v>
      </c>
      <c r="B23" s="531"/>
      <c r="C23" s="531"/>
      <c r="D23" s="542"/>
      <c r="E23" s="115"/>
      <c r="F23" s="115"/>
      <c r="G23" s="370"/>
      <c r="H23" s="371"/>
      <c r="I23" s="370"/>
      <c r="J23" s="371"/>
      <c r="K23" s="170"/>
      <c r="L23" s="371"/>
      <c r="M23" s="170"/>
      <c r="N23" s="371"/>
    </row>
    <row r="24" spans="1:14" x14ac:dyDescent="0.25">
      <c r="A24" s="144" t="s">
        <v>21</v>
      </c>
      <c r="B24" s="145" t="s">
        <v>163</v>
      </c>
      <c r="C24" s="149" t="s">
        <v>26</v>
      </c>
      <c r="D24" s="158" t="s">
        <v>5</v>
      </c>
      <c r="E24" s="169" t="s">
        <v>5</v>
      </c>
      <c r="F24" s="169" t="s">
        <v>5</v>
      </c>
      <c r="G24" s="245"/>
      <c r="H24" s="378" t="s">
        <v>5</v>
      </c>
      <c r="I24" s="245"/>
      <c r="J24" s="378" t="s">
        <v>5</v>
      </c>
      <c r="K24" s="180"/>
      <c r="L24" s="378" t="s">
        <v>5</v>
      </c>
      <c r="M24" s="180"/>
      <c r="N24" s="378" t="s">
        <v>5</v>
      </c>
    </row>
    <row r="25" spans="1:14" x14ac:dyDescent="0.25">
      <c r="A25" s="40" t="s">
        <v>6</v>
      </c>
      <c r="B25" s="3" t="s">
        <v>22</v>
      </c>
      <c r="C25" s="9">
        <f>(1/11)</f>
        <v>9.0909090909090912E-2</v>
      </c>
      <c r="D25" s="43">
        <f>C25*$D$19</f>
        <v>603.08909090909094</v>
      </c>
      <c r="E25" s="83">
        <f>$C25*E$19</f>
        <v>623.89566454545445</v>
      </c>
      <c r="F25" s="83">
        <f>$C25*F$19</f>
        <v>623.89566454545445</v>
      </c>
      <c r="G25" s="117"/>
      <c r="H25" s="92">
        <f>$C25*H$19</f>
        <v>623.89566454545445</v>
      </c>
      <c r="I25" s="117"/>
      <c r="J25" s="92">
        <f>$C25*J$19</f>
        <v>623.89566454545445</v>
      </c>
      <c r="K25" s="185"/>
      <c r="L25" s="92">
        <f>$C25*L$19</f>
        <v>661.32940441818175</v>
      </c>
      <c r="M25" s="185"/>
      <c r="N25" s="92">
        <f>$C25*N$19</f>
        <v>673.80731770909085</v>
      </c>
    </row>
    <row r="26" spans="1:14" x14ac:dyDescent="0.25">
      <c r="A26" s="40" t="s">
        <v>8</v>
      </c>
      <c r="B26" s="3" t="s">
        <v>162</v>
      </c>
      <c r="C26" s="9">
        <f>((1/3)*(1/11))+1/11</f>
        <v>0.12121212121212122</v>
      </c>
      <c r="D26" s="43">
        <f>C26*$D$19</f>
        <v>804.11878787878788</v>
      </c>
      <c r="E26" s="83">
        <f>$C26*E$19</f>
        <v>831.86088606060605</v>
      </c>
      <c r="F26" s="83">
        <f>$C26*F$19</f>
        <v>831.86088606060605</v>
      </c>
      <c r="G26" s="117"/>
      <c r="H26" s="92">
        <f>$C26*H$19</f>
        <v>831.86088606060605</v>
      </c>
      <c r="I26" s="117"/>
      <c r="J26" s="92">
        <f>$C26*J$19</f>
        <v>831.86088606060605</v>
      </c>
      <c r="K26" s="185"/>
      <c r="L26" s="92">
        <f>$C26*L$19</f>
        <v>881.77253922424234</v>
      </c>
      <c r="M26" s="185"/>
      <c r="N26" s="92">
        <f>$C26*N$19</f>
        <v>898.40975694545455</v>
      </c>
    </row>
    <row r="27" spans="1:14" x14ac:dyDescent="0.25">
      <c r="A27" s="530" t="s">
        <v>18</v>
      </c>
      <c r="B27" s="531"/>
      <c r="C27" s="8">
        <f>SUM(C25:C26)</f>
        <v>0.21212121212121213</v>
      </c>
      <c r="D27" s="43">
        <f>SUM(D25:D26)</f>
        <v>1407.2078787878788</v>
      </c>
      <c r="E27" s="83">
        <f>SUM(E25:E26)</f>
        <v>1455.7565506060605</v>
      </c>
      <c r="F27" s="83">
        <f>SUM(F25:F26)</f>
        <v>1455.7565506060605</v>
      </c>
      <c r="G27" s="117"/>
      <c r="H27" s="92">
        <f>SUM(H25:H26)</f>
        <v>1455.7565506060605</v>
      </c>
      <c r="I27" s="117"/>
      <c r="J27" s="92">
        <f>SUM(J25:J26)</f>
        <v>1455.7565506060605</v>
      </c>
      <c r="K27" s="185"/>
      <c r="L27" s="92">
        <f>SUM(L25:L26)</f>
        <v>1543.101943642424</v>
      </c>
      <c r="M27" s="185"/>
      <c r="N27" s="92">
        <f>SUM(N25:N26)</f>
        <v>1572.2170746545453</v>
      </c>
    </row>
    <row r="28" spans="1:14" x14ac:dyDescent="0.25">
      <c r="A28" s="539" t="s">
        <v>103</v>
      </c>
      <c r="B28" s="540"/>
      <c r="C28" s="540"/>
      <c r="D28" s="541"/>
      <c r="E28" s="115"/>
      <c r="F28" s="115"/>
      <c r="G28" s="370"/>
      <c r="H28" s="371"/>
      <c r="I28" s="370"/>
      <c r="J28" s="371"/>
      <c r="K28" s="170"/>
      <c r="L28" s="371"/>
      <c r="M28" s="170"/>
      <c r="N28" s="371"/>
    </row>
    <row r="29" spans="1:14" x14ac:dyDescent="0.25">
      <c r="A29" s="539" t="s">
        <v>104</v>
      </c>
      <c r="B29" s="540"/>
      <c r="C29" s="540"/>
      <c r="D29" s="541"/>
      <c r="E29" s="115"/>
      <c r="F29" s="115"/>
      <c r="G29" s="370"/>
      <c r="H29" s="371"/>
      <c r="I29" s="370"/>
      <c r="J29" s="371"/>
      <c r="K29" s="170"/>
      <c r="L29" s="371"/>
      <c r="M29" s="170"/>
      <c r="N29" s="371"/>
    </row>
    <row r="30" spans="1:14" x14ac:dyDescent="0.25">
      <c r="A30" s="539" t="s">
        <v>105</v>
      </c>
      <c r="B30" s="540"/>
      <c r="C30" s="540"/>
      <c r="D30" s="541"/>
      <c r="E30" s="115"/>
      <c r="F30" s="115"/>
      <c r="G30" s="370"/>
      <c r="H30" s="371"/>
      <c r="I30" s="370"/>
      <c r="J30" s="371"/>
      <c r="K30" s="170"/>
      <c r="L30" s="371"/>
      <c r="M30" s="170"/>
      <c r="N30" s="371"/>
    </row>
    <row r="31" spans="1:14" x14ac:dyDescent="0.25">
      <c r="A31" s="226"/>
      <c r="B31" s="3"/>
      <c r="C31" s="3"/>
      <c r="D31" s="227"/>
      <c r="E31" s="115"/>
      <c r="F31" s="115"/>
      <c r="G31" s="370"/>
      <c r="H31" s="371"/>
      <c r="I31" s="370"/>
      <c r="J31" s="371"/>
      <c r="K31" s="170"/>
      <c r="L31" s="371"/>
      <c r="M31" s="170"/>
      <c r="N31" s="371"/>
    </row>
    <row r="32" spans="1:14" x14ac:dyDescent="0.25">
      <c r="A32" s="550" t="s">
        <v>23</v>
      </c>
      <c r="B32" s="551"/>
      <c r="C32" s="551"/>
      <c r="D32" s="552"/>
      <c r="E32" s="115"/>
      <c r="F32" s="115"/>
      <c r="G32" s="370"/>
      <c r="H32" s="371"/>
      <c r="I32" s="370"/>
      <c r="J32" s="371"/>
      <c r="K32" s="170"/>
      <c r="L32" s="371"/>
      <c r="M32" s="170"/>
      <c r="N32" s="371"/>
    </row>
    <row r="33" spans="1:14" x14ac:dyDescent="0.25">
      <c r="A33" s="146" t="s">
        <v>24</v>
      </c>
      <c r="B33" s="149" t="s">
        <v>25</v>
      </c>
      <c r="C33" s="149" t="s">
        <v>26</v>
      </c>
      <c r="D33" s="148" t="s">
        <v>5</v>
      </c>
      <c r="E33" s="189" t="s">
        <v>5</v>
      </c>
      <c r="F33" s="189" t="s">
        <v>5</v>
      </c>
      <c r="G33" s="197" t="s">
        <v>26</v>
      </c>
      <c r="H33" s="93" t="s">
        <v>5</v>
      </c>
      <c r="I33" s="245"/>
      <c r="J33" s="93" t="s">
        <v>5</v>
      </c>
      <c r="K33" s="180"/>
      <c r="L33" s="93" t="s">
        <v>5</v>
      </c>
      <c r="M33" s="180"/>
      <c r="N33" s="93" t="s">
        <v>5</v>
      </c>
    </row>
    <row r="34" spans="1:14" x14ac:dyDescent="0.25">
      <c r="A34" s="40" t="s">
        <v>6</v>
      </c>
      <c r="B34" s="3" t="s">
        <v>27</v>
      </c>
      <c r="C34" s="6">
        <v>0</v>
      </c>
      <c r="D34" s="45">
        <f>C34*($D$19+$D$27)</f>
        <v>0</v>
      </c>
      <c r="E34" s="87">
        <f t="shared" ref="E34:F41" si="0">$C34*(E$19+E$27)</f>
        <v>0</v>
      </c>
      <c r="F34" s="87">
        <f t="shared" si="0"/>
        <v>0</v>
      </c>
      <c r="G34" s="102">
        <v>0</v>
      </c>
      <c r="H34" s="101">
        <f>$C34*(H$19+H$27)</f>
        <v>0</v>
      </c>
      <c r="I34" s="241"/>
      <c r="J34" s="101">
        <f>$C34*(J$19+J$27)</f>
        <v>0</v>
      </c>
      <c r="K34" s="107"/>
      <c r="L34" s="101">
        <f>$C34*(L$19+L$27)</f>
        <v>0</v>
      </c>
      <c r="M34" s="107">
        <v>0</v>
      </c>
      <c r="N34" s="101">
        <f>$C34*(N$19+N$27)</f>
        <v>0</v>
      </c>
    </row>
    <row r="35" spans="1:14" x14ac:dyDescent="0.25">
      <c r="A35" s="40" t="s">
        <v>8</v>
      </c>
      <c r="B35" s="3" t="s">
        <v>28</v>
      </c>
      <c r="C35" s="6">
        <v>2.5000000000000001E-2</v>
      </c>
      <c r="D35" s="45">
        <f>C35*($D$19+$D$27)</f>
        <v>201.02969696969697</v>
      </c>
      <c r="E35" s="87">
        <f t="shared" si="0"/>
        <v>207.96522151515151</v>
      </c>
      <c r="F35" s="87">
        <f t="shared" si="0"/>
        <v>207.96522151515151</v>
      </c>
      <c r="G35" s="102">
        <v>2.5000000000000001E-2</v>
      </c>
      <c r="H35" s="101">
        <f>$C35*(H$19+H$27)</f>
        <v>207.96522151515151</v>
      </c>
      <c r="I35" s="241"/>
      <c r="J35" s="101">
        <f>$C35*(J$19+J$27)</f>
        <v>207.96522151515151</v>
      </c>
      <c r="K35" s="107"/>
      <c r="L35" s="101">
        <f>$G35*(L$19+L$27)</f>
        <v>220.44313480606061</v>
      </c>
      <c r="M35" s="107">
        <v>2.5000000000000001E-2</v>
      </c>
      <c r="N35" s="101">
        <f>$M35*(N$19+N$27)</f>
        <v>224.60243923636364</v>
      </c>
    </row>
    <row r="36" spans="1:14" x14ac:dyDescent="0.25">
      <c r="A36" s="40" t="s">
        <v>10</v>
      </c>
      <c r="B36" s="257" t="s">
        <v>106</v>
      </c>
      <c r="C36" s="6">
        <f>2%*1.2718</f>
        <v>2.5436E-2</v>
      </c>
      <c r="D36" s="45">
        <f>C36*($D$19+$D$27)</f>
        <v>204.53565488484847</v>
      </c>
      <c r="E36" s="87">
        <f t="shared" si="0"/>
        <v>211.59213497837575</v>
      </c>
      <c r="F36" s="87">
        <f t="shared" si="0"/>
        <v>211.59213497837575</v>
      </c>
      <c r="G36" s="102">
        <f>2%*1.0115</f>
        <v>2.0230000000000001E-2</v>
      </c>
      <c r="H36" s="101">
        <f>G$36*($H$19+$H$27)</f>
        <v>168.2854572500606</v>
      </c>
      <c r="I36" s="241"/>
      <c r="J36" s="101">
        <f>G$36*($H$19+$H$27)</f>
        <v>168.2854572500606</v>
      </c>
      <c r="K36" s="107"/>
      <c r="L36" s="101">
        <f>G$36*($L$19+$L$27)</f>
        <v>178.38258468506424</v>
      </c>
      <c r="M36" s="107">
        <f>2%*0.5</f>
        <v>0.01</v>
      </c>
      <c r="N36" s="101">
        <f>M$36*($N$19+$N$27)</f>
        <v>89.840975694545449</v>
      </c>
    </row>
    <row r="37" spans="1:14" x14ac:dyDescent="0.25">
      <c r="A37" s="40" t="s">
        <v>12</v>
      </c>
      <c r="B37" s="3" t="s">
        <v>29</v>
      </c>
      <c r="C37" s="6">
        <v>1.4999999999999999E-2</v>
      </c>
      <c r="D37" s="45">
        <f t="shared" ref="D37" si="1">C37*($D$19+$D$27)</f>
        <v>120.61781818181818</v>
      </c>
      <c r="E37" s="87">
        <f t="shared" si="0"/>
        <v>124.7791329090909</v>
      </c>
      <c r="F37" s="87">
        <f t="shared" si="0"/>
        <v>124.7791329090909</v>
      </c>
      <c r="G37" s="102">
        <v>1.4999999999999999E-2</v>
      </c>
      <c r="H37" s="101">
        <f>$C37*(H$19+H$27)</f>
        <v>124.7791329090909</v>
      </c>
      <c r="I37" s="241"/>
      <c r="J37" s="101">
        <f>$C37*(J$19+J$27)</f>
        <v>124.7791329090909</v>
      </c>
      <c r="K37" s="107"/>
      <c r="L37" s="101">
        <f>$G37*(L$19+L$27)</f>
        <v>132.26588088363636</v>
      </c>
      <c r="M37" s="107">
        <v>1.4999999999999999E-2</v>
      </c>
      <c r="N37" s="101">
        <f>$M37*(N$19+N$27)</f>
        <v>134.76146354181816</v>
      </c>
    </row>
    <row r="38" spans="1:14" x14ac:dyDescent="0.25">
      <c r="A38" s="40" t="s">
        <v>14</v>
      </c>
      <c r="B38" s="3" t="s">
        <v>30</v>
      </c>
      <c r="C38" s="6">
        <v>0.01</v>
      </c>
      <c r="D38" s="45">
        <f>C38*($D$19+$D$27)</f>
        <v>80.411878787878791</v>
      </c>
      <c r="E38" s="87">
        <f t="shared" si="0"/>
        <v>83.186088606060608</v>
      </c>
      <c r="F38" s="87">
        <f t="shared" si="0"/>
        <v>83.186088606060608</v>
      </c>
      <c r="G38" s="102">
        <v>0.01</v>
      </c>
      <c r="H38" s="101">
        <f>$C38*(H$19+H$27)</f>
        <v>83.186088606060608</v>
      </c>
      <c r="I38" s="241"/>
      <c r="J38" s="101">
        <f>$C38*(J$19+J$27)</f>
        <v>83.186088606060608</v>
      </c>
      <c r="K38" s="107"/>
      <c r="L38" s="101">
        <f>$G38*(L$19+L$27)</f>
        <v>88.177253922424242</v>
      </c>
      <c r="M38" s="107">
        <v>0.01</v>
      </c>
      <c r="N38" s="101">
        <f>$M38*(N$19+N$27)</f>
        <v>89.840975694545449</v>
      </c>
    </row>
    <row r="39" spans="1:14" x14ac:dyDescent="0.25">
      <c r="A39" s="40" t="s">
        <v>16</v>
      </c>
      <c r="B39" s="3" t="s">
        <v>31</v>
      </c>
      <c r="C39" s="6">
        <v>6.0000000000000001E-3</v>
      </c>
      <c r="D39" s="45">
        <f>C39*($D$19+$D$27)</f>
        <v>48.247127272727276</v>
      </c>
      <c r="E39" s="87">
        <f t="shared" si="0"/>
        <v>49.911653163636366</v>
      </c>
      <c r="F39" s="87">
        <f t="shared" si="0"/>
        <v>49.911653163636366</v>
      </c>
      <c r="G39" s="102">
        <v>6.0000000000000001E-3</v>
      </c>
      <c r="H39" s="101">
        <f>$C39*(H$19+H$27)</f>
        <v>49.911653163636366</v>
      </c>
      <c r="I39" s="241"/>
      <c r="J39" s="101">
        <f>$C39*(J$19+J$27)</f>
        <v>49.911653163636366</v>
      </c>
      <c r="K39" s="107"/>
      <c r="L39" s="101">
        <f>$G39*(L$19+L$27)</f>
        <v>52.906352353454544</v>
      </c>
      <c r="M39" s="107">
        <v>6.0000000000000001E-3</v>
      </c>
      <c r="N39" s="101">
        <f>$M39*(N$19+N$27)</f>
        <v>53.904585416727272</v>
      </c>
    </row>
    <row r="40" spans="1:14" x14ac:dyDescent="0.25">
      <c r="A40" s="40" t="s">
        <v>32</v>
      </c>
      <c r="B40" s="3" t="s">
        <v>33</v>
      </c>
      <c r="C40" s="6">
        <v>2E-3</v>
      </c>
      <c r="D40" s="45">
        <f>C40*($D$19+$D$27)</f>
        <v>16.082375757575758</v>
      </c>
      <c r="E40" s="87">
        <f t="shared" si="0"/>
        <v>16.637217721212121</v>
      </c>
      <c r="F40" s="87">
        <f t="shared" si="0"/>
        <v>16.637217721212121</v>
      </c>
      <c r="G40" s="102">
        <v>2E-3</v>
      </c>
      <c r="H40" s="101">
        <f>$C40*(H$19+H$27)</f>
        <v>16.637217721212121</v>
      </c>
      <c r="I40" s="241"/>
      <c r="J40" s="101">
        <f>$C40*(J$19+J$27)</f>
        <v>16.637217721212121</v>
      </c>
      <c r="K40" s="107"/>
      <c r="L40" s="101">
        <f>$G40*(L$19+L$27)</f>
        <v>17.635450784484849</v>
      </c>
      <c r="M40" s="107">
        <v>2E-3</v>
      </c>
      <c r="N40" s="101">
        <f>$M40*(N$19+N$27)</f>
        <v>17.968195138909092</v>
      </c>
    </row>
    <row r="41" spans="1:14" x14ac:dyDescent="0.25">
      <c r="A41" s="40" t="s">
        <v>34</v>
      </c>
      <c r="B41" s="3" t="s">
        <v>35</v>
      </c>
      <c r="C41" s="6">
        <v>0.08</v>
      </c>
      <c r="D41" s="45">
        <f>C41*($D$19+$D$27)</f>
        <v>643.29503030303033</v>
      </c>
      <c r="E41" s="87">
        <f t="shared" si="0"/>
        <v>665.48870884848486</v>
      </c>
      <c r="F41" s="87">
        <f t="shared" si="0"/>
        <v>665.48870884848486</v>
      </c>
      <c r="G41" s="102">
        <v>0.08</v>
      </c>
      <c r="H41" s="101">
        <f>$C41*(H$19+H$27)</f>
        <v>665.48870884848486</v>
      </c>
      <c r="I41" s="241"/>
      <c r="J41" s="101">
        <f>$C41*(J$19+J$27)</f>
        <v>665.48870884848486</v>
      </c>
      <c r="K41" s="107"/>
      <c r="L41" s="101">
        <f>$G41*(L$19+L$27)</f>
        <v>705.41803137939394</v>
      </c>
      <c r="M41" s="107">
        <v>0.08</v>
      </c>
      <c r="N41" s="101">
        <f>$M41*(N$19+N$27)</f>
        <v>718.72780555636359</v>
      </c>
    </row>
    <row r="42" spans="1:14" x14ac:dyDescent="0.25">
      <c r="A42" s="530" t="s">
        <v>18</v>
      </c>
      <c r="B42" s="531"/>
      <c r="C42" s="7">
        <f t="shared" ref="C42:H42" si="2">SUM(C34:C41)</f>
        <v>0.163436</v>
      </c>
      <c r="D42" s="45">
        <f t="shared" si="2"/>
        <v>1314.2195821575758</v>
      </c>
      <c r="E42" s="87">
        <f t="shared" si="2"/>
        <v>1359.5601577420121</v>
      </c>
      <c r="F42" s="87">
        <f t="shared" si="2"/>
        <v>1359.5601577420121</v>
      </c>
      <c r="G42" s="246">
        <f t="shared" si="2"/>
        <v>0.15823000000000001</v>
      </c>
      <c r="H42" s="101">
        <f t="shared" si="2"/>
        <v>1316.2534800136968</v>
      </c>
      <c r="I42" s="241"/>
      <c r="J42" s="101">
        <f>SUM(J34:J41)</f>
        <v>1316.2534800136968</v>
      </c>
      <c r="K42" s="107"/>
      <c r="L42" s="101">
        <f>SUM(L34:L41)</f>
        <v>1395.2286888145188</v>
      </c>
      <c r="M42" s="194">
        <f>SUM(M34:M41)</f>
        <v>0.14800000000000002</v>
      </c>
      <c r="N42" s="101">
        <f>SUM(N34:N41)</f>
        <v>1329.6464402792726</v>
      </c>
    </row>
    <row r="43" spans="1:14" x14ac:dyDescent="0.25">
      <c r="A43" s="539" t="s">
        <v>109</v>
      </c>
      <c r="B43" s="540"/>
      <c r="C43" s="540"/>
      <c r="D43" s="541"/>
      <c r="E43" s="115"/>
      <c r="F43" s="115"/>
      <c r="G43" s="370"/>
      <c r="H43" s="371"/>
      <c r="I43" s="370"/>
      <c r="J43" s="371"/>
      <c r="K43" s="170"/>
      <c r="L43" s="371"/>
      <c r="M43" s="170"/>
      <c r="N43" s="371"/>
    </row>
    <row r="44" spans="1:14" x14ac:dyDescent="0.25">
      <c r="A44" s="539" t="s">
        <v>107</v>
      </c>
      <c r="B44" s="540"/>
      <c r="C44" s="540"/>
      <c r="D44" s="541"/>
      <c r="E44" s="115"/>
      <c r="F44" s="115"/>
      <c r="G44" s="370"/>
      <c r="H44" s="371"/>
      <c r="I44" s="370"/>
      <c r="J44" s="371"/>
      <c r="K44" s="170"/>
      <c r="L44" s="371"/>
      <c r="M44" s="170"/>
      <c r="N44" s="371"/>
    </row>
    <row r="45" spans="1:14" x14ac:dyDescent="0.25">
      <c r="A45" s="539" t="s">
        <v>108</v>
      </c>
      <c r="B45" s="540"/>
      <c r="C45" s="540"/>
      <c r="D45" s="541"/>
      <c r="E45" s="115"/>
      <c r="F45" s="115"/>
      <c r="G45" s="370"/>
      <c r="H45" s="371"/>
      <c r="I45" s="370"/>
      <c r="J45" s="371"/>
      <c r="K45" s="170"/>
      <c r="L45" s="371"/>
      <c r="M45" s="170"/>
      <c r="N45" s="371"/>
    </row>
    <row r="46" spans="1:14" x14ac:dyDescent="0.25">
      <c r="A46" s="539" t="s">
        <v>113</v>
      </c>
      <c r="B46" s="540"/>
      <c r="C46" s="540"/>
      <c r="D46" s="541"/>
      <c r="E46" s="115"/>
      <c r="F46" s="115"/>
      <c r="G46" s="370"/>
      <c r="H46" s="371"/>
      <c r="I46" s="370"/>
      <c r="J46" s="371"/>
      <c r="K46" s="170"/>
      <c r="L46" s="371"/>
      <c r="M46" s="170"/>
      <c r="N46" s="371"/>
    </row>
    <row r="47" spans="1:14" x14ac:dyDescent="0.25">
      <c r="A47" s="539" t="s">
        <v>118</v>
      </c>
      <c r="B47" s="540"/>
      <c r="C47" s="540"/>
      <c r="D47" s="541"/>
      <c r="E47" s="115"/>
      <c r="F47" s="115"/>
      <c r="G47" s="370"/>
      <c r="H47" s="371"/>
      <c r="I47" s="370"/>
      <c r="J47" s="371"/>
      <c r="K47" s="170"/>
      <c r="L47" s="371"/>
      <c r="M47" s="170"/>
      <c r="N47" s="371"/>
    </row>
    <row r="48" spans="1:14" x14ac:dyDescent="0.25">
      <c r="A48" s="226"/>
      <c r="B48" s="3"/>
      <c r="C48" s="3"/>
      <c r="D48" s="227"/>
      <c r="E48" s="115"/>
      <c r="F48" s="115"/>
      <c r="G48" s="370"/>
      <c r="H48" s="371"/>
      <c r="I48" s="370"/>
      <c r="J48" s="371"/>
      <c r="K48" s="170"/>
      <c r="L48" s="371"/>
      <c r="M48" s="170"/>
      <c r="N48" s="371"/>
    </row>
    <row r="49" spans="1:14" x14ac:dyDescent="0.25">
      <c r="A49" s="550" t="s">
        <v>36</v>
      </c>
      <c r="B49" s="551"/>
      <c r="C49" s="551"/>
      <c r="D49" s="552"/>
      <c r="E49" s="115"/>
      <c r="F49" s="115"/>
      <c r="G49" s="370"/>
      <c r="H49" s="371"/>
      <c r="I49" s="370"/>
      <c r="J49" s="371"/>
      <c r="K49" s="170"/>
      <c r="L49" s="371"/>
      <c r="M49" s="170"/>
      <c r="N49" s="371"/>
    </row>
    <row r="50" spans="1:14" x14ac:dyDescent="0.25">
      <c r="A50" s="146" t="s">
        <v>37</v>
      </c>
      <c r="B50" s="149" t="s">
        <v>38</v>
      </c>
      <c r="C50" s="147" t="s">
        <v>96</v>
      </c>
      <c r="D50" s="39" t="s">
        <v>5</v>
      </c>
      <c r="E50" s="189" t="s">
        <v>5</v>
      </c>
      <c r="F50" s="189" t="s">
        <v>5</v>
      </c>
      <c r="G50" s="245"/>
      <c r="H50" s="93" t="s">
        <v>5</v>
      </c>
      <c r="I50" s="245"/>
      <c r="J50" s="93" t="s">
        <v>5</v>
      </c>
      <c r="K50" s="180"/>
      <c r="L50" s="93" t="s">
        <v>5</v>
      </c>
      <c r="M50" s="180"/>
      <c r="N50" s="93" t="s">
        <v>5</v>
      </c>
    </row>
    <row r="51" spans="1:14" x14ac:dyDescent="0.25">
      <c r="A51" s="40" t="s">
        <v>6</v>
      </c>
      <c r="B51" s="3" t="s">
        <v>39</v>
      </c>
      <c r="C51" s="11">
        <v>22</v>
      </c>
      <c r="D51" s="43">
        <f>IF(((5.5*2*C51)-D19*6%)&lt;0,0,((5.5*2*C51)-D19*6%))</f>
        <v>0</v>
      </c>
      <c r="E51" s="83">
        <f>IF(((5.5*2*$C$51)-E$19*6%)&lt;0,0,((5.5*2*$C$51)-E$19*6%))</f>
        <v>0</v>
      </c>
      <c r="F51" s="83">
        <f>IF(((5.5*2*$C$51)-F$19*6%)&lt;0,0,((5.5*2*$C$51)-F$19*6%))</f>
        <v>0</v>
      </c>
      <c r="G51" s="247"/>
      <c r="H51" s="92">
        <f>IF(((5.5*2*$C$51)-H$19*6%)&lt;0,0,((5.5*2*$C$51)-H$19*6%))</f>
        <v>0</v>
      </c>
      <c r="I51" s="247"/>
      <c r="J51" s="92">
        <f>IF(((5.5*2*$C$51)-J$19*6%)&lt;0,0,((5.5*2*$C$51)-J$19*6%))</f>
        <v>0</v>
      </c>
      <c r="K51" s="196"/>
      <c r="L51" s="92">
        <f>IF(((5.5*2*$C$51)-L$19*6%)&lt;0,0,((5.5*2*$C$51)-L$19*6%))</f>
        <v>0</v>
      </c>
      <c r="M51" s="196"/>
      <c r="N51" s="92">
        <f>IF(((5.5*2*$C$51)-N$19*6%)&lt;0,0,((5.5*2*$C$51)-N$19*6%))</f>
        <v>0</v>
      </c>
    </row>
    <row r="52" spans="1:14" x14ac:dyDescent="0.25">
      <c r="A52" s="40" t="s">
        <v>8</v>
      </c>
      <c r="B52" s="3" t="s">
        <v>40</v>
      </c>
      <c r="C52" s="11">
        <v>22</v>
      </c>
      <c r="D52" s="43">
        <f>330*0.8</f>
        <v>264</v>
      </c>
      <c r="E52" s="83">
        <f>330*0.8</f>
        <v>264</v>
      </c>
      <c r="F52" s="83">
        <f>340*0.8</f>
        <v>272</v>
      </c>
      <c r="G52" s="247"/>
      <c r="H52" s="92">
        <f>350*0.8</f>
        <v>280</v>
      </c>
      <c r="I52" s="247"/>
      <c r="J52" s="92">
        <f>350*0.8</f>
        <v>280</v>
      </c>
      <c r="K52" s="196"/>
      <c r="L52" s="92">
        <f>370*0.8</f>
        <v>296</v>
      </c>
      <c r="M52" s="196"/>
      <c r="N52" s="92">
        <f>390*0.8</f>
        <v>312</v>
      </c>
    </row>
    <row r="53" spans="1:14" x14ac:dyDescent="0.25">
      <c r="A53" s="40" t="s">
        <v>10</v>
      </c>
      <c r="B53" s="3" t="s">
        <v>41</v>
      </c>
      <c r="C53" s="11">
        <v>0</v>
      </c>
      <c r="D53" s="43">
        <v>0</v>
      </c>
      <c r="E53" s="83">
        <v>0</v>
      </c>
      <c r="F53" s="83">
        <v>0</v>
      </c>
      <c r="G53" s="247"/>
      <c r="H53" s="92">
        <v>0</v>
      </c>
      <c r="I53" s="247"/>
      <c r="J53" s="92">
        <v>0</v>
      </c>
      <c r="K53" s="196"/>
      <c r="L53" s="92">
        <v>0</v>
      </c>
      <c r="M53" s="196"/>
      <c r="N53" s="92">
        <v>0</v>
      </c>
    </row>
    <row r="54" spans="1:14" x14ac:dyDescent="0.25">
      <c r="A54" s="40" t="s">
        <v>12</v>
      </c>
      <c r="B54" s="3" t="s">
        <v>97</v>
      </c>
      <c r="C54" s="11">
        <v>0</v>
      </c>
      <c r="D54" s="43">
        <v>0</v>
      </c>
      <c r="E54" s="83">
        <v>0</v>
      </c>
      <c r="F54" s="83">
        <v>0</v>
      </c>
      <c r="G54" s="247"/>
      <c r="H54" s="92">
        <v>0</v>
      </c>
      <c r="I54" s="247"/>
      <c r="J54" s="92">
        <v>0</v>
      </c>
      <c r="K54" s="196"/>
      <c r="L54" s="92">
        <v>0</v>
      </c>
      <c r="M54" s="196"/>
      <c r="N54" s="92">
        <v>0</v>
      </c>
    </row>
    <row r="55" spans="1:14" x14ac:dyDescent="0.25">
      <c r="A55" s="40" t="s">
        <v>14</v>
      </c>
      <c r="B55" s="3" t="s">
        <v>158</v>
      </c>
      <c r="C55" s="11">
        <v>1</v>
      </c>
      <c r="D55" s="43">
        <v>1.41</v>
      </c>
      <c r="E55" s="83">
        <v>1.41</v>
      </c>
      <c r="F55" s="83">
        <v>1.41</v>
      </c>
      <c r="G55" s="247"/>
      <c r="H55" s="92">
        <v>1.41</v>
      </c>
      <c r="I55" s="247"/>
      <c r="J55" s="92">
        <v>1.41</v>
      </c>
      <c r="K55" s="196"/>
      <c r="L55" s="92">
        <v>1.41</v>
      </c>
      <c r="M55" s="196"/>
      <c r="N55" s="92">
        <v>1.41</v>
      </c>
    </row>
    <row r="56" spans="1:14" x14ac:dyDescent="0.25">
      <c r="A56" s="530" t="s">
        <v>18</v>
      </c>
      <c r="B56" s="531"/>
      <c r="C56" s="531"/>
      <c r="D56" s="43">
        <f>SUM(D51:D55)</f>
        <v>265.41000000000003</v>
      </c>
      <c r="E56" s="83">
        <f>SUM(E51:E55)</f>
        <v>265.41000000000003</v>
      </c>
      <c r="F56" s="83">
        <f>SUM(F51:F55)</f>
        <v>273.41000000000003</v>
      </c>
      <c r="G56" s="247"/>
      <c r="H56" s="92">
        <f>SUM(H51:H55)</f>
        <v>281.41000000000003</v>
      </c>
      <c r="I56" s="247"/>
      <c r="J56" s="92">
        <f>SUM(J51:J55)</f>
        <v>281.41000000000003</v>
      </c>
      <c r="K56" s="196"/>
      <c r="L56" s="92">
        <f>SUM(L51:L55)</f>
        <v>297.41000000000003</v>
      </c>
      <c r="M56" s="196"/>
      <c r="N56" s="92">
        <f>SUM(N51:N55)</f>
        <v>313.41000000000003</v>
      </c>
    </row>
    <row r="57" spans="1:14" x14ac:dyDescent="0.25">
      <c r="A57" s="539" t="s">
        <v>44</v>
      </c>
      <c r="B57" s="540"/>
      <c r="C57" s="540"/>
      <c r="D57" s="541"/>
      <c r="E57" s="115"/>
      <c r="F57" s="115"/>
      <c r="G57" s="370"/>
      <c r="H57" s="371"/>
      <c r="I57" s="370"/>
      <c r="J57" s="371"/>
      <c r="K57" s="170"/>
      <c r="L57" s="371"/>
      <c r="M57" s="170"/>
      <c r="N57" s="371"/>
    </row>
    <row r="58" spans="1:14" x14ac:dyDescent="0.25">
      <c r="A58" s="539" t="s">
        <v>110</v>
      </c>
      <c r="B58" s="540"/>
      <c r="C58" s="540"/>
      <c r="D58" s="541"/>
      <c r="E58" s="115"/>
      <c r="F58" s="115"/>
      <c r="G58" s="370"/>
      <c r="H58" s="371"/>
      <c r="I58" s="370"/>
      <c r="J58" s="371"/>
      <c r="K58" s="170"/>
      <c r="L58" s="371"/>
      <c r="M58" s="170"/>
      <c r="N58" s="371"/>
    </row>
    <row r="59" spans="1:14" x14ac:dyDescent="0.25">
      <c r="A59" s="226"/>
      <c r="B59" s="3"/>
      <c r="C59" s="3"/>
      <c r="D59" s="227"/>
      <c r="E59" s="115"/>
      <c r="F59" s="115"/>
      <c r="G59" s="370"/>
      <c r="H59" s="371"/>
      <c r="I59" s="370"/>
      <c r="J59" s="371"/>
      <c r="K59" s="170"/>
      <c r="L59" s="371"/>
      <c r="M59" s="170"/>
      <c r="N59" s="371"/>
    </row>
    <row r="60" spans="1:14" x14ac:dyDescent="0.25">
      <c r="A60" s="550" t="s">
        <v>42</v>
      </c>
      <c r="B60" s="551"/>
      <c r="C60" s="551"/>
      <c r="D60" s="552"/>
      <c r="E60" s="115"/>
      <c r="F60" s="115"/>
      <c r="G60" s="370"/>
      <c r="H60" s="371"/>
      <c r="I60" s="370"/>
      <c r="J60" s="371"/>
      <c r="K60" s="170"/>
      <c r="L60" s="371"/>
      <c r="M60" s="170"/>
      <c r="N60" s="371"/>
    </row>
    <row r="61" spans="1:14" x14ac:dyDescent="0.25">
      <c r="A61" s="44">
        <v>2</v>
      </c>
      <c r="B61" s="546" t="s">
        <v>43</v>
      </c>
      <c r="C61" s="546"/>
      <c r="D61" s="39" t="s">
        <v>5</v>
      </c>
      <c r="E61" s="189" t="s">
        <v>5</v>
      </c>
      <c r="F61" s="189" t="s">
        <v>5</v>
      </c>
      <c r="G61" s="370"/>
      <c r="H61" s="93" t="s">
        <v>5</v>
      </c>
      <c r="I61" s="370"/>
      <c r="J61" s="93" t="s">
        <v>5</v>
      </c>
      <c r="K61" s="170"/>
      <c r="L61" s="93" t="s">
        <v>5</v>
      </c>
      <c r="M61" s="170"/>
      <c r="N61" s="93" t="s">
        <v>5</v>
      </c>
    </row>
    <row r="62" spans="1:14" x14ac:dyDescent="0.25">
      <c r="A62" s="151" t="s">
        <v>21</v>
      </c>
      <c r="B62" s="529" t="s">
        <v>163</v>
      </c>
      <c r="C62" s="529"/>
      <c r="D62" s="43">
        <f>D27</f>
        <v>1407.2078787878788</v>
      </c>
      <c r="E62" s="83">
        <f>E27</f>
        <v>1455.7565506060605</v>
      </c>
      <c r="F62" s="83">
        <f>F27</f>
        <v>1455.7565506060605</v>
      </c>
      <c r="G62" s="370"/>
      <c r="H62" s="92">
        <f>H27</f>
        <v>1455.7565506060605</v>
      </c>
      <c r="I62" s="370"/>
      <c r="J62" s="92">
        <f>J27</f>
        <v>1455.7565506060605</v>
      </c>
      <c r="K62" s="170"/>
      <c r="L62" s="92">
        <f>L27</f>
        <v>1543.101943642424</v>
      </c>
      <c r="M62" s="170"/>
      <c r="N62" s="92">
        <f>N27</f>
        <v>1572.2170746545453</v>
      </c>
    </row>
    <row r="63" spans="1:14" x14ac:dyDescent="0.25">
      <c r="A63" s="151" t="s">
        <v>24</v>
      </c>
      <c r="B63" s="532" t="s">
        <v>25</v>
      </c>
      <c r="C63" s="532"/>
      <c r="D63" s="43">
        <f>D42</f>
        <v>1314.2195821575758</v>
      </c>
      <c r="E63" s="83">
        <f>E42</f>
        <v>1359.5601577420121</v>
      </c>
      <c r="F63" s="83">
        <f>F42</f>
        <v>1359.5601577420121</v>
      </c>
      <c r="G63" s="370"/>
      <c r="H63" s="92">
        <f>H42</f>
        <v>1316.2534800136968</v>
      </c>
      <c r="I63" s="370"/>
      <c r="J63" s="92">
        <f>J42</f>
        <v>1316.2534800136968</v>
      </c>
      <c r="K63" s="170"/>
      <c r="L63" s="92">
        <f>L42</f>
        <v>1395.2286888145188</v>
      </c>
      <c r="M63" s="170"/>
      <c r="N63" s="92">
        <f>N42</f>
        <v>1329.6464402792726</v>
      </c>
    </row>
    <row r="64" spans="1:14" x14ac:dyDescent="0.25">
      <c r="A64" s="151" t="s">
        <v>37</v>
      </c>
      <c r="B64" s="532" t="s">
        <v>38</v>
      </c>
      <c r="C64" s="532"/>
      <c r="D64" s="43">
        <f>D56</f>
        <v>265.41000000000003</v>
      </c>
      <c r="E64" s="83">
        <f>E56</f>
        <v>265.41000000000003</v>
      </c>
      <c r="F64" s="83">
        <f>F56</f>
        <v>273.41000000000003</v>
      </c>
      <c r="G64" s="370"/>
      <c r="H64" s="92">
        <f>H56</f>
        <v>281.41000000000003</v>
      </c>
      <c r="I64" s="370"/>
      <c r="J64" s="92">
        <f>J56</f>
        <v>281.41000000000003</v>
      </c>
      <c r="K64" s="170"/>
      <c r="L64" s="92">
        <f>L56</f>
        <v>297.41000000000003</v>
      </c>
      <c r="M64" s="170"/>
      <c r="N64" s="92">
        <f>N56</f>
        <v>313.41000000000003</v>
      </c>
    </row>
    <row r="65" spans="1:14" x14ac:dyDescent="0.25">
      <c r="A65" s="530" t="s">
        <v>18</v>
      </c>
      <c r="B65" s="531"/>
      <c r="C65" s="531"/>
      <c r="D65" s="43">
        <f>SUM(D62:D64)</f>
        <v>2986.8374609454545</v>
      </c>
      <c r="E65" s="83">
        <f>SUM(E62:E64)</f>
        <v>3080.7267083480724</v>
      </c>
      <c r="F65" s="83">
        <f>SUM(F62:F64)</f>
        <v>3088.7267083480724</v>
      </c>
      <c r="G65" s="370"/>
      <c r="H65" s="92">
        <f>SUM(H62:H64)</f>
        <v>3053.4200306197572</v>
      </c>
      <c r="I65" s="370"/>
      <c r="J65" s="92">
        <f>SUM(J62:J64)</f>
        <v>3053.4200306197572</v>
      </c>
      <c r="K65" s="170"/>
      <c r="L65" s="92">
        <f>SUM(L62:L64)</f>
        <v>3235.7406324569429</v>
      </c>
      <c r="M65" s="170"/>
      <c r="N65" s="92">
        <f>SUM(N62:N64)</f>
        <v>3215.2735149338178</v>
      </c>
    </row>
    <row r="66" spans="1:14" x14ac:dyDescent="0.25">
      <c r="A66" s="226"/>
      <c r="B66" s="3"/>
      <c r="C66" s="3"/>
      <c r="D66" s="227"/>
      <c r="E66" s="115"/>
      <c r="F66" s="115"/>
      <c r="G66" s="370"/>
      <c r="H66" s="371"/>
      <c r="I66" s="370"/>
      <c r="J66" s="371"/>
      <c r="K66" s="170"/>
      <c r="L66" s="371"/>
      <c r="M66" s="170"/>
      <c r="N66" s="371"/>
    </row>
    <row r="67" spans="1:14" x14ac:dyDescent="0.25">
      <c r="A67" s="550" t="s">
        <v>77</v>
      </c>
      <c r="B67" s="551"/>
      <c r="C67" s="551"/>
      <c r="D67" s="552"/>
      <c r="E67" s="115"/>
      <c r="F67" s="115"/>
      <c r="G67" s="370"/>
      <c r="H67" s="371"/>
      <c r="I67" s="370"/>
      <c r="J67" s="371"/>
      <c r="K67" s="170"/>
      <c r="L67" s="371"/>
      <c r="M67" s="170"/>
      <c r="N67" s="371"/>
    </row>
    <row r="68" spans="1:14" x14ac:dyDescent="0.25">
      <c r="A68" s="44">
        <v>3</v>
      </c>
      <c r="B68" s="149" t="s">
        <v>45</v>
      </c>
      <c r="C68" s="149" t="s">
        <v>26</v>
      </c>
      <c r="D68" s="39" t="s">
        <v>5</v>
      </c>
      <c r="E68" s="189" t="s">
        <v>5</v>
      </c>
      <c r="F68" s="189" t="s">
        <v>5</v>
      </c>
      <c r="G68" s="197" t="s">
        <v>26</v>
      </c>
      <c r="H68" s="93" t="s">
        <v>5</v>
      </c>
      <c r="I68" s="197" t="s">
        <v>26</v>
      </c>
      <c r="J68" s="93" t="s">
        <v>5</v>
      </c>
      <c r="K68" s="190" t="s">
        <v>26</v>
      </c>
      <c r="L68" s="93" t="s">
        <v>5</v>
      </c>
      <c r="M68" s="190" t="s">
        <v>26</v>
      </c>
      <c r="N68" s="93" t="s">
        <v>5</v>
      </c>
    </row>
    <row r="69" spans="1:14" x14ac:dyDescent="0.25">
      <c r="A69" s="151" t="s">
        <v>6</v>
      </c>
      <c r="B69" s="2" t="s">
        <v>46</v>
      </c>
      <c r="C69" s="6">
        <f>(1/12)*5%</f>
        <v>4.1666666666666666E-3</v>
      </c>
      <c r="D69" s="45">
        <f t="shared" ref="D69:D75" si="3">C69*($D$19+$D$27)</f>
        <v>33.504949494949493</v>
      </c>
      <c r="E69" s="83">
        <f t="shared" ref="E69:F75" si="4">$C69*(E$19+E$27)</f>
        <v>34.66087025252525</v>
      </c>
      <c r="F69" s="83">
        <f t="shared" si="4"/>
        <v>34.66087025252525</v>
      </c>
      <c r="G69" s="102">
        <f>(1/12)*5%</f>
        <v>4.1666666666666666E-3</v>
      </c>
      <c r="H69" s="92">
        <f t="shared" ref="H69:H75" si="5">G69*($H$19+$H$27)</f>
        <v>34.66087025252525</v>
      </c>
      <c r="I69" s="102">
        <f>(1/12)*5%</f>
        <v>4.1666666666666666E-3</v>
      </c>
      <c r="J69" s="92">
        <f t="shared" ref="J69:J75" si="6">I69*($H$19+$H$27)</f>
        <v>34.66087025252525</v>
      </c>
      <c r="K69" s="107">
        <f>(1/12)*5%</f>
        <v>4.1666666666666666E-3</v>
      </c>
      <c r="L69" s="92">
        <f t="shared" ref="L69:L75" si="7">K69*($L$19+$L$27)</f>
        <v>36.740522467676769</v>
      </c>
      <c r="M69" s="107">
        <f>(1/12)*5%</f>
        <v>4.1666666666666666E-3</v>
      </c>
      <c r="N69" s="92">
        <f t="shared" ref="N69:N75" si="8">M69*($N$19+$N$27)</f>
        <v>37.433739872727273</v>
      </c>
    </row>
    <row r="70" spans="1:14" ht="30" x14ac:dyDescent="0.25">
      <c r="A70" s="151" t="s">
        <v>8</v>
      </c>
      <c r="B70" s="2" t="s">
        <v>47</v>
      </c>
      <c r="C70" s="6">
        <f>C69*C41</f>
        <v>3.3333333333333332E-4</v>
      </c>
      <c r="D70" s="45">
        <f t="shared" si="3"/>
        <v>2.6803959595959594</v>
      </c>
      <c r="E70" s="83">
        <f t="shared" si="4"/>
        <v>2.77286962020202</v>
      </c>
      <c r="F70" s="83">
        <f t="shared" si="4"/>
        <v>2.77286962020202</v>
      </c>
      <c r="G70" s="102">
        <f>$G$69*$G$41</f>
        <v>3.3333333333333332E-4</v>
      </c>
      <c r="H70" s="92">
        <f t="shared" si="5"/>
        <v>2.77286962020202</v>
      </c>
      <c r="I70" s="102">
        <f>$I$69*$G$41</f>
        <v>3.3333333333333332E-4</v>
      </c>
      <c r="J70" s="92">
        <f t="shared" si="6"/>
        <v>2.77286962020202</v>
      </c>
      <c r="K70" s="107">
        <f>$I$69*$G$41</f>
        <v>3.3333333333333332E-4</v>
      </c>
      <c r="L70" s="92">
        <f t="shared" si="7"/>
        <v>2.9392417974141414</v>
      </c>
      <c r="M70" s="107">
        <f>$I$69*$G$41</f>
        <v>3.3333333333333332E-4</v>
      </c>
      <c r="N70" s="92">
        <f t="shared" si="8"/>
        <v>2.9946991898181814</v>
      </c>
    </row>
    <row r="71" spans="1:14" ht="30" x14ac:dyDescent="0.25">
      <c r="A71" s="151" t="s">
        <v>10</v>
      </c>
      <c r="B71" s="2" t="s">
        <v>48</v>
      </c>
      <c r="C71" s="6">
        <f>C69*8%*40%</f>
        <v>1.3333333333333334E-4</v>
      </c>
      <c r="D71" s="45">
        <f t="shared" si="3"/>
        <v>1.0721583838383839</v>
      </c>
      <c r="E71" s="83">
        <f t="shared" si="4"/>
        <v>1.1091478480808081</v>
      </c>
      <c r="F71" s="83">
        <f t="shared" si="4"/>
        <v>1.1091478480808081</v>
      </c>
      <c r="G71" s="102">
        <f>$G$69*8%*40%</f>
        <v>1.3333333333333334E-4</v>
      </c>
      <c r="H71" s="92">
        <f t="shared" si="5"/>
        <v>1.1091478480808081</v>
      </c>
      <c r="I71" s="102">
        <f>$I$69*8%*40%</f>
        <v>1.3333333333333334E-4</v>
      </c>
      <c r="J71" s="92">
        <f t="shared" si="6"/>
        <v>1.1091478480808081</v>
      </c>
      <c r="K71" s="107">
        <f>$I$69*8%*40%</f>
        <v>1.3333333333333334E-4</v>
      </c>
      <c r="L71" s="92">
        <f t="shared" si="7"/>
        <v>1.1756967189656566</v>
      </c>
      <c r="M71" s="107">
        <f>$I$69*8%*40%</f>
        <v>1.3333333333333334E-4</v>
      </c>
      <c r="N71" s="92">
        <f t="shared" si="8"/>
        <v>1.1978796759272727</v>
      </c>
    </row>
    <row r="72" spans="1:14" x14ac:dyDescent="0.25">
      <c r="A72" s="151" t="s">
        <v>12</v>
      </c>
      <c r="B72" s="2" t="s">
        <v>49</v>
      </c>
      <c r="C72" s="6">
        <f>(7/30/12)*100%</f>
        <v>1.9444444444444445E-2</v>
      </c>
      <c r="D72" s="45">
        <f t="shared" si="3"/>
        <v>156.35643097643097</v>
      </c>
      <c r="E72" s="83">
        <f t="shared" si="4"/>
        <v>161.75072784511784</v>
      </c>
      <c r="F72" s="83">
        <f t="shared" si="4"/>
        <v>161.75072784511784</v>
      </c>
      <c r="G72" s="102">
        <f>(7/30/12)*100%</f>
        <v>1.9444444444444445E-2</v>
      </c>
      <c r="H72" s="92">
        <f t="shared" si="5"/>
        <v>161.75072784511784</v>
      </c>
      <c r="I72" s="102">
        <v>1.9400000000000001E-3</v>
      </c>
      <c r="J72" s="92">
        <f t="shared" si="6"/>
        <v>16.138101189575757</v>
      </c>
      <c r="K72" s="107">
        <v>1.9400000000000001E-3</v>
      </c>
      <c r="L72" s="92">
        <f t="shared" si="7"/>
        <v>17.106387260950303</v>
      </c>
      <c r="M72" s="107">
        <v>1.9400000000000001E-3</v>
      </c>
      <c r="N72" s="92">
        <f t="shared" si="8"/>
        <v>17.429149284741818</v>
      </c>
    </row>
    <row r="73" spans="1:14" ht="30" x14ac:dyDescent="0.25">
      <c r="A73" s="151" t="s">
        <v>14</v>
      </c>
      <c r="B73" s="2" t="s">
        <v>50</v>
      </c>
      <c r="C73" s="6">
        <f>C72*C42</f>
        <v>3.1779222222222221E-3</v>
      </c>
      <c r="D73" s="45">
        <f t="shared" si="3"/>
        <v>25.554269653063972</v>
      </c>
      <c r="E73" s="83">
        <f t="shared" si="4"/>
        <v>26.435891956094679</v>
      </c>
      <c r="F73" s="83">
        <f t="shared" si="4"/>
        <v>26.435891956094679</v>
      </c>
      <c r="G73" s="102">
        <f>$G$72*G$42</f>
        <v>3.0766944444444448E-3</v>
      </c>
      <c r="H73" s="92">
        <f t="shared" si="5"/>
        <v>25.593817666932999</v>
      </c>
      <c r="I73" s="102">
        <f>$I$72*$G$42</f>
        <v>3.0696620000000006E-4</v>
      </c>
      <c r="J73" s="92">
        <f t="shared" si="6"/>
        <v>2.5535317512265725</v>
      </c>
      <c r="K73" s="107">
        <f>$I$72*$G$42</f>
        <v>3.0696620000000006E-4</v>
      </c>
      <c r="L73" s="92">
        <f t="shared" si="7"/>
        <v>2.706743656300167</v>
      </c>
      <c r="M73" s="107">
        <f>$I$72*$G$42</f>
        <v>3.0696620000000006E-4</v>
      </c>
      <c r="N73" s="92">
        <f t="shared" si="8"/>
        <v>2.7578142913246984</v>
      </c>
    </row>
    <row r="74" spans="1:14" ht="30" x14ac:dyDescent="0.25">
      <c r="A74" s="151" t="s">
        <v>16</v>
      </c>
      <c r="B74" s="2" t="s">
        <v>51</v>
      </c>
      <c r="C74" s="6">
        <f>C72*8%*40%</f>
        <v>6.2222222222222236E-4</v>
      </c>
      <c r="D74" s="45">
        <f t="shared" si="3"/>
        <v>5.0034057912457923</v>
      </c>
      <c r="E74" s="83">
        <f t="shared" si="4"/>
        <v>5.176023291043772</v>
      </c>
      <c r="F74" s="83">
        <f t="shared" si="4"/>
        <v>5.176023291043772</v>
      </c>
      <c r="G74" s="102">
        <f>$G$72*8%*40%</f>
        <v>6.2222222222222236E-4</v>
      </c>
      <c r="H74" s="92">
        <f t="shared" si="5"/>
        <v>5.176023291043772</v>
      </c>
      <c r="I74" s="102">
        <f>$I$72*8%*40%</f>
        <v>6.2080000000000002E-5</v>
      </c>
      <c r="J74" s="92">
        <f t="shared" si="6"/>
        <v>0.5164192380664242</v>
      </c>
      <c r="K74" s="107">
        <f>$I$72*8%*40%</f>
        <v>6.2080000000000002E-5</v>
      </c>
      <c r="L74" s="92">
        <f t="shared" si="7"/>
        <v>0.54740439235040972</v>
      </c>
      <c r="M74" s="107">
        <f>$I$72*8%*40%</f>
        <v>6.2080000000000002E-5</v>
      </c>
      <c r="N74" s="92">
        <f t="shared" si="8"/>
        <v>0.55773277711173819</v>
      </c>
    </row>
    <row r="75" spans="1:14" x14ac:dyDescent="0.25">
      <c r="A75" s="151" t="s">
        <v>32</v>
      </c>
      <c r="B75" s="2" t="s">
        <v>133</v>
      </c>
      <c r="C75" s="6">
        <v>3.49E-2</v>
      </c>
      <c r="D75" s="45">
        <f t="shared" si="3"/>
        <v>280.63745696969698</v>
      </c>
      <c r="E75" s="83">
        <f t="shared" si="4"/>
        <v>290.31944923515152</v>
      </c>
      <c r="F75" s="83">
        <f t="shared" si="4"/>
        <v>290.31944923515152</v>
      </c>
      <c r="G75" s="102">
        <v>3.49E-2</v>
      </c>
      <c r="H75" s="92">
        <f t="shared" si="5"/>
        <v>290.31944923515152</v>
      </c>
      <c r="I75" s="102">
        <v>3.49E-2</v>
      </c>
      <c r="J75" s="92">
        <f t="shared" si="6"/>
        <v>290.31944923515152</v>
      </c>
      <c r="K75" s="107">
        <v>3.49E-2</v>
      </c>
      <c r="L75" s="92">
        <f t="shared" si="7"/>
        <v>307.7386161892606</v>
      </c>
      <c r="M75" s="107">
        <v>3.49E-2</v>
      </c>
      <c r="N75" s="92">
        <f t="shared" si="8"/>
        <v>313.5450051739636</v>
      </c>
    </row>
    <row r="76" spans="1:14" x14ac:dyDescent="0.25">
      <c r="A76" s="530" t="s">
        <v>161</v>
      </c>
      <c r="B76" s="531"/>
      <c r="C76" s="8">
        <f t="shared" ref="C76:H76" si="9">SUM(C69:C75)</f>
        <v>6.2777922222222227E-2</v>
      </c>
      <c r="D76" s="43">
        <f t="shared" si="9"/>
        <v>504.80906722882156</v>
      </c>
      <c r="E76" s="83">
        <f t="shared" si="9"/>
        <v>522.22498004821591</v>
      </c>
      <c r="F76" s="83">
        <f t="shared" si="9"/>
        <v>522.22498004821591</v>
      </c>
      <c r="G76" s="94">
        <f t="shared" si="9"/>
        <v>6.2676694444444445E-2</v>
      </c>
      <c r="H76" s="92">
        <f t="shared" si="9"/>
        <v>521.38290575905421</v>
      </c>
      <c r="I76" s="94">
        <f t="shared" ref="I76" si="10">SUM(I69:I75)</f>
        <v>4.1842379533333335E-2</v>
      </c>
      <c r="J76" s="92">
        <f>SUM(J69:J75)</f>
        <v>348.07038913482836</v>
      </c>
      <c r="K76" s="108">
        <f t="shared" ref="K76" si="11">SUM(K69:K75)</f>
        <v>4.1842379533333335E-2</v>
      </c>
      <c r="L76" s="92">
        <f>SUM(L69:L75)</f>
        <v>368.95461248291804</v>
      </c>
      <c r="M76" s="108">
        <f t="shared" ref="M76" si="12">SUM(M69:M75)</f>
        <v>4.1842379533333335E-2</v>
      </c>
      <c r="N76" s="92">
        <f>SUM(N69:N75)</f>
        <v>375.91602026561458</v>
      </c>
    </row>
    <row r="77" spans="1:14" x14ac:dyDescent="0.25">
      <c r="A77" s="539" t="s">
        <v>111</v>
      </c>
      <c r="B77" s="540"/>
      <c r="C77" s="540"/>
      <c r="D77" s="541"/>
      <c r="E77" s="115"/>
      <c r="F77" s="115"/>
      <c r="G77" s="370"/>
      <c r="H77" s="371"/>
      <c r="I77" s="370"/>
      <c r="J77" s="371"/>
      <c r="K77" s="170"/>
      <c r="L77" s="371"/>
      <c r="M77" s="170"/>
      <c r="N77" s="371"/>
    </row>
    <row r="78" spans="1:14" x14ac:dyDescent="0.25">
      <c r="A78" s="539" t="s">
        <v>119</v>
      </c>
      <c r="B78" s="540"/>
      <c r="C78" s="540"/>
      <c r="D78" s="541"/>
      <c r="E78" s="115"/>
      <c r="F78" s="115"/>
      <c r="G78" s="370"/>
      <c r="H78" s="371"/>
      <c r="I78" s="370"/>
      <c r="J78" s="371"/>
      <c r="K78" s="170"/>
      <c r="L78" s="371"/>
      <c r="M78" s="170"/>
      <c r="N78" s="371"/>
    </row>
    <row r="79" spans="1:14" x14ac:dyDescent="0.25">
      <c r="A79" s="226"/>
      <c r="B79" s="3"/>
      <c r="C79" s="3"/>
      <c r="D79" s="227"/>
      <c r="E79" s="115"/>
      <c r="F79" s="115"/>
      <c r="G79" s="370"/>
      <c r="H79" s="371"/>
      <c r="I79" s="370"/>
      <c r="J79" s="371"/>
      <c r="K79" s="170"/>
      <c r="L79" s="371"/>
      <c r="M79" s="170"/>
      <c r="N79" s="371"/>
    </row>
    <row r="80" spans="1:14" x14ac:dyDescent="0.25">
      <c r="A80" s="550" t="s">
        <v>52</v>
      </c>
      <c r="B80" s="551"/>
      <c r="C80" s="551"/>
      <c r="D80" s="552"/>
      <c r="E80" s="115"/>
      <c r="F80" s="115"/>
      <c r="G80" s="370"/>
      <c r="H80" s="371"/>
      <c r="I80" s="370"/>
      <c r="J80" s="371"/>
      <c r="K80" s="170"/>
      <c r="L80" s="371"/>
      <c r="M80" s="170"/>
      <c r="N80" s="371"/>
    </row>
    <row r="81" spans="1:14" x14ac:dyDescent="0.25">
      <c r="A81" s="539" t="s">
        <v>112</v>
      </c>
      <c r="B81" s="540"/>
      <c r="C81" s="540"/>
      <c r="D81" s="541"/>
      <c r="E81" s="115"/>
      <c r="F81" s="115"/>
      <c r="G81" s="370"/>
      <c r="H81" s="371"/>
      <c r="I81" s="370"/>
      <c r="J81" s="371"/>
      <c r="K81" s="170"/>
      <c r="L81" s="371"/>
      <c r="M81" s="170"/>
      <c r="N81" s="371"/>
    </row>
    <row r="82" spans="1:14" x14ac:dyDescent="0.25">
      <c r="A82" s="226"/>
      <c r="B82" s="3"/>
      <c r="C82" s="3"/>
      <c r="D82" s="227"/>
      <c r="E82" s="115"/>
      <c r="F82" s="115"/>
      <c r="G82" s="370"/>
      <c r="H82" s="371"/>
      <c r="I82" s="370"/>
      <c r="J82" s="371"/>
      <c r="K82" s="170"/>
      <c r="L82" s="371"/>
      <c r="M82" s="170"/>
      <c r="N82" s="371"/>
    </row>
    <row r="83" spans="1:14" x14ac:dyDescent="0.25">
      <c r="A83" s="550" t="s">
        <v>114</v>
      </c>
      <c r="B83" s="551"/>
      <c r="C83" s="551"/>
      <c r="D83" s="552"/>
      <c r="E83" s="115"/>
      <c r="F83" s="115"/>
      <c r="G83" s="370"/>
      <c r="H83" s="371"/>
      <c r="I83" s="370"/>
      <c r="J83" s="371"/>
      <c r="K83" s="170"/>
      <c r="L83" s="371"/>
      <c r="M83" s="170"/>
      <c r="N83" s="371"/>
    </row>
    <row r="84" spans="1:14" x14ac:dyDescent="0.25">
      <c r="A84" s="146" t="s">
        <v>53</v>
      </c>
      <c r="B84" s="149" t="s">
        <v>54</v>
      </c>
      <c r="C84" s="149" t="s">
        <v>26</v>
      </c>
      <c r="D84" s="39" t="s">
        <v>5</v>
      </c>
      <c r="E84" s="189" t="s">
        <v>5</v>
      </c>
      <c r="F84" s="189" t="s">
        <v>5</v>
      </c>
      <c r="G84" s="197" t="s">
        <v>26</v>
      </c>
      <c r="H84" s="93" t="s">
        <v>5</v>
      </c>
      <c r="I84" s="197" t="s">
        <v>26</v>
      </c>
      <c r="J84" s="93" t="s">
        <v>5</v>
      </c>
      <c r="K84" s="190" t="s">
        <v>26</v>
      </c>
      <c r="L84" s="93" t="s">
        <v>5</v>
      </c>
      <c r="M84" s="190" t="s">
        <v>26</v>
      </c>
      <c r="N84" s="93" t="s">
        <v>5</v>
      </c>
    </row>
    <row r="85" spans="1:14" x14ac:dyDescent="0.25">
      <c r="A85" s="151" t="s">
        <v>6</v>
      </c>
      <c r="B85" s="2" t="s">
        <v>55</v>
      </c>
      <c r="C85" s="6">
        <v>6.8999999999999999E-3</v>
      </c>
      <c r="D85" s="45">
        <f t="shared" ref="D85:D90" si="13">C85*($D$19+$D$27)</f>
        <v>55.484196363636364</v>
      </c>
      <c r="E85" s="83">
        <f t="shared" ref="E85:F90" si="14">$C85*(E$19+E$27)</f>
        <v>57.398401138181818</v>
      </c>
      <c r="F85" s="83">
        <f t="shared" si="14"/>
        <v>57.398401138181818</v>
      </c>
      <c r="G85" s="102">
        <v>6.8999999999999999E-3</v>
      </c>
      <c r="H85" s="92">
        <f t="shared" ref="H85:H90" si="15">G85*($H$19+$H$27)</f>
        <v>57.398401138181818</v>
      </c>
      <c r="I85" s="102">
        <v>6.8999999999999999E-3</v>
      </c>
      <c r="J85" s="92">
        <f t="shared" ref="J85:J90" si="16">I85*($H$19+$H$27)</f>
        <v>57.398401138181818</v>
      </c>
      <c r="K85" s="107">
        <v>6.8999999999999999E-3</v>
      </c>
      <c r="L85" s="92">
        <f t="shared" ref="L85:L90" si="17">K85*(L$19+L$27)</f>
        <v>60.842305206472723</v>
      </c>
      <c r="M85" s="107">
        <v>6.8999999999999999E-3</v>
      </c>
      <c r="N85" s="92">
        <f t="shared" ref="N85:N90" si="18">M85*(N$19+N$27)</f>
        <v>61.990273229236358</v>
      </c>
    </row>
    <row r="86" spans="1:14" x14ac:dyDescent="0.25">
      <c r="A86" s="151" t="s">
        <v>8</v>
      </c>
      <c r="B86" s="2" t="s">
        <v>56</v>
      </c>
      <c r="C86" s="6">
        <f>(1/30)*(1/12)</f>
        <v>2.7777777777777775E-3</v>
      </c>
      <c r="D86" s="45">
        <f t="shared" si="13"/>
        <v>22.336632996632993</v>
      </c>
      <c r="E86" s="83">
        <f t="shared" si="14"/>
        <v>23.107246835016831</v>
      </c>
      <c r="F86" s="83">
        <f t="shared" si="14"/>
        <v>23.107246835016831</v>
      </c>
      <c r="G86" s="102">
        <f>(1/30)*(1/12)</f>
        <v>2.7777777777777775E-3</v>
      </c>
      <c r="H86" s="92">
        <f t="shared" si="15"/>
        <v>23.107246835016831</v>
      </c>
      <c r="I86" s="102">
        <f>(1/30)*(1/12)</f>
        <v>2.7777777777777775E-3</v>
      </c>
      <c r="J86" s="92">
        <f t="shared" si="16"/>
        <v>23.107246835016831</v>
      </c>
      <c r="K86" s="107">
        <f>(1/30)*(1/12)</f>
        <v>2.7777777777777775E-3</v>
      </c>
      <c r="L86" s="92">
        <f t="shared" si="17"/>
        <v>24.493681645117842</v>
      </c>
      <c r="M86" s="107">
        <f>(1/30)*(1/12)</f>
        <v>2.7777777777777775E-3</v>
      </c>
      <c r="N86" s="92">
        <f t="shared" si="18"/>
        <v>24.955826581818176</v>
      </c>
    </row>
    <row r="87" spans="1:14" x14ac:dyDescent="0.25">
      <c r="A87" s="151" t="s">
        <v>10</v>
      </c>
      <c r="B87" s="2" t="s">
        <v>57</v>
      </c>
      <c r="C87" s="6">
        <f>(5/30/12)*1.5%</f>
        <v>2.0833333333333332E-4</v>
      </c>
      <c r="D87" s="45">
        <f t="shared" si="13"/>
        <v>1.6752474747474746</v>
      </c>
      <c r="E87" s="83">
        <f t="shared" si="14"/>
        <v>1.7330435126262624</v>
      </c>
      <c r="F87" s="83">
        <f t="shared" si="14"/>
        <v>1.7330435126262624</v>
      </c>
      <c r="G87" s="102">
        <f>(5/30/12)*1.5%</f>
        <v>2.0833333333333332E-4</v>
      </c>
      <c r="H87" s="92">
        <f t="shared" si="15"/>
        <v>1.7330435126262624</v>
      </c>
      <c r="I87" s="102">
        <f>(5/30/12)*1.5%</f>
        <v>2.0833333333333332E-4</v>
      </c>
      <c r="J87" s="92">
        <f t="shared" si="16"/>
        <v>1.7330435126262624</v>
      </c>
      <c r="K87" s="107">
        <f>(5/30/12)*1.5%</f>
        <v>2.0833333333333332E-4</v>
      </c>
      <c r="L87" s="92">
        <f t="shared" si="17"/>
        <v>1.8370261233838383</v>
      </c>
      <c r="M87" s="107">
        <f>(5/30/12)*1.5%</f>
        <v>2.0833333333333332E-4</v>
      </c>
      <c r="N87" s="92">
        <f t="shared" si="18"/>
        <v>1.8716869936363634</v>
      </c>
    </row>
    <row r="88" spans="1:14" ht="30" x14ac:dyDescent="0.25">
      <c r="A88" s="151" t="s">
        <v>12</v>
      </c>
      <c r="B88" s="2" t="s">
        <v>58</v>
      </c>
      <c r="C88" s="6">
        <f>(15/30/12)*0.78%</f>
        <v>3.2499999999999999E-4</v>
      </c>
      <c r="D88" s="45">
        <f t="shared" si="13"/>
        <v>2.6133860606060604</v>
      </c>
      <c r="E88" s="83">
        <f t="shared" si="14"/>
        <v>2.7035478796969694</v>
      </c>
      <c r="F88" s="83">
        <f t="shared" si="14"/>
        <v>2.7035478796969694</v>
      </c>
      <c r="G88" s="102">
        <f>(15/30/12)*0.78%</f>
        <v>3.2499999999999999E-4</v>
      </c>
      <c r="H88" s="92">
        <f t="shared" si="15"/>
        <v>2.7035478796969694</v>
      </c>
      <c r="I88" s="102">
        <f>(15/30/12)*0.78%</f>
        <v>3.2499999999999999E-4</v>
      </c>
      <c r="J88" s="92">
        <f t="shared" si="16"/>
        <v>2.7035478796969694</v>
      </c>
      <c r="K88" s="107">
        <f>(15/30/12)*0.78%</f>
        <v>3.2499999999999999E-4</v>
      </c>
      <c r="L88" s="92">
        <f t="shared" si="17"/>
        <v>2.8657607524787876</v>
      </c>
      <c r="M88" s="107">
        <f>(15/30/12)*0.78%</f>
        <v>3.2499999999999999E-4</v>
      </c>
      <c r="N88" s="92">
        <f t="shared" si="18"/>
        <v>2.9198317100727271</v>
      </c>
    </row>
    <row r="89" spans="1:14" ht="30" x14ac:dyDescent="0.25">
      <c r="A89" s="151" t="s">
        <v>14</v>
      </c>
      <c r="B89" s="2" t="s">
        <v>59</v>
      </c>
      <c r="C89" s="6">
        <f>(1.44%*10%*(C34+C36+C25+C41+C75)*6/12)</f>
        <v>1.6649646545454546E-4</v>
      </c>
      <c r="D89" s="45">
        <f t="shared" si="13"/>
        <v>1.3388293598741157</v>
      </c>
      <c r="E89" s="83">
        <f t="shared" si="14"/>
        <v>1.3850189727897726</v>
      </c>
      <c r="F89" s="83">
        <f t="shared" si="14"/>
        <v>1.3850189727897726</v>
      </c>
      <c r="G89" s="102">
        <f>(1.44%*10%*(G$34+G$36+C$25+G$41+G$75)*6/12)</f>
        <v>1.6274814545454546E-4</v>
      </c>
      <c r="H89" s="92">
        <f t="shared" si="15"/>
        <v>1.3538381648253857</v>
      </c>
      <c r="I89" s="102">
        <f>(1.44%*10%*(G$34+G$36+C$25+G$41+I$75)*6/12)</f>
        <v>1.6274814545454546E-4</v>
      </c>
      <c r="J89" s="92">
        <f t="shared" si="16"/>
        <v>1.3538381648253857</v>
      </c>
      <c r="K89" s="107">
        <f>(1.44%*10%*($G$34+$G$36+$C$25+$G$41+K$75)*6/12)</f>
        <v>1.6274814545454546E-4</v>
      </c>
      <c r="L89" s="92">
        <f t="shared" si="17"/>
        <v>1.4350684547149088</v>
      </c>
      <c r="M89" s="107">
        <f>(1.44%*10%*($G$34+$G$36+$C$25+$G$41+M$75)*6/12)</f>
        <v>1.6274814545454546E-4</v>
      </c>
      <c r="N89" s="92">
        <f t="shared" si="18"/>
        <v>1.4621452180114165</v>
      </c>
    </row>
    <row r="90" spans="1:14" ht="30" x14ac:dyDescent="0.25">
      <c r="A90" s="151" t="s">
        <v>16</v>
      </c>
      <c r="B90" s="2" t="s">
        <v>60</v>
      </c>
      <c r="C90" s="6">
        <v>0</v>
      </c>
      <c r="D90" s="45">
        <f t="shared" si="13"/>
        <v>0</v>
      </c>
      <c r="E90" s="83">
        <f t="shared" si="14"/>
        <v>0</v>
      </c>
      <c r="F90" s="83">
        <f t="shared" si="14"/>
        <v>0</v>
      </c>
      <c r="G90" s="102">
        <v>0</v>
      </c>
      <c r="H90" s="92">
        <f t="shared" si="15"/>
        <v>0</v>
      </c>
      <c r="I90" s="102">
        <v>0</v>
      </c>
      <c r="J90" s="92">
        <f t="shared" si="16"/>
        <v>0</v>
      </c>
      <c r="K90" s="107">
        <v>0</v>
      </c>
      <c r="L90" s="92">
        <f t="shared" si="17"/>
        <v>0</v>
      </c>
      <c r="M90" s="107">
        <v>0</v>
      </c>
      <c r="N90" s="92">
        <f t="shared" si="18"/>
        <v>0</v>
      </c>
    </row>
    <row r="91" spans="1:14" x14ac:dyDescent="0.25">
      <c r="A91" s="530" t="s">
        <v>18</v>
      </c>
      <c r="B91" s="531"/>
      <c r="C91" s="8">
        <f t="shared" ref="C91:H91" si="19">SUM(C85:C90)</f>
        <v>1.0377607576565657E-2</v>
      </c>
      <c r="D91" s="43">
        <f t="shared" si="19"/>
        <v>83.448292255497009</v>
      </c>
      <c r="E91" s="83">
        <f t="shared" si="19"/>
        <v>86.327258338311651</v>
      </c>
      <c r="F91" s="83">
        <f t="shared" si="19"/>
        <v>86.327258338311651</v>
      </c>
      <c r="G91" s="94">
        <f t="shared" si="19"/>
        <v>1.0373859256565657E-2</v>
      </c>
      <c r="H91" s="92">
        <f t="shared" si="19"/>
        <v>86.296077530347276</v>
      </c>
      <c r="I91" s="94">
        <f t="shared" ref="I91" si="20">SUM(I85:I90)</f>
        <v>1.0373859256565657E-2</v>
      </c>
      <c r="J91" s="92">
        <f>SUM(J85:J90)</f>
        <v>86.296077530347276</v>
      </c>
      <c r="K91" s="108">
        <f t="shared" ref="K91" si="21">SUM(K85:K90)</f>
        <v>1.0373859256565657E-2</v>
      </c>
      <c r="L91" s="92">
        <f>SUM(L85:L90)</f>
        <v>91.473842182168099</v>
      </c>
      <c r="M91" s="108">
        <f t="shared" ref="M91" si="22">SUM(M85:M90)</f>
        <v>1.0373859256565657E-2</v>
      </c>
      <c r="N91" s="92">
        <f>SUM(N85:N90)</f>
        <v>93.19976373277504</v>
      </c>
    </row>
    <row r="92" spans="1:14" x14ac:dyDescent="0.25">
      <c r="A92" s="539" t="s">
        <v>120</v>
      </c>
      <c r="B92" s="540"/>
      <c r="C92" s="540"/>
      <c r="D92" s="541"/>
      <c r="E92" s="115"/>
      <c r="F92" s="115"/>
      <c r="G92" s="370"/>
      <c r="H92" s="371"/>
      <c r="I92" s="370"/>
      <c r="J92" s="371"/>
      <c r="K92" s="170"/>
      <c r="L92" s="371"/>
      <c r="M92" s="170"/>
      <c r="N92" s="371"/>
    </row>
    <row r="93" spans="1:14" x14ac:dyDescent="0.25">
      <c r="A93" s="226"/>
      <c r="B93" s="3"/>
      <c r="C93" s="3"/>
      <c r="D93" s="227"/>
      <c r="E93" s="115"/>
      <c r="F93" s="115"/>
      <c r="G93" s="370"/>
      <c r="H93" s="371"/>
      <c r="I93" s="370"/>
      <c r="J93" s="371"/>
      <c r="K93" s="170"/>
      <c r="L93" s="371"/>
      <c r="M93" s="170"/>
      <c r="N93" s="371"/>
    </row>
    <row r="94" spans="1:14" x14ac:dyDescent="0.25">
      <c r="A94" s="530" t="s">
        <v>115</v>
      </c>
      <c r="B94" s="531"/>
      <c r="C94" s="531"/>
      <c r="D94" s="542"/>
      <c r="E94" s="115"/>
      <c r="F94" s="115"/>
      <c r="G94" s="370"/>
      <c r="H94" s="371"/>
      <c r="I94" s="370"/>
      <c r="J94" s="371"/>
      <c r="K94" s="170"/>
      <c r="L94" s="371"/>
      <c r="M94" s="170"/>
      <c r="N94" s="371"/>
    </row>
    <row r="95" spans="1:14" x14ac:dyDescent="0.25">
      <c r="A95" s="146" t="s">
        <v>61</v>
      </c>
      <c r="B95" s="149" t="s">
        <v>62</v>
      </c>
      <c r="C95" s="149" t="s">
        <v>5</v>
      </c>
      <c r="D95" s="148"/>
      <c r="E95" s="115"/>
      <c r="F95" s="115"/>
      <c r="G95" s="370"/>
      <c r="H95" s="371"/>
      <c r="I95" s="370"/>
      <c r="J95" s="371"/>
      <c r="K95" s="170"/>
      <c r="L95" s="371"/>
      <c r="M95" s="170"/>
      <c r="N95" s="371"/>
    </row>
    <row r="96" spans="1:14" ht="30" x14ac:dyDescent="0.25">
      <c r="A96" s="151" t="s">
        <v>6</v>
      </c>
      <c r="B96" s="2" t="s">
        <v>63</v>
      </c>
      <c r="C96" s="4"/>
      <c r="D96" s="47"/>
      <c r="E96" s="115"/>
      <c r="F96" s="115"/>
      <c r="G96" s="370"/>
      <c r="H96" s="371"/>
      <c r="I96" s="370"/>
      <c r="J96" s="371"/>
      <c r="K96" s="170"/>
      <c r="L96" s="371"/>
      <c r="M96" s="170"/>
      <c r="N96" s="371"/>
    </row>
    <row r="97" spans="1:14" x14ac:dyDescent="0.25">
      <c r="A97" s="530" t="s">
        <v>18</v>
      </c>
      <c r="B97" s="531"/>
      <c r="C97" s="5">
        <f>SUM(C96)</f>
        <v>0</v>
      </c>
      <c r="D97" s="47"/>
      <c r="E97" s="115"/>
      <c r="F97" s="115"/>
      <c r="G97" s="370"/>
      <c r="H97" s="371"/>
      <c r="I97" s="370"/>
      <c r="J97" s="371"/>
      <c r="K97" s="170"/>
      <c r="L97" s="371"/>
      <c r="M97" s="170"/>
      <c r="N97" s="371"/>
    </row>
    <row r="98" spans="1:14" x14ac:dyDescent="0.25">
      <c r="A98" s="226"/>
      <c r="B98" s="3"/>
      <c r="C98" s="3"/>
      <c r="D98" s="227"/>
      <c r="E98" s="115"/>
      <c r="F98" s="115"/>
      <c r="G98" s="370"/>
      <c r="H98" s="371"/>
      <c r="I98" s="370"/>
      <c r="J98" s="371"/>
      <c r="K98" s="170"/>
      <c r="L98" s="371"/>
      <c r="M98" s="170"/>
      <c r="N98" s="371"/>
    </row>
    <row r="99" spans="1:14" x14ac:dyDescent="0.25">
      <c r="A99" s="543" t="s">
        <v>116</v>
      </c>
      <c r="B99" s="544"/>
      <c r="C99" s="544"/>
      <c r="D99" s="545"/>
      <c r="E99" s="115"/>
      <c r="F99" s="115"/>
      <c r="G99" s="370"/>
      <c r="H99" s="371"/>
      <c r="I99" s="370"/>
      <c r="J99" s="371"/>
      <c r="K99" s="170"/>
      <c r="L99" s="371"/>
      <c r="M99" s="170"/>
      <c r="N99" s="371"/>
    </row>
    <row r="100" spans="1:14" x14ac:dyDescent="0.25">
      <c r="A100" s="146">
        <v>4</v>
      </c>
      <c r="B100" s="546" t="s">
        <v>64</v>
      </c>
      <c r="C100" s="546"/>
      <c r="D100" s="39" t="s">
        <v>5</v>
      </c>
      <c r="E100" s="189" t="s">
        <v>5</v>
      </c>
      <c r="F100" s="189" t="s">
        <v>5</v>
      </c>
      <c r="G100" s="370"/>
      <c r="H100" s="93" t="s">
        <v>5</v>
      </c>
      <c r="I100" s="370"/>
      <c r="J100" s="93" t="s">
        <v>5</v>
      </c>
      <c r="K100" s="170"/>
      <c r="L100" s="93" t="s">
        <v>5</v>
      </c>
      <c r="M100" s="170"/>
      <c r="N100" s="93" t="s">
        <v>5</v>
      </c>
    </row>
    <row r="101" spans="1:14" x14ac:dyDescent="0.25">
      <c r="A101" s="40" t="s">
        <v>53</v>
      </c>
      <c r="B101" s="532" t="s">
        <v>54</v>
      </c>
      <c r="C101" s="532"/>
      <c r="D101" s="43">
        <f>D91</f>
        <v>83.448292255497009</v>
      </c>
      <c r="E101" s="83">
        <f>E91</f>
        <v>86.327258338311651</v>
      </c>
      <c r="F101" s="83">
        <f>F91</f>
        <v>86.327258338311651</v>
      </c>
      <c r="G101" s="370"/>
      <c r="H101" s="92">
        <f>H91</f>
        <v>86.296077530347276</v>
      </c>
      <c r="I101" s="370"/>
      <c r="J101" s="92">
        <f>J91</f>
        <v>86.296077530347276</v>
      </c>
      <c r="K101" s="170"/>
      <c r="L101" s="92">
        <f>L91</f>
        <v>91.473842182168099</v>
      </c>
      <c r="M101" s="170"/>
      <c r="N101" s="92">
        <f>N91</f>
        <v>93.19976373277504</v>
      </c>
    </row>
    <row r="102" spans="1:14" x14ac:dyDescent="0.25">
      <c r="A102" s="40" t="s">
        <v>61</v>
      </c>
      <c r="B102" s="3" t="s">
        <v>65</v>
      </c>
      <c r="C102" s="3"/>
      <c r="D102" s="48">
        <f>C97</f>
        <v>0</v>
      </c>
      <c r="E102" s="207">
        <f>E97</f>
        <v>0</v>
      </c>
      <c r="F102" s="207">
        <f>F97</f>
        <v>0</v>
      </c>
      <c r="G102" s="370"/>
      <c r="H102" s="97">
        <f>G97</f>
        <v>0</v>
      </c>
      <c r="I102" s="370"/>
      <c r="J102" s="97">
        <f>I97</f>
        <v>0</v>
      </c>
      <c r="K102" s="170"/>
      <c r="L102" s="97">
        <f>K97</f>
        <v>0</v>
      </c>
      <c r="M102" s="170"/>
      <c r="N102" s="97">
        <f>M97</f>
        <v>0</v>
      </c>
    </row>
    <row r="103" spans="1:14" x14ac:dyDescent="0.25">
      <c r="A103" s="530" t="s">
        <v>18</v>
      </c>
      <c r="B103" s="531"/>
      <c r="C103" s="531"/>
      <c r="D103" s="43">
        <f>SUM(D101:D102)</f>
        <v>83.448292255497009</v>
      </c>
      <c r="E103" s="83">
        <f>SUM(E101:E102)</f>
        <v>86.327258338311651</v>
      </c>
      <c r="F103" s="83">
        <f>SUM(F101:F102)</f>
        <v>86.327258338311651</v>
      </c>
      <c r="G103" s="370"/>
      <c r="H103" s="92">
        <f>SUM(H101:H102)</f>
        <v>86.296077530347276</v>
      </c>
      <c r="I103" s="370"/>
      <c r="J103" s="92">
        <f>SUM(J101:J102)</f>
        <v>86.296077530347276</v>
      </c>
      <c r="K103" s="170"/>
      <c r="L103" s="92">
        <f>SUM(L101:L102)</f>
        <v>91.473842182168099</v>
      </c>
      <c r="M103" s="170"/>
      <c r="N103" s="92">
        <f>SUM(N101:N102)</f>
        <v>93.19976373277504</v>
      </c>
    </row>
    <row r="104" spans="1:14" x14ac:dyDescent="0.25">
      <c r="A104" s="226"/>
      <c r="B104" s="3"/>
      <c r="C104" s="3"/>
      <c r="D104" s="227"/>
      <c r="E104" s="115"/>
      <c r="F104" s="115"/>
      <c r="G104" s="370"/>
      <c r="H104" s="371"/>
      <c r="I104" s="370"/>
      <c r="J104" s="371"/>
      <c r="K104" s="170"/>
      <c r="L104" s="371"/>
      <c r="M104" s="170"/>
      <c r="N104" s="371"/>
    </row>
    <row r="105" spans="1:14" x14ac:dyDescent="0.25">
      <c r="A105" s="547" t="s">
        <v>66</v>
      </c>
      <c r="B105" s="548"/>
      <c r="C105" s="548"/>
      <c r="D105" s="549"/>
      <c r="E105" s="115"/>
      <c r="F105" s="115"/>
      <c r="G105" s="370"/>
      <c r="H105" s="371"/>
      <c r="I105" s="370"/>
      <c r="J105" s="371"/>
      <c r="K105" s="170"/>
      <c r="L105" s="371"/>
      <c r="M105" s="170"/>
      <c r="N105" s="371"/>
    </row>
    <row r="106" spans="1:14" x14ac:dyDescent="0.25">
      <c r="A106" s="146">
        <v>5</v>
      </c>
      <c r="B106" s="546" t="s">
        <v>67</v>
      </c>
      <c r="C106" s="546"/>
      <c r="D106" s="39" t="s">
        <v>5</v>
      </c>
      <c r="E106" s="189" t="s">
        <v>5</v>
      </c>
      <c r="F106" s="189" t="s">
        <v>5</v>
      </c>
      <c r="G106" s="370"/>
      <c r="H106" s="93" t="s">
        <v>5</v>
      </c>
      <c r="I106" s="370"/>
      <c r="J106" s="93" t="s">
        <v>5</v>
      </c>
      <c r="K106" s="170"/>
      <c r="L106" s="93" t="s">
        <v>5</v>
      </c>
      <c r="M106" s="170"/>
      <c r="N106" s="93" t="s">
        <v>5</v>
      </c>
    </row>
    <row r="107" spans="1:14" x14ac:dyDescent="0.25">
      <c r="A107" s="40" t="s">
        <v>6</v>
      </c>
      <c r="B107" s="532" t="s">
        <v>68</v>
      </c>
      <c r="C107" s="532"/>
      <c r="D107" s="43">
        <v>0</v>
      </c>
      <c r="E107" s="83">
        <v>0</v>
      </c>
      <c r="F107" s="83">
        <v>0</v>
      </c>
      <c r="G107" s="370"/>
      <c r="H107" s="92">
        <v>0</v>
      </c>
      <c r="I107" s="370"/>
      <c r="J107" s="92">
        <v>0</v>
      </c>
      <c r="K107" s="170"/>
      <c r="L107" s="92">
        <v>0</v>
      </c>
      <c r="M107" s="170"/>
      <c r="N107" s="92">
        <v>0</v>
      </c>
    </row>
    <row r="108" spans="1:14" x14ac:dyDescent="0.25">
      <c r="A108" s="40" t="s">
        <v>8</v>
      </c>
      <c r="B108" s="532" t="s">
        <v>69</v>
      </c>
      <c r="C108" s="532"/>
      <c r="D108" s="43">
        <v>0</v>
      </c>
      <c r="E108" s="83">
        <v>0</v>
      </c>
      <c r="F108" s="83">
        <v>0</v>
      </c>
      <c r="G108" s="370"/>
      <c r="H108" s="92">
        <v>0</v>
      </c>
      <c r="I108" s="370"/>
      <c r="J108" s="92">
        <v>0</v>
      </c>
      <c r="K108" s="170"/>
      <c r="L108" s="92">
        <v>0</v>
      </c>
      <c r="M108" s="170"/>
      <c r="N108" s="92">
        <v>0</v>
      </c>
    </row>
    <row r="109" spans="1:14" x14ac:dyDescent="0.25">
      <c r="A109" s="40" t="s">
        <v>10</v>
      </c>
      <c r="B109" s="532" t="s">
        <v>70</v>
      </c>
      <c r="C109" s="532"/>
      <c r="D109" s="43">
        <v>0</v>
      </c>
      <c r="E109" s="83">
        <v>0</v>
      </c>
      <c r="F109" s="83">
        <v>0</v>
      </c>
      <c r="G109" s="370"/>
      <c r="H109" s="92">
        <v>0</v>
      </c>
      <c r="I109" s="370"/>
      <c r="J109" s="92">
        <v>0</v>
      </c>
      <c r="K109" s="170"/>
      <c r="L109" s="92">
        <v>0</v>
      </c>
      <c r="M109" s="170"/>
      <c r="N109" s="92">
        <v>0</v>
      </c>
    </row>
    <row r="110" spans="1:14" x14ac:dyDescent="0.25">
      <c r="A110" s="40" t="s">
        <v>12</v>
      </c>
      <c r="B110" s="532" t="s">
        <v>17</v>
      </c>
      <c r="C110" s="532"/>
      <c r="D110" s="43">
        <v>0</v>
      </c>
      <c r="E110" s="83">
        <v>0</v>
      </c>
      <c r="F110" s="83">
        <v>0</v>
      </c>
      <c r="G110" s="370"/>
      <c r="H110" s="92">
        <v>0</v>
      </c>
      <c r="I110" s="370"/>
      <c r="J110" s="92">
        <v>0</v>
      </c>
      <c r="K110" s="170"/>
      <c r="L110" s="92">
        <v>0</v>
      </c>
      <c r="M110" s="170"/>
      <c r="N110" s="92">
        <v>0</v>
      </c>
    </row>
    <row r="111" spans="1:14" x14ac:dyDescent="0.25">
      <c r="A111" s="530" t="s">
        <v>18</v>
      </c>
      <c r="B111" s="531"/>
      <c r="C111" s="531"/>
      <c r="D111" s="43">
        <f>SUM(D107:D110)</f>
        <v>0</v>
      </c>
      <c r="E111" s="83">
        <f>SUM(E107:E110)</f>
        <v>0</v>
      </c>
      <c r="F111" s="83">
        <f>SUM(F107:F110)</f>
        <v>0</v>
      </c>
      <c r="G111" s="370"/>
      <c r="H111" s="92">
        <f>SUM(H107:H110)</f>
        <v>0</v>
      </c>
      <c r="I111" s="370"/>
      <c r="J111" s="92">
        <f>SUM(J107:J110)</f>
        <v>0</v>
      </c>
      <c r="K111" s="170"/>
      <c r="L111" s="92">
        <f>SUM(L107:L110)</f>
        <v>0</v>
      </c>
      <c r="M111" s="170"/>
      <c r="N111" s="92">
        <f>SUM(N107:N110)</f>
        <v>0</v>
      </c>
    </row>
    <row r="112" spans="1:14" x14ac:dyDescent="0.25">
      <c r="A112" s="539" t="s">
        <v>80</v>
      </c>
      <c r="B112" s="540"/>
      <c r="C112" s="540"/>
      <c r="D112" s="541"/>
      <c r="E112" s="115"/>
      <c r="F112" s="115"/>
      <c r="G112" s="370"/>
      <c r="H112" s="371"/>
      <c r="I112" s="370"/>
      <c r="J112" s="371"/>
      <c r="K112" s="170"/>
      <c r="L112" s="371"/>
      <c r="M112" s="170"/>
      <c r="N112" s="371"/>
    </row>
    <row r="113" spans="1:14" x14ac:dyDescent="0.25">
      <c r="A113" s="226"/>
      <c r="B113" s="3"/>
      <c r="C113" s="3"/>
      <c r="D113" s="227"/>
      <c r="E113" s="115"/>
      <c r="F113" s="115"/>
      <c r="G113" s="370"/>
      <c r="H113" s="371"/>
      <c r="I113" s="370"/>
      <c r="J113" s="371"/>
      <c r="K113" s="170"/>
      <c r="L113" s="371"/>
      <c r="M113" s="170"/>
      <c r="N113" s="371"/>
    </row>
    <row r="114" spans="1:14" x14ac:dyDescent="0.25">
      <c r="A114" s="547" t="s">
        <v>71</v>
      </c>
      <c r="B114" s="548"/>
      <c r="C114" s="548"/>
      <c r="D114" s="549"/>
      <c r="E114" s="115"/>
      <c r="F114" s="115"/>
      <c r="G114" s="370"/>
      <c r="H114" s="371"/>
      <c r="I114" s="370"/>
      <c r="J114" s="371"/>
      <c r="K114" s="170"/>
      <c r="L114" s="371"/>
      <c r="M114" s="170"/>
      <c r="N114" s="371"/>
    </row>
    <row r="115" spans="1:14" x14ac:dyDescent="0.25">
      <c r="A115" s="553" t="s">
        <v>121</v>
      </c>
      <c r="B115" s="554"/>
      <c r="C115" s="555" t="s">
        <v>122</v>
      </c>
      <c r="D115" s="556"/>
      <c r="E115" s="208" t="s">
        <v>122</v>
      </c>
      <c r="F115" s="208" t="s">
        <v>122</v>
      </c>
      <c r="G115" s="464" t="s">
        <v>122</v>
      </c>
      <c r="H115" s="465"/>
      <c r="I115" s="249"/>
      <c r="J115" s="377" t="s">
        <v>122</v>
      </c>
      <c r="K115" s="209"/>
      <c r="L115" s="377" t="s">
        <v>122</v>
      </c>
      <c r="M115" s="209"/>
      <c r="N115" s="377" t="s">
        <v>122</v>
      </c>
    </row>
    <row r="116" spans="1:14" x14ac:dyDescent="0.25">
      <c r="A116" s="146">
        <v>6</v>
      </c>
      <c r="B116" s="149" t="s">
        <v>72</v>
      </c>
      <c r="C116" s="149" t="s">
        <v>26</v>
      </c>
      <c r="D116" s="39" t="s">
        <v>5</v>
      </c>
      <c r="E116" s="189" t="s">
        <v>5</v>
      </c>
      <c r="F116" s="189" t="s">
        <v>5</v>
      </c>
      <c r="G116" s="197" t="s">
        <v>26</v>
      </c>
      <c r="H116" s="93" t="s">
        <v>5</v>
      </c>
      <c r="I116" s="245"/>
      <c r="J116" s="93" t="s">
        <v>5</v>
      </c>
      <c r="K116" s="180"/>
      <c r="L116" s="93" t="s">
        <v>5</v>
      </c>
      <c r="M116" s="180"/>
      <c r="N116" s="93" t="s">
        <v>5</v>
      </c>
    </row>
    <row r="117" spans="1:14" x14ac:dyDescent="0.25">
      <c r="A117" s="40" t="s">
        <v>6</v>
      </c>
      <c r="B117" s="3" t="s">
        <v>73</v>
      </c>
      <c r="C117" s="90">
        <v>0.05</v>
      </c>
      <c r="D117" s="41">
        <f>C117*D135</f>
        <v>510.45374102148867</v>
      </c>
      <c r="E117" s="83">
        <f>$C117*E$135</f>
        <v>527.60656283672995</v>
      </c>
      <c r="F117" s="83">
        <f>$C117*F$135</f>
        <v>528.00656283673004</v>
      </c>
      <c r="G117" s="102">
        <v>0.05</v>
      </c>
      <c r="H117" s="92">
        <f>G117*H$135</f>
        <v>526.19756619545785</v>
      </c>
      <c r="I117" s="241"/>
      <c r="J117" s="92">
        <f>G117*J$135</f>
        <v>517.53194036424657</v>
      </c>
      <c r="K117" s="106"/>
      <c r="L117" s="92">
        <f>G117*L$135</f>
        <v>548.53962678610139</v>
      </c>
      <c r="M117" s="106"/>
      <c r="N117" s="92">
        <f>G117*N$135</f>
        <v>554.81348968661041</v>
      </c>
    </row>
    <row r="118" spans="1:14" x14ac:dyDescent="0.25">
      <c r="A118" s="40" t="s">
        <v>8</v>
      </c>
      <c r="B118" s="3" t="s">
        <v>74</v>
      </c>
      <c r="C118" s="90">
        <v>4.5397426676428133E-2</v>
      </c>
      <c r="D118" s="41">
        <f>C118*D135</f>
        <v>463.4657255946293</v>
      </c>
      <c r="E118" s="83">
        <f>$C118*E$135</f>
        <v>479.03960500765442</v>
      </c>
      <c r="F118" s="83">
        <f>$C118*F$135</f>
        <v>479.40278442106586</v>
      </c>
      <c r="G118" s="102">
        <v>4.5397426676428133E-2</v>
      </c>
      <c r="H118" s="92">
        <f>G118*H$135</f>
        <v>477.76030857346478</v>
      </c>
      <c r="I118" s="241"/>
      <c r="J118" s="92">
        <f>G118*J$135</f>
        <v>469.89236630790924</v>
      </c>
      <c r="K118" s="106"/>
      <c r="L118" s="92">
        <f>G118*L$135</f>
        <v>498.04574972274577</v>
      </c>
      <c r="M118" s="106"/>
      <c r="N118" s="92">
        <f>G118*N$135</f>
        <v>503.74209434282227</v>
      </c>
    </row>
    <row r="119" spans="1:14" x14ac:dyDescent="0.25">
      <c r="A119" s="40" t="s">
        <v>10</v>
      </c>
      <c r="B119" s="3" t="s">
        <v>130</v>
      </c>
      <c r="C119" s="90">
        <f>SUM(C120:C122)</f>
        <v>8.6499999999999994E-2</v>
      </c>
      <c r="D119" s="41">
        <f>(D135+D118+D117)*(C119/IF(C115="Lucro presumido",91.45%,85.75%))</f>
        <v>1057.7681857074572</v>
      </c>
      <c r="E119" s="83">
        <f>(E$135+E$118+E$117)*($C119/IF($C115="Lucro presumido",91.45%,85.75%))</f>
        <v>1093.3124627950597</v>
      </c>
      <c r="F119" s="83">
        <f>(F$135+F$118+F$117)*($C119/IF($C115="Lucro presumido",91.45%,85.75%))</f>
        <v>1094.1413474525339</v>
      </c>
      <c r="G119" s="102">
        <f>SUM(G120:G122)</f>
        <v>8.6499999999999994E-2</v>
      </c>
      <c r="H119" s="92">
        <f>(H$135+H$118+H$117)*(G119/IF(G115="Lucro presumido",91.45%,85.75%))</f>
        <v>1090.3927235491021</v>
      </c>
      <c r="I119" s="241"/>
      <c r="J119" s="92">
        <f>(J$135+J$118+J$117)*(G119/IF(J115="Lucro presumido",91.45%,85.75%))</f>
        <v>1072.4357128018457</v>
      </c>
      <c r="K119" s="106"/>
      <c r="L119" s="92">
        <f>(L$135+L$118+L$117)*(G119/IF(L115="Lucro presumido",91.45%,85.75%))</f>
        <v>1136.6902016489564</v>
      </c>
      <c r="M119" s="106"/>
      <c r="N119" s="92">
        <f>(N$135+N$118+N$117)*(G119/IF(N115="Lucro presumido",91.45%,85.75%))</f>
        <v>1149.6909734022765</v>
      </c>
    </row>
    <row r="120" spans="1:14" x14ac:dyDescent="0.25">
      <c r="A120" s="40" t="s">
        <v>125</v>
      </c>
      <c r="B120" s="3" t="s">
        <v>124</v>
      </c>
      <c r="C120" s="90">
        <f>IF(C115="Lucro presumido",0.65%,1.65%)</f>
        <v>6.5000000000000006E-3</v>
      </c>
      <c r="D120" s="41" t="s">
        <v>123</v>
      </c>
      <c r="E120" s="83" t="s">
        <v>123</v>
      </c>
      <c r="F120" s="83" t="s">
        <v>123</v>
      </c>
      <c r="G120" s="102">
        <f>IF(G115="Lucro presumido",0.65%,1.65%)</f>
        <v>6.5000000000000006E-3</v>
      </c>
      <c r="H120" s="92" t="s">
        <v>123</v>
      </c>
      <c r="I120" s="241"/>
      <c r="J120" s="92" t="s">
        <v>123</v>
      </c>
      <c r="K120" s="106"/>
      <c r="L120" s="92" t="s">
        <v>123</v>
      </c>
      <c r="M120" s="106"/>
      <c r="N120" s="92" t="s">
        <v>123</v>
      </c>
    </row>
    <row r="121" spans="1:14" x14ac:dyDescent="0.25">
      <c r="A121" s="40" t="s">
        <v>127</v>
      </c>
      <c r="B121" s="3" t="s">
        <v>126</v>
      </c>
      <c r="C121" s="90">
        <f>IF(C115="Lucro presumido",3%,7.6%)</f>
        <v>0.03</v>
      </c>
      <c r="D121" s="41" t="s">
        <v>123</v>
      </c>
      <c r="E121" s="83" t="s">
        <v>123</v>
      </c>
      <c r="F121" s="83" t="s">
        <v>123</v>
      </c>
      <c r="G121" s="102">
        <f>IF(G115="Lucro presumido",3%,7.6%)</f>
        <v>0.03</v>
      </c>
      <c r="H121" s="92" t="s">
        <v>123</v>
      </c>
      <c r="I121" s="241"/>
      <c r="J121" s="92" t="s">
        <v>123</v>
      </c>
      <c r="K121" s="106"/>
      <c r="L121" s="92" t="s">
        <v>123</v>
      </c>
      <c r="M121" s="106"/>
      <c r="N121" s="92" t="s">
        <v>123</v>
      </c>
    </row>
    <row r="122" spans="1:14" x14ac:dyDescent="0.25">
      <c r="A122" s="40" t="s">
        <v>129</v>
      </c>
      <c r="B122" s="3" t="s">
        <v>128</v>
      </c>
      <c r="C122" s="90">
        <v>0.05</v>
      </c>
      <c r="D122" s="41" t="s">
        <v>123</v>
      </c>
      <c r="E122" s="83" t="s">
        <v>123</v>
      </c>
      <c r="F122" s="83" t="s">
        <v>123</v>
      </c>
      <c r="G122" s="102">
        <v>0.05</v>
      </c>
      <c r="H122" s="92" t="s">
        <v>123</v>
      </c>
      <c r="I122" s="241"/>
      <c r="J122" s="92" t="s">
        <v>123</v>
      </c>
      <c r="K122" s="106"/>
      <c r="L122" s="92" t="s">
        <v>123</v>
      </c>
      <c r="M122" s="106"/>
      <c r="N122" s="92" t="s">
        <v>123</v>
      </c>
    </row>
    <row r="123" spans="1:14" ht="30" x14ac:dyDescent="0.25">
      <c r="A123" s="151" t="s">
        <v>12</v>
      </c>
      <c r="B123" s="2" t="s">
        <v>132</v>
      </c>
      <c r="C123" s="90">
        <v>4.4999999999999998E-2</v>
      </c>
      <c r="D123" s="41">
        <f>(D135+D118+D117)*(C123/IF(C115="Lucro presumido",91.45%,85.75%))</f>
        <v>550.28402724665398</v>
      </c>
      <c r="E123" s="83">
        <f>(E$135+E$118+E$117)*($C123/IF($C115="Lucro presumido",91.45%,85.75%))</f>
        <v>568.77526966216988</v>
      </c>
      <c r="F123" s="83">
        <f>(F$135+F$118+F$117)*($C123/IF($C115="Lucro presumido",91.45%,85.75%))</f>
        <v>569.20648133368809</v>
      </c>
      <c r="G123" s="102">
        <v>4.4999999999999998E-2</v>
      </c>
      <c r="H123" s="92">
        <f>(H$135+H$118+H$117)*(G123/IF(G115="Lucro presumido",91.45%,85.75%))</f>
        <v>567.25633017005316</v>
      </c>
      <c r="I123" s="241"/>
      <c r="J123" s="92">
        <f>(J$135+J$118+J$117)*(G123/IF(J115="Lucro presumido",91.45%,85.75%))</f>
        <v>557.91453267148052</v>
      </c>
      <c r="K123" s="106"/>
      <c r="L123" s="92">
        <f>(L$135+L$118+L$117)*(G123/IF(L115="Lucro presumido",91.45%,85.75%))</f>
        <v>591.34172340119119</v>
      </c>
      <c r="M123" s="106"/>
      <c r="N123" s="92">
        <f>(N$135+N$118+N$117)*(G123/IF(N115="Lucro presumido",91.45%,85.75%))</f>
        <v>598.10513067170461</v>
      </c>
    </row>
    <row r="124" spans="1:14" x14ac:dyDescent="0.25">
      <c r="A124" s="530" t="s">
        <v>18</v>
      </c>
      <c r="B124" s="531"/>
      <c r="C124" s="98">
        <f>SUM(C117:C119)+(C123)</f>
        <v>0.22689742667642815</v>
      </c>
      <c r="D124" s="41">
        <f>SUM(D117:D119)+D123</f>
        <v>2581.9716795702288</v>
      </c>
      <c r="E124" s="83">
        <f>SUM(E117:E119)+E123</f>
        <v>2668.7339003016141</v>
      </c>
      <c r="F124" s="83">
        <f>SUM(F117:F119)+F123</f>
        <v>2670.7571760440178</v>
      </c>
      <c r="G124" s="246">
        <f>SUM(G117:G119)+(G123)</f>
        <v>0.22689742667642815</v>
      </c>
      <c r="H124" s="92">
        <f>SUM(H117:H119)+H123</f>
        <v>2661.6069284880778</v>
      </c>
      <c r="I124" s="241"/>
      <c r="J124" s="92">
        <f>SUM(J117:J119)+J123</f>
        <v>2617.7745521454822</v>
      </c>
      <c r="K124" s="106"/>
      <c r="L124" s="92">
        <f>SUM(L117:L119)+L123</f>
        <v>2774.6173015589948</v>
      </c>
      <c r="M124" s="106"/>
      <c r="N124" s="92">
        <f>SUM(N117:N119)+N123</f>
        <v>2806.3516881034138</v>
      </c>
    </row>
    <row r="125" spans="1:14" x14ac:dyDescent="0.25">
      <c r="A125" s="539" t="s">
        <v>81</v>
      </c>
      <c r="B125" s="540"/>
      <c r="C125" s="540"/>
      <c r="D125" s="541"/>
      <c r="E125" s="115"/>
      <c r="F125" s="115"/>
      <c r="G125" s="370"/>
      <c r="H125" s="371"/>
      <c r="I125" s="370"/>
      <c r="J125" s="371"/>
      <c r="K125" s="170"/>
      <c r="L125" s="371"/>
      <c r="M125" s="170"/>
      <c r="N125" s="371"/>
    </row>
    <row r="126" spans="1:14" x14ac:dyDescent="0.25">
      <c r="A126" s="539" t="s">
        <v>131</v>
      </c>
      <c r="B126" s="540"/>
      <c r="C126" s="540"/>
      <c r="D126" s="541"/>
      <c r="E126" s="115"/>
      <c r="F126" s="115"/>
      <c r="G126" s="370"/>
      <c r="H126" s="371"/>
      <c r="I126" s="370"/>
      <c r="J126" s="371"/>
      <c r="K126" s="170"/>
      <c r="L126" s="371"/>
      <c r="M126" s="170"/>
      <c r="N126" s="371"/>
    </row>
    <row r="127" spans="1:14" x14ac:dyDescent="0.25">
      <c r="A127" s="226"/>
      <c r="B127" s="3"/>
      <c r="C127" s="3"/>
      <c r="D127" s="227"/>
      <c r="E127" s="115"/>
      <c r="F127" s="115"/>
      <c r="G127" s="370"/>
      <c r="H127" s="371"/>
      <c r="I127" s="370"/>
      <c r="J127" s="371"/>
      <c r="K127" s="170"/>
      <c r="L127" s="371"/>
      <c r="M127" s="170"/>
      <c r="N127" s="371"/>
    </row>
    <row r="128" spans="1:14" x14ac:dyDescent="0.25">
      <c r="A128" s="547" t="s">
        <v>117</v>
      </c>
      <c r="B128" s="548"/>
      <c r="C128" s="548"/>
      <c r="D128" s="549"/>
      <c r="E128" s="115"/>
      <c r="F128" s="115"/>
      <c r="G128" s="370"/>
      <c r="H128" s="371"/>
      <c r="I128" s="370"/>
      <c r="J128" s="371"/>
      <c r="K128" s="170"/>
      <c r="L128" s="371"/>
      <c r="M128" s="170"/>
      <c r="N128" s="371"/>
    </row>
    <row r="129" spans="1:14" ht="30" x14ac:dyDescent="0.25">
      <c r="A129" s="530" t="s">
        <v>82</v>
      </c>
      <c r="B129" s="531"/>
      <c r="C129" s="531"/>
      <c r="D129" s="39" t="s">
        <v>75</v>
      </c>
      <c r="E129" s="169" t="s">
        <v>167</v>
      </c>
      <c r="F129" s="169" t="s">
        <v>168</v>
      </c>
      <c r="G129" s="370"/>
      <c r="H129" s="378" t="s">
        <v>210</v>
      </c>
      <c r="I129" s="370"/>
      <c r="J129" s="378" t="s">
        <v>209</v>
      </c>
      <c r="K129" s="170"/>
      <c r="L129" s="378" t="s">
        <v>209</v>
      </c>
      <c r="M129" s="170"/>
      <c r="N129" s="378" t="s">
        <v>209</v>
      </c>
    </row>
    <row r="130" spans="1:14" x14ac:dyDescent="0.25">
      <c r="A130" s="151" t="s">
        <v>6</v>
      </c>
      <c r="B130" s="529" t="s">
        <v>76</v>
      </c>
      <c r="C130" s="529"/>
      <c r="D130" s="43">
        <f>D19</f>
        <v>6633.98</v>
      </c>
      <c r="E130" s="83">
        <f>E19</f>
        <v>6862.8523099999993</v>
      </c>
      <c r="F130" s="83">
        <f>F19</f>
        <v>6862.8523099999993</v>
      </c>
      <c r="G130" s="370"/>
      <c r="H130" s="92">
        <f>H19</f>
        <v>6862.8523099999993</v>
      </c>
      <c r="I130" s="370"/>
      <c r="J130" s="92">
        <f>J19</f>
        <v>6862.8523099999993</v>
      </c>
      <c r="K130" s="170"/>
      <c r="L130" s="92">
        <f>L19</f>
        <v>7274.6234485999994</v>
      </c>
      <c r="M130" s="170"/>
      <c r="N130" s="92">
        <f>N19</f>
        <v>7411.8804947999997</v>
      </c>
    </row>
    <row r="131" spans="1:14" x14ac:dyDescent="0.25">
      <c r="A131" s="151" t="s">
        <v>8</v>
      </c>
      <c r="B131" s="529" t="s">
        <v>20</v>
      </c>
      <c r="C131" s="529"/>
      <c r="D131" s="43">
        <f>D65</f>
        <v>2986.8374609454545</v>
      </c>
      <c r="E131" s="83">
        <f>E65</f>
        <v>3080.7267083480724</v>
      </c>
      <c r="F131" s="83">
        <f>F65</f>
        <v>3088.7267083480724</v>
      </c>
      <c r="G131" s="370"/>
      <c r="H131" s="92">
        <f>H65</f>
        <v>3053.4200306197572</v>
      </c>
      <c r="I131" s="370"/>
      <c r="J131" s="92">
        <f>J65</f>
        <v>3053.4200306197572</v>
      </c>
      <c r="K131" s="170"/>
      <c r="L131" s="92">
        <f>L65</f>
        <v>3235.7406324569429</v>
      </c>
      <c r="M131" s="170"/>
      <c r="N131" s="92">
        <f>N65</f>
        <v>3215.2735149338178</v>
      </c>
    </row>
    <row r="132" spans="1:14" x14ac:dyDescent="0.25">
      <c r="A132" s="151" t="s">
        <v>10</v>
      </c>
      <c r="B132" s="529" t="s">
        <v>77</v>
      </c>
      <c r="C132" s="529"/>
      <c r="D132" s="43">
        <f>D76</f>
        <v>504.80906722882156</v>
      </c>
      <c r="E132" s="83">
        <f>E76</f>
        <v>522.22498004821591</v>
      </c>
      <c r="F132" s="83">
        <f>F76</f>
        <v>522.22498004821591</v>
      </c>
      <c r="G132" s="370"/>
      <c r="H132" s="92">
        <f>H76</f>
        <v>521.38290575905421</v>
      </c>
      <c r="I132" s="370"/>
      <c r="J132" s="92">
        <f>J76</f>
        <v>348.07038913482836</v>
      </c>
      <c r="K132" s="170"/>
      <c r="L132" s="92">
        <f>L76</f>
        <v>368.95461248291804</v>
      </c>
      <c r="M132" s="170"/>
      <c r="N132" s="92">
        <f>N76</f>
        <v>375.91602026561458</v>
      </c>
    </row>
    <row r="133" spans="1:14" x14ac:dyDescent="0.25">
      <c r="A133" s="151" t="s">
        <v>12</v>
      </c>
      <c r="B133" s="529" t="s">
        <v>52</v>
      </c>
      <c r="C133" s="529"/>
      <c r="D133" s="43">
        <f>D103</f>
        <v>83.448292255497009</v>
      </c>
      <c r="E133" s="83">
        <f>E103</f>
        <v>86.327258338311651</v>
      </c>
      <c r="F133" s="83">
        <f>F103</f>
        <v>86.327258338311651</v>
      </c>
      <c r="G133" s="370"/>
      <c r="H133" s="92">
        <f>H103</f>
        <v>86.296077530347276</v>
      </c>
      <c r="I133" s="370"/>
      <c r="J133" s="92">
        <f>J103</f>
        <v>86.296077530347276</v>
      </c>
      <c r="K133" s="170"/>
      <c r="L133" s="92">
        <f>L103</f>
        <v>91.473842182168099</v>
      </c>
      <c r="M133" s="170"/>
      <c r="N133" s="92">
        <f>N103</f>
        <v>93.19976373277504</v>
      </c>
    </row>
    <row r="134" spans="1:14" x14ac:dyDescent="0.25">
      <c r="A134" s="151" t="s">
        <v>14</v>
      </c>
      <c r="B134" s="529" t="s">
        <v>66</v>
      </c>
      <c r="C134" s="529"/>
      <c r="D134" s="43">
        <f>D111</f>
        <v>0</v>
      </c>
      <c r="E134" s="83">
        <f>E111</f>
        <v>0</v>
      </c>
      <c r="F134" s="83">
        <f>F111</f>
        <v>0</v>
      </c>
      <c r="G134" s="370"/>
      <c r="H134" s="92">
        <f>H111</f>
        <v>0</v>
      </c>
      <c r="I134" s="370"/>
      <c r="J134" s="92">
        <f>J111</f>
        <v>0</v>
      </c>
      <c r="K134" s="170"/>
      <c r="L134" s="92">
        <f>L111</f>
        <v>0</v>
      </c>
      <c r="M134" s="170"/>
      <c r="N134" s="92">
        <f>N111</f>
        <v>0</v>
      </c>
    </row>
    <row r="135" spans="1:14" x14ac:dyDescent="0.25">
      <c r="A135" s="530" t="s">
        <v>78</v>
      </c>
      <c r="B135" s="531"/>
      <c r="C135" s="531"/>
      <c r="D135" s="43">
        <f>SUM(D130:D134)</f>
        <v>10209.074820429772</v>
      </c>
      <c r="E135" s="83">
        <f>SUM(E130:E134)</f>
        <v>10552.131256734599</v>
      </c>
      <c r="F135" s="83">
        <f>SUM(F130:F134)</f>
        <v>10560.131256734599</v>
      </c>
      <c r="G135" s="370"/>
      <c r="H135" s="92">
        <f>SUM(H130:H134)</f>
        <v>10523.951323909158</v>
      </c>
      <c r="I135" s="370"/>
      <c r="J135" s="92">
        <f>SUM(J130:J134)</f>
        <v>10350.638807284931</v>
      </c>
      <c r="K135" s="170"/>
      <c r="L135" s="92">
        <f>SUM(L130:L134)</f>
        <v>10970.792535722027</v>
      </c>
      <c r="M135" s="170"/>
      <c r="N135" s="92">
        <f>SUM(N130:N134)</f>
        <v>11096.269793732208</v>
      </c>
    </row>
    <row r="136" spans="1:14" x14ac:dyDescent="0.25">
      <c r="A136" s="40" t="s">
        <v>16</v>
      </c>
      <c r="B136" s="532" t="s">
        <v>71</v>
      </c>
      <c r="C136" s="532"/>
      <c r="D136" s="43">
        <f>D124</f>
        <v>2581.9716795702288</v>
      </c>
      <c r="E136" s="83">
        <f>E124</f>
        <v>2668.7339003016141</v>
      </c>
      <c r="F136" s="83">
        <f>F124</f>
        <v>2670.7571760440178</v>
      </c>
      <c r="G136" s="370"/>
      <c r="H136" s="92">
        <f>H124</f>
        <v>2661.6069284880778</v>
      </c>
      <c r="I136" s="370"/>
      <c r="J136" s="92">
        <f>J124</f>
        <v>2617.7745521454822</v>
      </c>
      <c r="K136" s="170"/>
      <c r="L136" s="92">
        <f>L124</f>
        <v>2774.6173015589948</v>
      </c>
      <c r="M136" s="170"/>
      <c r="N136" s="92">
        <f>N124</f>
        <v>2806.3516881034138</v>
      </c>
    </row>
    <row r="137" spans="1:14" ht="15.75" thickBot="1" x14ac:dyDescent="0.3">
      <c r="A137" s="527" t="s">
        <v>79</v>
      </c>
      <c r="B137" s="528"/>
      <c r="C137" s="528"/>
      <c r="D137" s="49">
        <f>SUM(D135:D136)</f>
        <v>12791.0465</v>
      </c>
      <c r="E137" s="213">
        <f>SUM(E135:E136)</f>
        <v>13220.865157036213</v>
      </c>
      <c r="F137" s="213">
        <f>SUM(F135:F136)</f>
        <v>13230.888432778618</v>
      </c>
      <c r="G137" s="248"/>
      <c r="H137" s="215">
        <f>SUM(H135:H136)</f>
        <v>13185.558252397235</v>
      </c>
      <c r="I137" s="248"/>
      <c r="J137" s="215">
        <f>SUM(J135:J136)</f>
        <v>12968.413359430413</v>
      </c>
      <c r="K137" s="214"/>
      <c r="L137" s="215">
        <f>SUM(L135:L136)</f>
        <v>13745.409837281022</v>
      </c>
      <c r="M137" s="214"/>
      <c r="N137" s="215">
        <f>SUM(N135:N136)</f>
        <v>13902.621481835622</v>
      </c>
    </row>
  </sheetData>
  <mergeCells count="112">
    <mergeCell ref="K1:N3"/>
    <mergeCell ref="K4:L4"/>
    <mergeCell ref="M4:N4"/>
    <mergeCell ref="K5:L5"/>
    <mergeCell ref="M5:N5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  <mergeCell ref="K9:L9"/>
    <mergeCell ref="M9:N9"/>
    <mergeCell ref="K10:L10"/>
    <mergeCell ref="M10:N10"/>
    <mergeCell ref="G10:H10"/>
    <mergeCell ref="I10:J10"/>
    <mergeCell ref="G9:H9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A10:D10"/>
    <mergeCell ref="K6:L6"/>
    <mergeCell ref="M6:N6"/>
    <mergeCell ref="K7:L7"/>
    <mergeCell ref="M7:N7"/>
    <mergeCell ref="K8:L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B13:C13"/>
    <mergeCell ref="M8:N8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76:B76"/>
    <mergeCell ref="A77:D77"/>
    <mergeCell ref="A78:D78"/>
    <mergeCell ref="A80:D80"/>
    <mergeCell ref="A81:D81"/>
    <mergeCell ref="B62:C62"/>
    <mergeCell ref="B63:C63"/>
    <mergeCell ref="B64:C64"/>
    <mergeCell ref="A65:C65"/>
    <mergeCell ref="A67:D67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A137:C137"/>
    <mergeCell ref="B131:C131"/>
    <mergeCell ref="B132:C132"/>
    <mergeCell ref="B133:C133"/>
    <mergeCell ref="B134:C134"/>
    <mergeCell ref="A135:C135"/>
    <mergeCell ref="B136:C136"/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B130:C130"/>
  </mergeCells>
  <dataValidations disablePrompts="1" count="1">
    <dataValidation type="list" allowBlank="1" showInputMessage="1" showErrorMessage="1" sqref="C115:G115 I115:N115" xr:uid="{3D645947-D12E-4415-96D8-4C8FE431043A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D31B9-F2FD-4C67-8C71-DB8260F6DEE7}">
  <sheetPr>
    <pageSetUpPr fitToPage="1"/>
  </sheetPr>
  <dimension ref="A1:N137"/>
  <sheetViews>
    <sheetView topLeftCell="A16" workbookViewId="0">
      <selection activeCell="P23" sqref="P23"/>
    </sheetView>
  </sheetViews>
  <sheetFormatPr defaultRowHeight="15" x14ac:dyDescent="0.25"/>
  <cols>
    <col min="1" max="1" width="4.7109375" style="216" bestFit="1" customWidth="1"/>
    <col min="2" max="2" width="46.28515625" style="217" bestFit="1" customWidth="1"/>
    <col min="3" max="3" width="14.140625" style="217" bestFit="1" customWidth="1"/>
    <col min="4" max="4" width="10.5703125" style="216" bestFit="1" customWidth="1"/>
    <col min="5" max="10" width="20.7109375" style="216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495" t="s">
        <v>98</v>
      </c>
      <c r="B1" s="496"/>
      <c r="C1" s="496"/>
      <c r="D1" s="570"/>
      <c r="E1" s="445" t="s">
        <v>225</v>
      </c>
      <c r="F1" s="451"/>
      <c r="G1" s="451"/>
      <c r="H1" s="451"/>
      <c r="I1" s="451"/>
      <c r="J1" s="446"/>
      <c r="K1" s="445" t="s">
        <v>267</v>
      </c>
      <c r="L1" s="451"/>
      <c r="M1" s="451"/>
      <c r="N1" s="446"/>
    </row>
    <row r="2" spans="1:14" x14ac:dyDescent="0.25">
      <c r="A2" s="497"/>
      <c r="B2" s="498"/>
      <c r="C2" s="498"/>
      <c r="D2" s="571"/>
      <c r="E2" s="452"/>
      <c r="F2" s="453"/>
      <c r="G2" s="453"/>
      <c r="H2" s="453"/>
      <c r="I2" s="453"/>
      <c r="J2" s="454"/>
      <c r="K2" s="452"/>
      <c r="L2" s="453"/>
      <c r="M2" s="453"/>
      <c r="N2" s="454"/>
    </row>
    <row r="3" spans="1:14" ht="15.75" thickBot="1" x14ac:dyDescent="0.3">
      <c r="A3" s="466" t="s">
        <v>0</v>
      </c>
      <c r="B3" s="467"/>
      <c r="C3" s="467"/>
      <c r="D3" s="484"/>
      <c r="E3" s="455"/>
      <c r="F3" s="456"/>
      <c r="G3" s="456"/>
      <c r="H3" s="456"/>
      <c r="I3" s="456"/>
      <c r="J3" s="457"/>
      <c r="K3" s="455"/>
      <c r="L3" s="456"/>
      <c r="M3" s="456"/>
      <c r="N3" s="457"/>
    </row>
    <row r="4" spans="1:14" ht="30" x14ac:dyDescent="0.25">
      <c r="A4" s="161">
        <v>1</v>
      </c>
      <c r="B4" s="162" t="s">
        <v>1</v>
      </c>
      <c r="C4" s="512" t="s">
        <v>152</v>
      </c>
      <c r="D4" s="569"/>
      <c r="E4" s="114" t="s">
        <v>152</v>
      </c>
      <c r="F4" s="114" t="s">
        <v>152</v>
      </c>
      <c r="G4" s="445" t="s">
        <v>152</v>
      </c>
      <c r="H4" s="446"/>
      <c r="I4" s="445" t="s">
        <v>152</v>
      </c>
      <c r="J4" s="446"/>
      <c r="K4" s="445" t="s">
        <v>152</v>
      </c>
      <c r="L4" s="446"/>
      <c r="M4" s="445" t="s">
        <v>152</v>
      </c>
      <c r="N4" s="446"/>
    </row>
    <row r="5" spans="1:14" x14ac:dyDescent="0.25">
      <c r="A5" s="159">
        <v>2</v>
      </c>
      <c r="B5" s="163" t="s">
        <v>2</v>
      </c>
      <c r="C5" s="491"/>
      <c r="D5" s="433"/>
      <c r="E5" s="115"/>
      <c r="F5" s="115"/>
      <c r="G5" s="432"/>
      <c r="H5" s="433"/>
      <c r="I5" s="432"/>
      <c r="J5" s="433"/>
      <c r="K5" s="432"/>
      <c r="L5" s="433"/>
      <c r="M5" s="432"/>
      <c r="N5" s="433"/>
    </row>
    <row r="6" spans="1:14" x14ac:dyDescent="0.25">
      <c r="A6" s="159">
        <v>3</v>
      </c>
      <c r="B6" s="163" t="s">
        <v>100</v>
      </c>
      <c r="C6" s="492">
        <v>5699.63</v>
      </c>
      <c r="D6" s="448"/>
      <c r="E6" s="85">
        <f>$C$6*1.0345</f>
        <v>5896.2672350000003</v>
      </c>
      <c r="F6" s="85">
        <f>E6</f>
        <v>5896.2672350000003</v>
      </c>
      <c r="G6" s="447">
        <f>F6</f>
        <v>5896.2672350000003</v>
      </c>
      <c r="H6" s="448"/>
      <c r="I6" s="447">
        <f>G6</f>
        <v>5896.2672350000003</v>
      </c>
      <c r="J6" s="448"/>
      <c r="K6" s="447">
        <f>$I$6*1.06</f>
        <v>6250.0432691000005</v>
      </c>
      <c r="L6" s="448"/>
      <c r="M6" s="447">
        <f>I6*1.08</f>
        <v>6367.9686138000006</v>
      </c>
      <c r="N6" s="448"/>
    </row>
    <row r="7" spans="1:14" ht="30" x14ac:dyDescent="0.25">
      <c r="A7" s="159">
        <v>4</v>
      </c>
      <c r="B7" s="163" t="s">
        <v>101</v>
      </c>
      <c r="C7" s="493" t="s">
        <v>153</v>
      </c>
      <c r="D7" s="450"/>
      <c r="E7" s="104" t="s">
        <v>153</v>
      </c>
      <c r="F7" s="104" t="s">
        <v>153</v>
      </c>
      <c r="G7" s="449" t="s">
        <v>153</v>
      </c>
      <c r="H7" s="450"/>
      <c r="I7" s="449" t="s">
        <v>153</v>
      </c>
      <c r="J7" s="450"/>
      <c r="K7" s="449" t="s">
        <v>153</v>
      </c>
      <c r="L7" s="450"/>
      <c r="M7" s="449" t="s">
        <v>153</v>
      </c>
      <c r="N7" s="450"/>
    </row>
    <row r="8" spans="1:14" x14ac:dyDescent="0.25">
      <c r="A8" s="159">
        <v>5</v>
      </c>
      <c r="B8" s="163" t="s">
        <v>3</v>
      </c>
      <c r="C8" s="494">
        <v>43922</v>
      </c>
      <c r="D8" s="433"/>
      <c r="E8" s="86">
        <v>44287</v>
      </c>
      <c r="F8" s="86">
        <v>44287</v>
      </c>
      <c r="G8" s="443">
        <v>44287</v>
      </c>
      <c r="H8" s="444"/>
      <c r="I8" s="443">
        <v>44287</v>
      </c>
      <c r="J8" s="444"/>
      <c r="K8" s="443">
        <v>44652</v>
      </c>
      <c r="L8" s="444"/>
      <c r="M8" s="443">
        <v>44652</v>
      </c>
      <c r="N8" s="444"/>
    </row>
    <row r="9" spans="1:14" x14ac:dyDescent="0.25">
      <c r="A9" s="159">
        <v>6</v>
      </c>
      <c r="B9" s="163" t="s">
        <v>102</v>
      </c>
      <c r="C9" s="494"/>
      <c r="D9" s="433"/>
      <c r="E9" s="86" t="s">
        <v>166</v>
      </c>
      <c r="F9" s="86" t="s">
        <v>166</v>
      </c>
      <c r="G9" s="443" t="s">
        <v>166</v>
      </c>
      <c r="H9" s="444"/>
      <c r="I9" s="443" t="s">
        <v>166</v>
      </c>
      <c r="J9" s="444"/>
      <c r="K9" s="443" t="s">
        <v>261</v>
      </c>
      <c r="L9" s="444"/>
      <c r="M9" s="443" t="s">
        <v>261</v>
      </c>
      <c r="N9" s="444"/>
    </row>
    <row r="10" spans="1:14" x14ac:dyDescent="0.25">
      <c r="A10" s="488"/>
      <c r="B10" s="489"/>
      <c r="C10" s="489"/>
      <c r="D10" s="490"/>
      <c r="E10" s="115"/>
      <c r="F10" s="115"/>
      <c r="G10" s="432"/>
      <c r="H10" s="433"/>
      <c r="I10" s="432"/>
      <c r="J10" s="433"/>
      <c r="K10" s="488"/>
      <c r="L10" s="490"/>
      <c r="M10" s="488"/>
      <c r="N10" s="490"/>
    </row>
    <row r="11" spans="1:14" ht="90" x14ac:dyDescent="0.25">
      <c r="A11" s="415" t="s">
        <v>76</v>
      </c>
      <c r="B11" s="416"/>
      <c r="C11" s="416"/>
      <c r="D11" s="487"/>
      <c r="E11" s="258" t="s">
        <v>226</v>
      </c>
      <c r="F11" s="258" t="s">
        <v>227</v>
      </c>
      <c r="G11" s="259"/>
      <c r="H11" s="260" t="s">
        <v>228</v>
      </c>
      <c r="I11" s="259"/>
      <c r="J11" s="260" t="s">
        <v>229</v>
      </c>
      <c r="K11" s="259"/>
      <c r="L11" s="260" t="s">
        <v>263</v>
      </c>
      <c r="M11" s="259"/>
      <c r="N11" s="260" t="s">
        <v>271</v>
      </c>
    </row>
    <row r="12" spans="1:14" ht="30" x14ac:dyDescent="0.25">
      <c r="A12" s="187">
        <v>1</v>
      </c>
      <c r="B12" s="476" t="s">
        <v>4</v>
      </c>
      <c r="C12" s="476"/>
      <c r="D12" s="93" t="s">
        <v>5</v>
      </c>
      <c r="E12" s="169" t="s">
        <v>167</v>
      </c>
      <c r="F12" s="169" t="s">
        <v>168</v>
      </c>
      <c r="G12" s="159"/>
      <c r="H12" s="171" t="s">
        <v>210</v>
      </c>
      <c r="I12" s="159"/>
      <c r="J12" s="171" t="s">
        <v>209</v>
      </c>
      <c r="K12" s="170"/>
      <c r="L12" s="378" t="s">
        <v>262</v>
      </c>
      <c r="M12" s="170"/>
      <c r="N12" s="378" t="s">
        <v>264</v>
      </c>
    </row>
    <row r="13" spans="1:14" x14ac:dyDescent="0.25">
      <c r="A13" s="181" t="s">
        <v>6</v>
      </c>
      <c r="B13" s="475" t="s">
        <v>7</v>
      </c>
      <c r="C13" s="475"/>
      <c r="D13" s="92">
        <f>C6</f>
        <v>5699.63</v>
      </c>
      <c r="E13" s="105">
        <f>E6</f>
        <v>5896.2672350000003</v>
      </c>
      <c r="F13" s="83">
        <f>F6</f>
        <v>5896.2672350000003</v>
      </c>
      <c r="G13" s="159"/>
      <c r="H13" s="92">
        <f>G6</f>
        <v>5896.2672350000003</v>
      </c>
      <c r="I13" s="159"/>
      <c r="J13" s="92">
        <f>I6</f>
        <v>5896.2672350000003</v>
      </c>
      <c r="K13" s="170"/>
      <c r="L13" s="92">
        <f>K6</f>
        <v>6250.0432691000005</v>
      </c>
      <c r="M13" s="170"/>
      <c r="N13" s="92">
        <f>M6</f>
        <v>6367.9686138000006</v>
      </c>
    </row>
    <row r="14" spans="1:14" x14ac:dyDescent="0.25">
      <c r="A14" s="181" t="s">
        <v>8</v>
      </c>
      <c r="B14" s="475" t="s">
        <v>9</v>
      </c>
      <c r="C14" s="475"/>
      <c r="D14" s="242">
        <v>0</v>
      </c>
      <c r="E14" s="83">
        <v>0</v>
      </c>
      <c r="F14" s="83">
        <v>0</v>
      </c>
      <c r="G14" s="159"/>
      <c r="H14" s="92">
        <v>0</v>
      </c>
      <c r="I14" s="159"/>
      <c r="J14" s="92">
        <v>0</v>
      </c>
      <c r="K14" s="170"/>
      <c r="L14" s="92">
        <v>0</v>
      </c>
      <c r="M14" s="170"/>
      <c r="N14" s="92">
        <v>0</v>
      </c>
    </row>
    <row r="15" spans="1:14" x14ac:dyDescent="0.25">
      <c r="A15" s="181" t="s">
        <v>10</v>
      </c>
      <c r="B15" s="475" t="s">
        <v>11</v>
      </c>
      <c r="C15" s="475"/>
      <c r="D15" s="242">
        <v>0</v>
      </c>
      <c r="E15" s="83">
        <v>0</v>
      </c>
      <c r="F15" s="83">
        <v>0</v>
      </c>
      <c r="G15" s="159"/>
      <c r="H15" s="92">
        <v>0</v>
      </c>
      <c r="I15" s="159"/>
      <c r="J15" s="92">
        <v>0</v>
      </c>
      <c r="K15" s="170"/>
      <c r="L15" s="92">
        <v>0</v>
      </c>
      <c r="M15" s="170"/>
      <c r="N15" s="92">
        <v>0</v>
      </c>
    </row>
    <row r="16" spans="1:14" x14ac:dyDescent="0.25">
      <c r="A16" s="181" t="s">
        <v>12</v>
      </c>
      <c r="B16" s="475" t="s">
        <v>13</v>
      </c>
      <c r="C16" s="475"/>
      <c r="D16" s="242">
        <v>0</v>
      </c>
      <c r="E16" s="83">
        <v>0</v>
      </c>
      <c r="F16" s="83">
        <v>0</v>
      </c>
      <c r="G16" s="159"/>
      <c r="H16" s="92">
        <v>0</v>
      </c>
      <c r="I16" s="159"/>
      <c r="J16" s="92">
        <v>0</v>
      </c>
      <c r="K16" s="170"/>
      <c r="L16" s="92">
        <v>0</v>
      </c>
      <c r="M16" s="170"/>
      <c r="N16" s="92">
        <v>0</v>
      </c>
    </row>
    <row r="17" spans="1:14" x14ac:dyDescent="0.25">
      <c r="A17" s="181" t="s">
        <v>14</v>
      </c>
      <c r="B17" s="475" t="s">
        <v>15</v>
      </c>
      <c r="C17" s="475"/>
      <c r="D17" s="242">
        <v>0</v>
      </c>
      <c r="E17" s="83">
        <v>0</v>
      </c>
      <c r="F17" s="83">
        <v>0</v>
      </c>
      <c r="G17" s="159"/>
      <c r="H17" s="92">
        <v>0</v>
      </c>
      <c r="I17" s="159"/>
      <c r="J17" s="92">
        <v>0</v>
      </c>
      <c r="K17" s="170"/>
      <c r="L17" s="92">
        <v>0</v>
      </c>
      <c r="M17" s="170"/>
      <c r="N17" s="92">
        <v>0</v>
      </c>
    </row>
    <row r="18" spans="1:14" x14ac:dyDescent="0.25">
      <c r="A18" s="181" t="s">
        <v>16</v>
      </c>
      <c r="B18" s="475" t="s">
        <v>17</v>
      </c>
      <c r="C18" s="475"/>
      <c r="D18" s="242">
        <v>0</v>
      </c>
      <c r="E18" s="83">
        <v>0</v>
      </c>
      <c r="F18" s="83">
        <v>0</v>
      </c>
      <c r="G18" s="159"/>
      <c r="H18" s="92">
        <v>0</v>
      </c>
      <c r="I18" s="159"/>
      <c r="J18" s="92">
        <v>0</v>
      </c>
      <c r="K18" s="170"/>
      <c r="L18" s="92">
        <v>0</v>
      </c>
      <c r="M18" s="170"/>
      <c r="N18" s="92">
        <v>0</v>
      </c>
    </row>
    <row r="19" spans="1:14" x14ac:dyDescent="0.25">
      <c r="A19" s="466" t="s">
        <v>18</v>
      </c>
      <c r="B19" s="467"/>
      <c r="C19" s="467"/>
      <c r="D19" s="92">
        <f>SUM(D13:D18)</f>
        <v>5699.63</v>
      </c>
      <c r="E19" s="83">
        <f>SUM(E13:E18)</f>
        <v>5896.2672350000003</v>
      </c>
      <c r="F19" s="83">
        <f>SUM(F13:F18)</f>
        <v>5896.2672350000003</v>
      </c>
      <c r="G19" s="159"/>
      <c r="H19" s="92">
        <f>SUM(H13:H18)</f>
        <v>5896.2672350000003</v>
      </c>
      <c r="I19" s="159"/>
      <c r="J19" s="92">
        <f>SUM(J13:J18)</f>
        <v>5896.2672350000003</v>
      </c>
      <c r="K19" s="170"/>
      <c r="L19" s="92">
        <f>SUM(L13:L18)</f>
        <v>6250.0432691000005</v>
      </c>
      <c r="M19" s="170"/>
      <c r="N19" s="92">
        <f>SUM(N13:N18)</f>
        <v>6367.9686138000006</v>
      </c>
    </row>
    <row r="20" spans="1:14" x14ac:dyDescent="0.25">
      <c r="A20" s="468" t="s">
        <v>19</v>
      </c>
      <c r="B20" s="469"/>
      <c r="C20" s="469"/>
      <c r="D20" s="470"/>
      <c r="E20" s="115"/>
      <c r="F20" s="115"/>
      <c r="G20" s="159"/>
      <c r="H20" s="160"/>
      <c r="I20" s="159"/>
      <c r="J20" s="160"/>
      <c r="K20" s="170"/>
      <c r="L20" s="371"/>
      <c r="M20" s="170"/>
      <c r="N20" s="371"/>
    </row>
    <row r="21" spans="1:14" x14ac:dyDescent="0.25">
      <c r="A21" s="229"/>
      <c r="B21" s="182"/>
      <c r="C21" s="182"/>
      <c r="D21" s="230"/>
      <c r="E21" s="115"/>
      <c r="F21" s="115"/>
      <c r="G21" s="159"/>
      <c r="H21" s="160"/>
      <c r="I21" s="159"/>
      <c r="J21" s="160"/>
      <c r="K21" s="170"/>
      <c r="L21" s="371"/>
      <c r="M21" s="170"/>
      <c r="N21" s="371"/>
    </row>
    <row r="22" spans="1:14" x14ac:dyDescent="0.25">
      <c r="A22" s="466" t="s">
        <v>20</v>
      </c>
      <c r="B22" s="467"/>
      <c r="C22" s="467"/>
      <c r="D22" s="484"/>
      <c r="E22" s="115"/>
      <c r="F22" s="115"/>
      <c r="G22" s="159"/>
      <c r="H22" s="160"/>
      <c r="I22" s="159"/>
      <c r="J22" s="160"/>
      <c r="K22" s="170"/>
      <c r="L22" s="371"/>
      <c r="M22" s="170"/>
      <c r="N22" s="371"/>
    </row>
    <row r="23" spans="1:14" x14ac:dyDescent="0.25">
      <c r="A23" s="466" t="s">
        <v>164</v>
      </c>
      <c r="B23" s="467"/>
      <c r="C23" s="467"/>
      <c r="D23" s="484"/>
      <c r="E23" s="115"/>
      <c r="F23" s="115"/>
      <c r="G23" s="159"/>
      <c r="H23" s="160"/>
      <c r="I23" s="159"/>
      <c r="J23" s="160"/>
      <c r="K23" s="170"/>
      <c r="L23" s="371"/>
      <c r="M23" s="170"/>
      <c r="N23" s="371"/>
    </row>
    <row r="24" spans="1:14" x14ac:dyDescent="0.25">
      <c r="A24" s="176" t="s">
        <v>21</v>
      </c>
      <c r="B24" s="177" t="s">
        <v>163</v>
      </c>
      <c r="C24" s="178" t="s">
        <v>26</v>
      </c>
      <c r="D24" s="171" t="s">
        <v>5</v>
      </c>
      <c r="E24" s="169" t="s">
        <v>5</v>
      </c>
      <c r="F24" s="169" t="s">
        <v>5</v>
      </c>
      <c r="G24" s="245"/>
      <c r="H24" s="171" t="s">
        <v>5</v>
      </c>
      <c r="I24" s="245"/>
      <c r="J24" s="171" t="s">
        <v>5</v>
      </c>
      <c r="K24" s="180"/>
      <c r="L24" s="378" t="s">
        <v>5</v>
      </c>
      <c r="M24" s="180"/>
      <c r="N24" s="378" t="s">
        <v>5</v>
      </c>
    </row>
    <row r="25" spans="1:14" x14ac:dyDescent="0.25">
      <c r="A25" s="181" t="s">
        <v>6</v>
      </c>
      <c r="B25" s="182" t="s">
        <v>22</v>
      </c>
      <c r="C25" s="183">
        <f>(1/11)</f>
        <v>9.0909090909090912E-2</v>
      </c>
      <c r="D25" s="218">
        <f>C25*$D$19</f>
        <v>518.1481818181818</v>
      </c>
      <c r="E25" s="83">
        <f>$C25*E$19</f>
        <v>536.02429409090917</v>
      </c>
      <c r="F25" s="83">
        <f>$C25*F$19</f>
        <v>536.02429409090917</v>
      </c>
      <c r="G25" s="117"/>
      <c r="H25" s="92">
        <f>$C25*H$19</f>
        <v>536.02429409090917</v>
      </c>
      <c r="I25" s="117"/>
      <c r="J25" s="92">
        <f>$C25*J$19</f>
        <v>536.02429409090917</v>
      </c>
      <c r="K25" s="185"/>
      <c r="L25" s="92">
        <f>$C25*L$19</f>
        <v>568.18575173636373</v>
      </c>
      <c r="M25" s="185"/>
      <c r="N25" s="92">
        <f>$C25*N$19</f>
        <v>578.90623761818188</v>
      </c>
    </row>
    <row r="26" spans="1:14" x14ac:dyDescent="0.25">
      <c r="A26" s="181" t="s">
        <v>8</v>
      </c>
      <c r="B26" s="182" t="s">
        <v>162</v>
      </c>
      <c r="C26" s="183">
        <f>((1/3)*(1/11))+1/11</f>
        <v>0.12121212121212122</v>
      </c>
      <c r="D26" s="218">
        <f>C26*$D$19</f>
        <v>690.86424242424243</v>
      </c>
      <c r="E26" s="83">
        <f>$C26*E$19</f>
        <v>714.69905878787881</v>
      </c>
      <c r="F26" s="83">
        <f>$C26*F$19</f>
        <v>714.69905878787881</v>
      </c>
      <c r="G26" s="117"/>
      <c r="H26" s="92">
        <f>$C26*H$19</f>
        <v>714.69905878787881</v>
      </c>
      <c r="I26" s="117"/>
      <c r="J26" s="92">
        <f>$C26*J$19</f>
        <v>714.69905878787881</v>
      </c>
      <c r="K26" s="185"/>
      <c r="L26" s="92">
        <f>$C26*L$19</f>
        <v>757.58100231515164</v>
      </c>
      <c r="M26" s="185"/>
      <c r="N26" s="92">
        <f>$C26*N$19</f>
        <v>771.87498349090924</v>
      </c>
    </row>
    <row r="27" spans="1:14" x14ac:dyDescent="0.25">
      <c r="A27" s="466" t="s">
        <v>18</v>
      </c>
      <c r="B27" s="467"/>
      <c r="C27" s="186">
        <f>SUM(C25:C26)</f>
        <v>0.21212121212121213</v>
      </c>
      <c r="D27" s="218">
        <f>SUM(D25:D26)</f>
        <v>1209.0124242424242</v>
      </c>
      <c r="E27" s="83">
        <f>SUM(E25:E26)</f>
        <v>1250.7233528787879</v>
      </c>
      <c r="F27" s="83">
        <f>SUM(F25:F26)</f>
        <v>1250.7233528787879</v>
      </c>
      <c r="G27" s="117"/>
      <c r="H27" s="92">
        <f>SUM(H25:H26)</f>
        <v>1250.7233528787879</v>
      </c>
      <c r="I27" s="117"/>
      <c r="J27" s="92">
        <f>SUM(J25:J26)</f>
        <v>1250.7233528787879</v>
      </c>
      <c r="K27" s="185"/>
      <c r="L27" s="92">
        <f>SUM(L25:L26)</f>
        <v>1325.7667540515154</v>
      </c>
      <c r="M27" s="185"/>
      <c r="N27" s="92">
        <f>SUM(N25:N26)</f>
        <v>1350.7812211090911</v>
      </c>
    </row>
    <row r="28" spans="1:14" x14ac:dyDescent="0.25">
      <c r="A28" s="468" t="s">
        <v>103</v>
      </c>
      <c r="B28" s="469"/>
      <c r="C28" s="469"/>
      <c r="D28" s="470"/>
      <c r="E28" s="115"/>
      <c r="F28" s="115"/>
      <c r="G28" s="159"/>
      <c r="H28" s="160"/>
      <c r="I28" s="159"/>
      <c r="J28" s="160"/>
      <c r="K28" s="170"/>
      <c r="L28" s="371"/>
      <c r="M28" s="170"/>
      <c r="N28" s="371"/>
    </row>
    <row r="29" spans="1:14" x14ac:dyDescent="0.25">
      <c r="A29" s="468" t="s">
        <v>104</v>
      </c>
      <c r="B29" s="469"/>
      <c r="C29" s="469"/>
      <c r="D29" s="470"/>
      <c r="E29" s="115"/>
      <c r="F29" s="115"/>
      <c r="G29" s="159"/>
      <c r="H29" s="160"/>
      <c r="I29" s="159"/>
      <c r="J29" s="160"/>
      <c r="K29" s="170"/>
      <c r="L29" s="371"/>
      <c r="M29" s="170"/>
      <c r="N29" s="371"/>
    </row>
    <row r="30" spans="1:14" x14ac:dyDescent="0.25">
      <c r="A30" s="468" t="s">
        <v>105</v>
      </c>
      <c r="B30" s="469"/>
      <c r="C30" s="469"/>
      <c r="D30" s="470"/>
      <c r="E30" s="115"/>
      <c r="F30" s="115"/>
      <c r="G30" s="159"/>
      <c r="H30" s="160"/>
      <c r="I30" s="159"/>
      <c r="J30" s="160"/>
      <c r="K30" s="170"/>
      <c r="L30" s="371"/>
      <c r="M30" s="170"/>
      <c r="N30" s="371"/>
    </row>
    <row r="31" spans="1:14" x14ac:dyDescent="0.25">
      <c r="A31" s="229"/>
      <c r="B31" s="182"/>
      <c r="C31" s="182"/>
      <c r="D31" s="230"/>
      <c r="E31" s="115"/>
      <c r="F31" s="115"/>
      <c r="G31" s="159"/>
      <c r="H31" s="160"/>
      <c r="I31" s="159"/>
      <c r="J31" s="160"/>
      <c r="K31" s="170"/>
      <c r="L31" s="371"/>
      <c r="M31" s="170"/>
      <c r="N31" s="371"/>
    </row>
    <row r="32" spans="1:14" x14ac:dyDescent="0.25">
      <c r="A32" s="471" t="s">
        <v>23</v>
      </c>
      <c r="B32" s="472"/>
      <c r="C32" s="472"/>
      <c r="D32" s="473"/>
      <c r="E32" s="115"/>
      <c r="F32" s="115"/>
      <c r="G32" s="159"/>
      <c r="H32" s="160"/>
      <c r="I32" s="159"/>
      <c r="J32" s="160"/>
      <c r="K32" s="170"/>
      <c r="L32" s="371"/>
      <c r="M32" s="170"/>
      <c r="N32" s="371"/>
    </row>
    <row r="33" spans="1:14" x14ac:dyDescent="0.25">
      <c r="A33" s="187" t="s">
        <v>24</v>
      </c>
      <c r="B33" s="178" t="s">
        <v>25</v>
      </c>
      <c r="C33" s="178" t="s">
        <v>26</v>
      </c>
      <c r="D33" s="231" t="s">
        <v>5</v>
      </c>
      <c r="E33" s="189" t="s">
        <v>5</v>
      </c>
      <c r="F33" s="189" t="s">
        <v>5</v>
      </c>
      <c r="G33" s="197" t="s">
        <v>26</v>
      </c>
      <c r="H33" s="93" t="s">
        <v>5</v>
      </c>
      <c r="I33" s="245"/>
      <c r="J33" s="93" t="s">
        <v>5</v>
      </c>
      <c r="K33" s="180"/>
      <c r="L33" s="93" t="s">
        <v>5</v>
      </c>
      <c r="M33" s="180"/>
      <c r="N33" s="93" t="s">
        <v>5</v>
      </c>
    </row>
    <row r="34" spans="1:14" x14ac:dyDescent="0.25">
      <c r="A34" s="181" t="s">
        <v>6</v>
      </c>
      <c r="B34" s="182" t="s">
        <v>27</v>
      </c>
      <c r="C34" s="191">
        <v>0</v>
      </c>
      <c r="D34" s="233">
        <f>C34*($D$19+$D$27)</f>
        <v>0</v>
      </c>
      <c r="E34" s="87">
        <f t="shared" ref="E34:F41" si="0">$C34*(E$19+E$27)</f>
        <v>0</v>
      </c>
      <c r="F34" s="87">
        <f t="shared" si="0"/>
        <v>0</v>
      </c>
      <c r="G34" s="102">
        <v>0</v>
      </c>
      <c r="H34" s="101">
        <f>$C34*(H$19+H$27)</f>
        <v>0</v>
      </c>
      <c r="I34" s="241"/>
      <c r="J34" s="101">
        <f>$C34*(J$19+J$27)</f>
        <v>0</v>
      </c>
      <c r="K34" s="107"/>
      <c r="L34" s="101">
        <f>$C34*(L$19+L$27)</f>
        <v>0</v>
      </c>
      <c r="M34" s="107">
        <v>0</v>
      </c>
      <c r="N34" s="101">
        <f>$C34*(N$19+N$27)</f>
        <v>0</v>
      </c>
    </row>
    <row r="35" spans="1:14" x14ac:dyDescent="0.25">
      <c r="A35" s="181" t="s">
        <v>8</v>
      </c>
      <c r="B35" s="182" t="s">
        <v>28</v>
      </c>
      <c r="C35" s="191">
        <v>2.5000000000000001E-2</v>
      </c>
      <c r="D35" s="233">
        <f>C35*($D$19+$D$27)</f>
        <v>172.71606060606064</v>
      </c>
      <c r="E35" s="87">
        <f t="shared" si="0"/>
        <v>178.67476469696973</v>
      </c>
      <c r="F35" s="87">
        <f t="shared" si="0"/>
        <v>178.67476469696973</v>
      </c>
      <c r="G35" s="102">
        <v>2.5000000000000001E-2</v>
      </c>
      <c r="H35" s="101">
        <f>$C35*(H$19+H$27)</f>
        <v>178.67476469696973</v>
      </c>
      <c r="I35" s="241"/>
      <c r="J35" s="101">
        <f>$C35*(J$19+J$27)</f>
        <v>178.67476469696973</v>
      </c>
      <c r="K35" s="107"/>
      <c r="L35" s="101">
        <f>$G35*(L$19+L$27)</f>
        <v>189.39525057878791</v>
      </c>
      <c r="M35" s="107">
        <v>2.5000000000000001E-2</v>
      </c>
      <c r="N35" s="101">
        <f>$M35*(N$19+N$27)</f>
        <v>192.96874587272731</v>
      </c>
    </row>
    <row r="36" spans="1:14" x14ac:dyDescent="0.25">
      <c r="A36" s="181" t="s">
        <v>10</v>
      </c>
      <c r="B36" s="256" t="s">
        <v>106</v>
      </c>
      <c r="C36" s="191">
        <f>2%*1.2718</f>
        <v>2.5436E-2</v>
      </c>
      <c r="D36" s="233">
        <f>C36*($D$19+$D$27)</f>
        <v>175.72822870303031</v>
      </c>
      <c r="E36" s="87">
        <f t="shared" si="0"/>
        <v>181.79085259328488</v>
      </c>
      <c r="F36" s="87">
        <f t="shared" si="0"/>
        <v>181.79085259328488</v>
      </c>
      <c r="G36" s="102">
        <f>2%*1.0115</f>
        <v>2.0230000000000001E-2</v>
      </c>
      <c r="H36" s="101">
        <f>G$36*($H$19+$H$27)</f>
        <v>144.5836195927879</v>
      </c>
      <c r="I36" s="241"/>
      <c r="J36" s="101">
        <f>G$36*($H$19+$H$27)</f>
        <v>144.5836195927879</v>
      </c>
      <c r="K36" s="107"/>
      <c r="L36" s="101">
        <f>G$36*($L$19+$L$27)</f>
        <v>153.25863676835519</v>
      </c>
      <c r="M36" s="107">
        <f>2%*0.5</f>
        <v>0.01</v>
      </c>
      <c r="N36" s="101">
        <f>M$36*($N$19+$N$27)</f>
        <v>77.187498349090916</v>
      </c>
    </row>
    <row r="37" spans="1:14" x14ac:dyDescent="0.25">
      <c r="A37" s="181" t="s">
        <v>12</v>
      </c>
      <c r="B37" s="182" t="s">
        <v>29</v>
      </c>
      <c r="C37" s="191">
        <v>1.4999999999999999E-2</v>
      </c>
      <c r="D37" s="233">
        <f t="shared" ref="D37" si="1">C37*($D$19+$D$27)</f>
        <v>103.62963636363637</v>
      </c>
      <c r="E37" s="87">
        <f t="shared" si="0"/>
        <v>107.20485881818182</v>
      </c>
      <c r="F37" s="87">
        <f t="shared" si="0"/>
        <v>107.20485881818182</v>
      </c>
      <c r="G37" s="102">
        <v>1.4999999999999999E-2</v>
      </c>
      <c r="H37" s="101">
        <f>$C37*(H$19+H$27)</f>
        <v>107.20485881818182</v>
      </c>
      <c r="I37" s="241"/>
      <c r="J37" s="101">
        <f>$C37*(J$19+J$27)</f>
        <v>107.20485881818182</v>
      </c>
      <c r="K37" s="107"/>
      <c r="L37" s="101">
        <f>$G37*(L$19+L$27)</f>
        <v>113.63715034727274</v>
      </c>
      <c r="M37" s="107">
        <v>1.4999999999999999E-2</v>
      </c>
      <c r="N37" s="101">
        <f>$M37*(N$19+N$27)</f>
        <v>115.78124752363638</v>
      </c>
    </row>
    <row r="38" spans="1:14" x14ac:dyDescent="0.25">
      <c r="A38" s="181" t="s">
        <v>14</v>
      </c>
      <c r="B38" s="182" t="s">
        <v>30</v>
      </c>
      <c r="C38" s="191">
        <v>0.01</v>
      </c>
      <c r="D38" s="233">
        <f>C38*($D$19+$D$27)</f>
        <v>69.086424242424243</v>
      </c>
      <c r="E38" s="87">
        <f t="shared" si="0"/>
        <v>71.469905878787884</v>
      </c>
      <c r="F38" s="87">
        <f t="shared" si="0"/>
        <v>71.469905878787884</v>
      </c>
      <c r="G38" s="102">
        <v>0.01</v>
      </c>
      <c r="H38" s="101">
        <f>$C38*(H$19+H$27)</f>
        <v>71.469905878787884</v>
      </c>
      <c r="I38" s="241"/>
      <c r="J38" s="101">
        <f>$C38*(J$19+J$27)</f>
        <v>71.469905878787884</v>
      </c>
      <c r="K38" s="107"/>
      <c r="L38" s="101">
        <f>$G38*(L$19+L$27)</f>
        <v>75.758100231515172</v>
      </c>
      <c r="M38" s="107">
        <v>0.01</v>
      </c>
      <c r="N38" s="101">
        <f>$M38*(N$19+N$27)</f>
        <v>77.187498349090916</v>
      </c>
    </row>
    <row r="39" spans="1:14" x14ac:dyDescent="0.25">
      <c r="A39" s="181" t="s">
        <v>16</v>
      </c>
      <c r="B39" s="182" t="s">
        <v>31</v>
      </c>
      <c r="C39" s="191">
        <v>6.0000000000000001E-3</v>
      </c>
      <c r="D39" s="233">
        <f>C39*($D$19+$D$27)</f>
        <v>41.451854545454552</v>
      </c>
      <c r="E39" s="87">
        <f t="shared" si="0"/>
        <v>42.881943527272732</v>
      </c>
      <c r="F39" s="87">
        <f t="shared" si="0"/>
        <v>42.881943527272732</v>
      </c>
      <c r="G39" s="102">
        <v>6.0000000000000001E-3</v>
      </c>
      <c r="H39" s="101">
        <f>$C39*(H$19+H$27)</f>
        <v>42.881943527272732</v>
      </c>
      <c r="I39" s="241"/>
      <c r="J39" s="101">
        <f>$C39*(J$19+J$27)</f>
        <v>42.881943527272732</v>
      </c>
      <c r="K39" s="107"/>
      <c r="L39" s="101">
        <f>$G39*(L$19+L$27)</f>
        <v>45.454860138909098</v>
      </c>
      <c r="M39" s="107">
        <v>6.0000000000000001E-3</v>
      </c>
      <c r="N39" s="101">
        <f>$M39*(N$19+N$27)</f>
        <v>46.312499009454555</v>
      </c>
    </row>
    <row r="40" spans="1:14" x14ac:dyDescent="0.25">
      <c r="A40" s="181" t="s">
        <v>32</v>
      </c>
      <c r="B40" s="182" t="s">
        <v>33</v>
      </c>
      <c r="C40" s="191">
        <v>2E-3</v>
      </c>
      <c r="D40" s="233">
        <f>C40*($D$19+$D$27)</f>
        <v>13.817284848484849</v>
      </c>
      <c r="E40" s="87">
        <f t="shared" si="0"/>
        <v>14.293981175757578</v>
      </c>
      <c r="F40" s="87">
        <f t="shared" si="0"/>
        <v>14.293981175757578</v>
      </c>
      <c r="G40" s="102">
        <v>2E-3</v>
      </c>
      <c r="H40" s="101">
        <f>$C40*(H$19+H$27)</f>
        <v>14.293981175757578</v>
      </c>
      <c r="I40" s="241"/>
      <c r="J40" s="101">
        <f>$C40*(J$19+J$27)</f>
        <v>14.293981175757578</v>
      </c>
      <c r="K40" s="107"/>
      <c r="L40" s="101">
        <f>$G40*(L$19+L$27)</f>
        <v>15.151620046303034</v>
      </c>
      <c r="M40" s="107">
        <v>2E-3</v>
      </c>
      <c r="N40" s="101">
        <f>$M40*(N$19+N$27)</f>
        <v>15.437499669818184</v>
      </c>
    </row>
    <row r="41" spans="1:14" x14ac:dyDescent="0.25">
      <c r="A41" s="181" t="s">
        <v>34</v>
      </c>
      <c r="B41" s="182" t="s">
        <v>35</v>
      </c>
      <c r="C41" s="191">
        <v>0.08</v>
      </c>
      <c r="D41" s="233">
        <f>C41*($D$19+$D$27)</f>
        <v>552.69139393939395</v>
      </c>
      <c r="E41" s="87">
        <f t="shared" si="0"/>
        <v>571.75924703030307</v>
      </c>
      <c r="F41" s="87">
        <f t="shared" si="0"/>
        <v>571.75924703030307</v>
      </c>
      <c r="G41" s="102">
        <v>0.08</v>
      </c>
      <c r="H41" s="101">
        <f>$C41*(H$19+H$27)</f>
        <v>571.75924703030307</v>
      </c>
      <c r="I41" s="241"/>
      <c r="J41" s="101">
        <f>$C41*(J$19+J$27)</f>
        <v>571.75924703030307</v>
      </c>
      <c r="K41" s="107"/>
      <c r="L41" s="101">
        <f>$G41*(L$19+L$27)</f>
        <v>606.06480185212138</v>
      </c>
      <c r="M41" s="107">
        <v>0.08</v>
      </c>
      <c r="N41" s="101">
        <f>$M41*(N$19+N$27)</f>
        <v>617.49998679272733</v>
      </c>
    </row>
    <row r="42" spans="1:14" x14ac:dyDescent="0.25">
      <c r="A42" s="466" t="s">
        <v>18</v>
      </c>
      <c r="B42" s="467"/>
      <c r="C42" s="193">
        <f t="shared" ref="C42:H42" si="2">SUM(C34:C41)</f>
        <v>0.163436</v>
      </c>
      <c r="D42" s="233">
        <f t="shared" si="2"/>
        <v>1129.1208832484849</v>
      </c>
      <c r="E42" s="87">
        <f t="shared" si="2"/>
        <v>1168.0755537205578</v>
      </c>
      <c r="F42" s="87">
        <f t="shared" si="2"/>
        <v>1168.0755537205578</v>
      </c>
      <c r="G42" s="246">
        <f t="shared" si="2"/>
        <v>0.15823000000000001</v>
      </c>
      <c r="H42" s="101">
        <f t="shared" si="2"/>
        <v>1130.8683207200606</v>
      </c>
      <c r="I42" s="241"/>
      <c r="J42" s="101">
        <f>SUM(J34:J41)</f>
        <v>1130.8683207200606</v>
      </c>
      <c r="K42" s="107"/>
      <c r="L42" s="101">
        <f>SUM(L34:L41)</f>
        <v>1198.7204199632645</v>
      </c>
      <c r="M42" s="194">
        <f>SUM(M34:M41)</f>
        <v>0.14800000000000002</v>
      </c>
      <c r="N42" s="101">
        <f>SUM(N34:N41)</f>
        <v>1142.3749755665456</v>
      </c>
    </row>
    <row r="43" spans="1:14" x14ac:dyDescent="0.25">
      <c r="A43" s="468" t="s">
        <v>109</v>
      </c>
      <c r="B43" s="469"/>
      <c r="C43" s="469"/>
      <c r="D43" s="470"/>
      <c r="E43" s="115"/>
      <c r="F43" s="115"/>
      <c r="G43" s="159"/>
      <c r="H43" s="160"/>
      <c r="I43" s="159"/>
      <c r="J43" s="160"/>
      <c r="K43" s="170"/>
      <c r="L43" s="371"/>
      <c r="M43" s="170"/>
      <c r="N43" s="371"/>
    </row>
    <row r="44" spans="1:14" x14ac:dyDescent="0.25">
      <c r="A44" s="468" t="s">
        <v>107</v>
      </c>
      <c r="B44" s="469"/>
      <c r="C44" s="469"/>
      <c r="D44" s="470"/>
      <c r="E44" s="115"/>
      <c r="F44" s="115"/>
      <c r="G44" s="159"/>
      <c r="H44" s="160"/>
      <c r="I44" s="159"/>
      <c r="J44" s="160"/>
      <c r="K44" s="170"/>
      <c r="L44" s="371"/>
      <c r="M44" s="170"/>
      <c r="N44" s="371"/>
    </row>
    <row r="45" spans="1:14" x14ac:dyDescent="0.25">
      <c r="A45" s="468" t="s">
        <v>108</v>
      </c>
      <c r="B45" s="469"/>
      <c r="C45" s="469"/>
      <c r="D45" s="470"/>
      <c r="E45" s="115"/>
      <c r="F45" s="115"/>
      <c r="G45" s="159"/>
      <c r="H45" s="160"/>
      <c r="I45" s="159"/>
      <c r="J45" s="160"/>
      <c r="K45" s="170"/>
      <c r="L45" s="371"/>
      <c r="M45" s="170"/>
      <c r="N45" s="371"/>
    </row>
    <row r="46" spans="1:14" x14ac:dyDescent="0.25">
      <c r="A46" s="468" t="s">
        <v>113</v>
      </c>
      <c r="B46" s="469"/>
      <c r="C46" s="469"/>
      <c r="D46" s="470"/>
      <c r="E46" s="115"/>
      <c r="F46" s="115"/>
      <c r="G46" s="159"/>
      <c r="H46" s="160"/>
      <c r="I46" s="159"/>
      <c r="J46" s="160"/>
      <c r="K46" s="170"/>
      <c r="L46" s="371"/>
      <c r="M46" s="170"/>
      <c r="N46" s="371"/>
    </row>
    <row r="47" spans="1:14" x14ac:dyDescent="0.25">
      <c r="A47" s="468" t="s">
        <v>118</v>
      </c>
      <c r="B47" s="469"/>
      <c r="C47" s="469"/>
      <c r="D47" s="470"/>
      <c r="E47" s="115"/>
      <c r="F47" s="115"/>
      <c r="G47" s="159"/>
      <c r="H47" s="160"/>
      <c r="I47" s="159"/>
      <c r="J47" s="160"/>
      <c r="K47" s="170"/>
      <c r="L47" s="371"/>
      <c r="M47" s="170"/>
      <c r="N47" s="371"/>
    </row>
    <row r="48" spans="1:14" x14ac:dyDescent="0.25">
      <c r="A48" s="229"/>
      <c r="B48" s="182"/>
      <c r="C48" s="182"/>
      <c r="D48" s="230"/>
      <c r="E48" s="115"/>
      <c r="F48" s="115"/>
      <c r="G48" s="159"/>
      <c r="H48" s="160"/>
      <c r="I48" s="159"/>
      <c r="J48" s="160"/>
      <c r="K48" s="170"/>
      <c r="L48" s="371"/>
      <c r="M48" s="170"/>
      <c r="N48" s="371"/>
    </row>
    <row r="49" spans="1:14" x14ac:dyDescent="0.25">
      <c r="A49" s="471" t="s">
        <v>36</v>
      </c>
      <c r="B49" s="472"/>
      <c r="C49" s="472"/>
      <c r="D49" s="473"/>
      <c r="E49" s="115"/>
      <c r="F49" s="115"/>
      <c r="G49" s="159"/>
      <c r="H49" s="160"/>
      <c r="I49" s="159"/>
      <c r="J49" s="160"/>
      <c r="K49" s="170"/>
      <c r="L49" s="371"/>
      <c r="M49" s="170"/>
      <c r="N49" s="371"/>
    </row>
    <row r="50" spans="1:14" x14ac:dyDescent="0.25">
      <c r="A50" s="187" t="s">
        <v>37</v>
      </c>
      <c r="B50" s="178" t="s">
        <v>38</v>
      </c>
      <c r="C50" s="167" t="s">
        <v>96</v>
      </c>
      <c r="D50" s="93" t="s">
        <v>5</v>
      </c>
      <c r="E50" s="189" t="s">
        <v>5</v>
      </c>
      <c r="F50" s="189" t="s">
        <v>5</v>
      </c>
      <c r="G50" s="245"/>
      <c r="H50" s="93" t="s">
        <v>5</v>
      </c>
      <c r="I50" s="245"/>
      <c r="J50" s="93" t="s">
        <v>5</v>
      </c>
      <c r="K50" s="180"/>
      <c r="L50" s="93" t="s">
        <v>5</v>
      </c>
      <c r="M50" s="180"/>
      <c r="N50" s="93" t="s">
        <v>5</v>
      </c>
    </row>
    <row r="51" spans="1:14" x14ac:dyDescent="0.25">
      <c r="A51" s="181" t="s">
        <v>6</v>
      </c>
      <c r="B51" s="182" t="s">
        <v>39</v>
      </c>
      <c r="C51" s="195">
        <v>22</v>
      </c>
      <c r="D51" s="218">
        <f>IF(((5.5*2*C51)-D19*6%)&lt;0,0,((5.5*2*C51)-D19*6%))</f>
        <v>0</v>
      </c>
      <c r="E51" s="83">
        <f>IF(((5.5*2*$C$51)-E$19*6%)&lt;0,0,((5.5*2*$C$51)-E$19*6%))</f>
        <v>0</v>
      </c>
      <c r="F51" s="83">
        <f>IF(((5.5*2*$C$51)-F$19*6%)&lt;0,0,((5.5*2*$C$51)-F$19*6%))</f>
        <v>0</v>
      </c>
      <c r="G51" s="247"/>
      <c r="H51" s="92">
        <f>IF(((5.5*2*$C$51)-H$19*6%)&lt;0,0,((5.5*2*$C$51)-H$19*6%))</f>
        <v>0</v>
      </c>
      <c r="I51" s="247"/>
      <c r="J51" s="92">
        <f>IF(((5.5*2*$C$51)-J$19*6%)&lt;0,0,((5.5*2*$C$51)-J$19*6%))</f>
        <v>0</v>
      </c>
      <c r="K51" s="196"/>
      <c r="L51" s="92">
        <f>IF(((5.5*2*$C$51)-L$19*6%)&lt;0,0,((5.5*2*$C$51)-L$19*6%))</f>
        <v>0</v>
      </c>
      <c r="M51" s="196"/>
      <c r="N51" s="92">
        <f>IF(((5.5*2*$C$51)-N$19*6%)&lt;0,0,((5.5*2*$C$51)-N$19*6%))</f>
        <v>0</v>
      </c>
    </row>
    <row r="52" spans="1:14" x14ac:dyDescent="0.25">
      <c r="A52" s="181" t="s">
        <v>8</v>
      </c>
      <c r="B52" s="182" t="s">
        <v>40</v>
      </c>
      <c r="C52" s="195">
        <v>22</v>
      </c>
      <c r="D52" s="218">
        <f>330*0.8</f>
        <v>264</v>
      </c>
      <c r="E52" s="83">
        <f>330*0.8</f>
        <v>264</v>
      </c>
      <c r="F52" s="83">
        <f>340*0.8</f>
        <v>272</v>
      </c>
      <c r="G52" s="247"/>
      <c r="H52" s="92">
        <f>350*0.8</f>
        <v>280</v>
      </c>
      <c r="I52" s="247"/>
      <c r="J52" s="92">
        <f>350*0.8</f>
        <v>280</v>
      </c>
      <c r="K52" s="196"/>
      <c r="L52" s="92">
        <f>370*0.8</f>
        <v>296</v>
      </c>
      <c r="M52" s="196"/>
      <c r="N52" s="92">
        <f>390*0.8</f>
        <v>312</v>
      </c>
    </row>
    <row r="53" spans="1:14" x14ac:dyDescent="0.25">
      <c r="A53" s="181" t="s">
        <v>10</v>
      </c>
      <c r="B53" s="182" t="s">
        <v>41</v>
      </c>
      <c r="C53" s="195">
        <v>0</v>
      </c>
      <c r="D53" s="218">
        <v>0</v>
      </c>
      <c r="E53" s="83">
        <v>0</v>
      </c>
      <c r="F53" s="83">
        <v>0</v>
      </c>
      <c r="G53" s="247"/>
      <c r="H53" s="92">
        <v>0</v>
      </c>
      <c r="I53" s="247"/>
      <c r="J53" s="92">
        <v>0</v>
      </c>
      <c r="K53" s="196"/>
      <c r="L53" s="92">
        <v>0</v>
      </c>
      <c r="M53" s="196"/>
      <c r="N53" s="92">
        <v>0</v>
      </c>
    </row>
    <row r="54" spans="1:14" x14ac:dyDescent="0.25">
      <c r="A54" s="181" t="s">
        <v>12</v>
      </c>
      <c r="B54" s="182" t="s">
        <v>97</v>
      </c>
      <c r="C54" s="195">
        <v>0</v>
      </c>
      <c r="D54" s="218">
        <v>0</v>
      </c>
      <c r="E54" s="83">
        <v>0</v>
      </c>
      <c r="F54" s="83">
        <v>0</v>
      </c>
      <c r="G54" s="247"/>
      <c r="H54" s="92">
        <v>0</v>
      </c>
      <c r="I54" s="247"/>
      <c r="J54" s="92">
        <v>0</v>
      </c>
      <c r="K54" s="196"/>
      <c r="L54" s="92">
        <v>0</v>
      </c>
      <c r="M54" s="196"/>
      <c r="N54" s="92">
        <v>0</v>
      </c>
    </row>
    <row r="55" spans="1:14" x14ac:dyDescent="0.25">
      <c r="A55" s="181" t="s">
        <v>14</v>
      </c>
      <c r="B55" s="182" t="s">
        <v>158</v>
      </c>
      <c r="C55" s="195">
        <v>1</v>
      </c>
      <c r="D55" s="218">
        <v>1.41</v>
      </c>
      <c r="E55" s="83">
        <v>1.41</v>
      </c>
      <c r="F55" s="83">
        <v>1.41</v>
      </c>
      <c r="G55" s="247"/>
      <c r="H55" s="92">
        <v>1.41</v>
      </c>
      <c r="I55" s="247"/>
      <c r="J55" s="92">
        <v>1.41</v>
      </c>
      <c r="K55" s="196"/>
      <c r="L55" s="92">
        <v>1.41</v>
      </c>
      <c r="M55" s="196"/>
      <c r="N55" s="92">
        <v>1.41</v>
      </c>
    </row>
    <row r="56" spans="1:14" x14ac:dyDescent="0.25">
      <c r="A56" s="466" t="s">
        <v>18</v>
      </c>
      <c r="B56" s="467"/>
      <c r="C56" s="467"/>
      <c r="D56" s="218">
        <f>SUM(D51:D55)</f>
        <v>265.41000000000003</v>
      </c>
      <c r="E56" s="83">
        <f>SUM(E51:E55)</f>
        <v>265.41000000000003</v>
      </c>
      <c r="F56" s="83">
        <f>SUM(F51:F55)</f>
        <v>273.41000000000003</v>
      </c>
      <c r="G56" s="247"/>
      <c r="H56" s="92">
        <f>SUM(H51:H55)</f>
        <v>281.41000000000003</v>
      </c>
      <c r="I56" s="247"/>
      <c r="J56" s="92">
        <f>SUM(J51:J55)</f>
        <v>281.41000000000003</v>
      </c>
      <c r="K56" s="196"/>
      <c r="L56" s="92">
        <f>SUM(L51:L55)</f>
        <v>297.41000000000003</v>
      </c>
      <c r="M56" s="196"/>
      <c r="N56" s="92">
        <f>SUM(N51:N55)</f>
        <v>313.41000000000003</v>
      </c>
    </row>
    <row r="57" spans="1:14" x14ac:dyDescent="0.25">
      <c r="A57" s="468" t="s">
        <v>44</v>
      </c>
      <c r="B57" s="469"/>
      <c r="C57" s="469"/>
      <c r="D57" s="470"/>
      <c r="E57" s="115"/>
      <c r="F57" s="115"/>
      <c r="G57" s="159"/>
      <c r="H57" s="160"/>
      <c r="I57" s="159"/>
      <c r="J57" s="160"/>
      <c r="K57" s="170"/>
      <c r="L57" s="371"/>
      <c r="M57" s="170"/>
      <c r="N57" s="371"/>
    </row>
    <row r="58" spans="1:14" x14ac:dyDescent="0.25">
      <c r="A58" s="468" t="s">
        <v>110</v>
      </c>
      <c r="B58" s="469"/>
      <c r="C58" s="469"/>
      <c r="D58" s="470"/>
      <c r="E58" s="115"/>
      <c r="F58" s="115"/>
      <c r="G58" s="159"/>
      <c r="H58" s="160"/>
      <c r="I58" s="159"/>
      <c r="J58" s="160"/>
      <c r="K58" s="170"/>
      <c r="L58" s="371"/>
      <c r="M58" s="170"/>
      <c r="N58" s="371"/>
    </row>
    <row r="59" spans="1:14" x14ac:dyDescent="0.25">
      <c r="A59" s="229"/>
      <c r="B59" s="182"/>
      <c r="C59" s="182"/>
      <c r="D59" s="230"/>
      <c r="E59" s="115"/>
      <c r="F59" s="115"/>
      <c r="G59" s="159"/>
      <c r="H59" s="160"/>
      <c r="I59" s="159"/>
      <c r="J59" s="160"/>
      <c r="K59" s="170"/>
      <c r="L59" s="371"/>
      <c r="M59" s="170"/>
      <c r="N59" s="371"/>
    </row>
    <row r="60" spans="1:14" x14ac:dyDescent="0.25">
      <c r="A60" s="471" t="s">
        <v>42</v>
      </c>
      <c r="B60" s="472"/>
      <c r="C60" s="472"/>
      <c r="D60" s="473"/>
      <c r="E60" s="115"/>
      <c r="F60" s="115"/>
      <c r="G60" s="159"/>
      <c r="H60" s="160"/>
      <c r="I60" s="159"/>
      <c r="J60" s="160"/>
      <c r="K60" s="170"/>
      <c r="L60" s="371"/>
      <c r="M60" s="170"/>
      <c r="N60" s="371"/>
    </row>
    <row r="61" spans="1:14" x14ac:dyDescent="0.25">
      <c r="A61" s="197">
        <v>2</v>
      </c>
      <c r="B61" s="476" t="s">
        <v>43</v>
      </c>
      <c r="C61" s="476"/>
      <c r="D61" s="93" t="s">
        <v>5</v>
      </c>
      <c r="E61" s="189" t="s">
        <v>5</v>
      </c>
      <c r="F61" s="189" t="s">
        <v>5</v>
      </c>
      <c r="G61" s="159"/>
      <c r="H61" s="93" t="s">
        <v>5</v>
      </c>
      <c r="I61" s="159"/>
      <c r="J61" s="93" t="s">
        <v>5</v>
      </c>
      <c r="K61" s="170"/>
      <c r="L61" s="93" t="s">
        <v>5</v>
      </c>
      <c r="M61" s="170"/>
      <c r="N61" s="93" t="s">
        <v>5</v>
      </c>
    </row>
    <row r="62" spans="1:14" x14ac:dyDescent="0.25">
      <c r="A62" s="161" t="s">
        <v>21</v>
      </c>
      <c r="B62" s="474" t="s">
        <v>163</v>
      </c>
      <c r="C62" s="474"/>
      <c r="D62" s="218">
        <f>D27</f>
        <v>1209.0124242424242</v>
      </c>
      <c r="E62" s="83">
        <f>E27</f>
        <v>1250.7233528787879</v>
      </c>
      <c r="F62" s="83">
        <f>F27</f>
        <v>1250.7233528787879</v>
      </c>
      <c r="G62" s="159"/>
      <c r="H62" s="92">
        <f>H27</f>
        <v>1250.7233528787879</v>
      </c>
      <c r="I62" s="159"/>
      <c r="J62" s="92">
        <f>J27</f>
        <v>1250.7233528787879</v>
      </c>
      <c r="K62" s="170"/>
      <c r="L62" s="92">
        <f>L27</f>
        <v>1325.7667540515154</v>
      </c>
      <c r="M62" s="170"/>
      <c r="N62" s="92">
        <f>N27</f>
        <v>1350.7812211090911</v>
      </c>
    </row>
    <row r="63" spans="1:14" x14ac:dyDescent="0.25">
      <c r="A63" s="161" t="s">
        <v>24</v>
      </c>
      <c r="B63" s="475" t="s">
        <v>25</v>
      </c>
      <c r="C63" s="475"/>
      <c r="D63" s="218">
        <f>D42</f>
        <v>1129.1208832484849</v>
      </c>
      <c r="E63" s="83">
        <f>E42</f>
        <v>1168.0755537205578</v>
      </c>
      <c r="F63" s="83">
        <f>F42</f>
        <v>1168.0755537205578</v>
      </c>
      <c r="G63" s="159"/>
      <c r="H63" s="92">
        <f>H42</f>
        <v>1130.8683207200606</v>
      </c>
      <c r="I63" s="159"/>
      <c r="J63" s="92">
        <f>J42</f>
        <v>1130.8683207200606</v>
      </c>
      <c r="K63" s="170"/>
      <c r="L63" s="92">
        <f>L42</f>
        <v>1198.7204199632645</v>
      </c>
      <c r="M63" s="170"/>
      <c r="N63" s="92">
        <f>N42</f>
        <v>1142.3749755665456</v>
      </c>
    </row>
    <row r="64" spans="1:14" x14ac:dyDescent="0.25">
      <c r="A64" s="161" t="s">
        <v>37</v>
      </c>
      <c r="B64" s="475" t="s">
        <v>38</v>
      </c>
      <c r="C64" s="475"/>
      <c r="D64" s="218">
        <f>D56</f>
        <v>265.41000000000003</v>
      </c>
      <c r="E64" s="83">
        <f>E56</f>
        <v>265.41000000000003</v>
      </c>
      <c r="F64" s="83">
        <f>F56</f>
        <v>273.41000000000003</v>
      </c>
      <c r="G64" s="159"/>
      <c r="H64" s="92">
        <f>H56</f>
        <v>281.41000000000003</v>
      </c>
      <c r="I64" s="159"/>
      <c r="J64" s="92">
        <f>J56</f>
        <v>281.41000000000003</v>
      </c>
      <c r="K64" s="170"/>
      <c r="L64" s="92">
        <f>L56</f>
        <v>297.41000000000003</v>
      </c>
      <c r="M64" s="170"/>
      <c r="N64" s="92">
        <f>N56</f>
        <v>313.41000000000003</v>
      </c>
    </row>
    <row r="65" spans="1:14" x14ac:dyDescent="0.25">
      <c r="A65" s="466" t="s">
        <v>18</v>
      </c>
      <c r="B65" s="467"/>
      <c r="C65" s="467"/>
      <c r="D65" s="218">
        <f>SUM(D62:D64)</f>
        <v>2603.5433074909088</v>
      </c>
      <c r="E65" s="83">
        <f>SUM(E62:E64)</f>
        <v>2684.2089065993455</v>
      </c>
      <c r="F65" s="83">
        <f>SUM(F62:F64)</f>
        <v>2692.2089065993455</v>
      </c>
      <c r="G65" s="159"/>
      <c r="H65" s="92">
        <f>SUM(H62:H64)</f>
        <v>2663.0016735988484</v>
      </c>
      <c r="I65" s="159"/>
      <c r="J65" s="92">
        <f>SUM(J62:J64)</f>
        <v>2663.0016735988484</v>
      </c>
      <c r="K65" s="170"/>
      <c r="L65" s="92">
        <f>SUM(L62:L64)</f>
        <v>2821.8971740147799</v>
      </c>
      <c r="M65" s="170"/>
      <c r="N65" s="92">
        <f>SUM(N62:N64)</f>
        <v>2806.5661966756365</v>
      </c>
    </row>
    <row r="66" spans="1:14" x14ac:dyDescent="0.25">
      <c r="A66" s="229"/>
      <c r="B66" s="182"/>
      <c r="C66" s="182"/>
      <c r="D66" s="230"/>
      <c r="E66" s="115"/>
      <c r="F66" s="115"/>
      <c r="G66" s="159"/>
      <c r="H66" s="160"/>
      <c r="I66" s="159"/>
      <c r="J66" s="160"/>
      <c r="K66" s="170"/>
      <c r="L66" s="371"/>
      <c r="M66" s="170"/>
      <c r="N66" s="371"/>
    </row>
    <row r="67" spans="1:14" x14ac:dyDescent="0.25">
      <c r="A67" s="471" t="s">
        <v>77</v>
      </c>
      <c r="B67" s="472"/>
      <c r="C67" s="472"/>
      <c r="D67" s="473"/>
      <c r="E67" s="115"/>
      <c r="F67" s="115"/>
      <c r="G67" s="159"/>
      <c r="H67" s="160"/>
      <c r="I67" s="159"/>
      <c r="J67" s="160"/>
      <c r="K67" s="170"/>
      <c r="L67" s="371"/>
      <c r="M67" s="170"/>
      <c r="N67" s="371"/>
    </row>
    <row r="68" spans="1:14" x14ac:dyDescent="0.25">
      <c r="A68" s="197">
        <v>3</v>
      </c>
      <c r="B68" s="178" t="s">
        <v>45</v>
      </c>
      <c r="C68" s="178" t="s">
        <v>26</v>
      </c>
      <c r="D68" s="93" t="s">
        <v>5</v>
      </c>
      <c r="E68" s="189" t="s">
        <v>5</v>
      </c>
      <c r="F68" s="189" t="s">
        <v>5</v>
      </c>
      <c r="G68" s="197" t="s">
        <v>26</v>
      </c>
      <c r="H68" s="93" t="s">
        <v>5</v>
      </c>
      <c r="I68" s="197" t="s">
        <v>26</v>
      </c>
      <c r="J68" s="93" t="s">
        <v>5</v>
      </c>
      <c r="K68" s="190" t="s">
        <v>26</v>
      </c>
      <c r="L68" s="93" t="s">
        <v>5</v>
      </c>
      <c r="M68" s="190" t="s">
        <v>26</v>
      </c>
      <c r="N68" s="93" t="s">
        <v>5</v>
      </c>
    </row>
    <row r="69" spans="1:14" x14ac:dyDescent="0.25">
      <c r="A69" s="161" t="s">
        <v>6</v>
      </c>
      <c r="B69" s="163" t="s">
        <v>46</v>
      </c>
      <c r="C69" s="191">
        <f>(1/12)*5%</f>
        <v>4.1666666666666666E-3</v>
      </c>
      <c r="D69" s="233">
        <f t="shared" ref="D69:D75" si="3">C69*($D$19+$D$27)</f>
        <v>28.786010101010103</v>
      </c>
      <c r="E69" s="83">
        <f t="shared" ref="E69:F75" si="4">$C69*(E$19+E$27)</f>
        <v>29.77912744949495</v>
      </c>
      <c r="F69" s="83">
        <f t="shared" si="4"/>
        <v>29.77912744949495</v>
      </c>
      <c r="G69" s="102">
        <f>(1/12)*5%</f>
        <v>4.1666666666666666E-3</v>
      </c>
      <c r="H69" s="92">
        <f t="shared" ref="H69:H75" si="5">G69*($H$19+$H$27)</f>
        <v>29.77912744949495</v>
      </c>
      <c r="I69" s="102">
        <f>(1/12)*5%</f>
        <v>4.1666666666666666E-3</v>
      </c>
      <c r="J69" s="92">
        <f t="shared" ref="J69:J75" si="6">I69*($H$19+$H$27)</f>
        <v>29.77912744949495</v>
      </c>
      <c r="K69" s="107">
        <f>(1/12)*5%</f>
        <v>4.1666666666666666E-3</v>
      </c>
      <c r="L69" s="92">
        <f t="shared" ref="L69:L75" si="7">K69*($L$19+$L$27)</f>
        <v>31.565875096464652</v>
      </c>
      <c r="M69" s="107">
        <f>(1/12)*5%</f>
        <v>4.1666666666666666E-3</v>
      </c>
      <c r="N69" s="92">
        <f t="shared" ref="N69:N75" si="8">M69*($N$19+$N$27)</f>
        <v>32.161457645454547</v>
      </c>
    </row>
    <row r="70" spans="1:14" ht="30" x14ac:dyDescent="0.25">
      <c r="A70" s="161" t="s">
        <v>8</v>
      </c>
      <c r="B70" s="163" t="s">
        <v>47</v>
      </c>
      <c r="C70" s="191">
        <f>C69*C41</f>
        <v>3.3333333333333332E-4</v>
      </c>
      <c r="D70" s="233">
        <f t="shared" si="3"/>
        <v>2.3028808080808081</v>
      </c>
      <c r="E70" s="83">
        <f t="shared" si="4"/>
        <v>2.3823301959595962</v>
      </c>
      <c r="F70" s="83">
        <f t="shared" si="4"/>
        <v>2.3823301959595962</v>
      </c>
      <c r="G70" s="102">
        <f>$G$69*$G$41</f>
        <v>3.3333333333333332E-4</v>
      </c>
      <c r="H70" s="92">
        <f t="shared" si="5"/>
        <v>2.3823301959595962</v>
      </c>
      <c r="I70" s="102">
        <f>$I$69*$G$41</f>
        <v>3.3333333333333332E-4</v>
      </c>
      <c r="J70" s="92">
        <f t="shared" si="6"/>
        <v>2.3823301959595962</v>
      </c>
      <c r="K70" s="107">
        <f>$I$69*$G$41</f>
        <v>3.3333333333333332E-4</v>
      </c>
      <c r="L70" s="92">
        <f t="shared" si="7"/>
        <v>2.5252700077171721</v>
      </c>
      <c r="M70" s="107">
        <f>$I$69*$G$41</f>
        <v>3.3333333333333332E-4</v>
      </c>
      <c r="N70" s="92">
        <f t="shared" si="8"/>
        <v>2.572916611636364</v>
      </c>
    </row>
    <row r="71" spans="1:14" ht="30" x14ac:dyDescent="0.25">
      <c r="A71" s="161" t="s">
        <v>10</v>
      </c>
      <c r="B71" s="163" t="s">
        <v>48</v>
      </c>
      <c r="C71" s="191">
        <f>C69*8%*40%</f>
        <v>1.3333333333333334E-4</v>
      </c>
      <c r="D71" s="233">
        <f t="shared" si="3"/>
        <v>0.92115232323232332</v>
      </c>
      <c r="E71" s="83">
        <f t="shared" si="4"/>
        <v>0.95293207838383853</v>
      </c>
      <c r="F71" s="83">
        <f t="shared" si="4"/>
        <v>0.95293207838383853</v>
      </c>
      <c r="G71" s="102">
        <f>$G$69*8%*40%</f>
        <v>1.3333333333333334E-4</v>
      </c>
      <c r="H71" s="92">
        <f t="shared" si="5"/>
        <v>0.95293207838383853</v>
      </c>
      <c r="I71" s="102">
        <f>$I$69*8%*40%</f>
        <v>1.3333333333333334E-4</v>
      </c>
      <c r="J71" s="92">
        <f t="shared" si="6"/>
        <v>0.95293207838383853</v>
      </c>
      <c r="K71" s="107">
        <f>$I$69*8%*40%</f>
        <v>1.3333333333333334E-4</v>
      </c>
      <c r="L71" s="92">
        <f t="shared" si="7"/>
        <v>1.010108003086869</v>
      </c>
      <c r="M71" s="107">
        <f>$I$69*8%*40%</f>
        <v>1.3333333333333334E-4</v>
      </c>
      <c r="N71" s="92">
        <f t="shared" si="8"/>
        <v>1.0291666446545455</v>
      </c>
    </row>
    <row r="72" spans="1:14" x14ac:dyDescent="0.25">
      <c r="A72" s="161" t="s">
        <v>12</v>
      </c>
      <c r="B72" s="163" t="s">
        <v>49</v>
      </c>
      <c r="C72" s="191">
        <f>(7/30/12)*100%</f>
        <v>1.9444444444444445E-2</v>
      </c>
      <c r="D72" s="233">
        <f t="shared" si="3"/>
        <v>134.3347138047138</v>
      </c>
      <c r="E72" s="83">
        <f t="shared" si="4"/>
        <v>138.96926143097645</v>
      </c>
      <c r="F72" s="83">
        <f t="shared" si="4"/>
        <v>138.96926143097645</v>
      </c>
      <c r="G72" s="102">
        <f>(7/30/12)*100%</f>
        <v>1.9444444444444445E-2</v>
      </c>
      <c r="H72" s="92">
        <f t="shared" si="5"/>
        <v>138.96926143097645</v>
      </c>
      <c r="I72" s="102">
        <v>1.9400000000000001E-3</v>
      </c>
      <c r="J72" s="92">
        <f t="shared" si="6"/>
        <v>13.865161740484851</v>
      </c>
      <c r="K72" s="107">
        <v>1.9400000000000001E-3</v>
      </c>
      <c r="L72" s="92">
        <f t="shared" si="7"/>
        <v>14.697071444913943</v>
      </c>
      <c r="M72" s="107">
        <v>1.9400000000000001E-3</v>
      </c>
      <c r="N72" s="92">
        <f t="shared" si="8"/>
        <v>14.97437467972364</v>
      </c>
    </row>
    <row r="73" spans="1:14" ht="30" x14ac:dyDescent="0.25">
      <c r="A73" s="161" t="s">
        <v>14</v>
      </c>
      <c r="B73" s="163" t="s">
        <v>50</v>
      </c>
      <c r="C73" s="191">
        <f>C72*C42</f>
        <v>3.1779222222222221E-3</v>
      </c>
      <c r="D73" s="233">
        <f t="shared" si="3"/>
        <v>21.955128285387204</v>
      </c>
      <c r="E73" s="83">
        <f t="shared" si="4"/>
        <v>22.712580211233064</v>
      </c>
      <c r="F73" s="83">
        <f t="shared" si="4"/>
        <v>22.712580211233064</v>
      </c>
      <c r="G73" s="102">
        <f>$G$72*G$42</f>
        <v>3.0766944444444448E-3</v>
      </c>
      <c r="H73" s="92">
        <f t="shared" si="5"/>
        <v>21.989106236223407</v>
      </c>
      <c r="I73" s="102">
        <f>$I$72*$G$42</f>
        <v>3.0696620000000006E-4</v>
      </c>
      <c r="J73" s="92">
        <f t="shared" si="6"/>
        <v>2.1938845421969182</v>
      </c>
      <c r="K73" s="107">
        <f>$I$72*$G$42</f>
        <v>3.0696620000000006E-4</v>
      </c>
      <c r="L73" s="92">
        <f t="shared" si="7"/>
        <v>2.3255176147287333</v>
      </c>
      <c r="M73" s="107">
        <f>$I$72*$G$42</f>
        <v>3.0696620000000006E-4</v>
      </c>
      <c r="N73" s="92">
        <f t="shared" si="8"/>
        <v>2.3693953055726715</v>
      </c>
    </row>
    <row r="74" spans="1:14" ht="30" x14ac:dyDescent="0.25">
      <c r="A74" s="161" t="s">
        <v>16</v>
      </c>
      <c r="B74" s="163" t="s">
        <v>51</v>
      </c>
      <c r="C74" s="191">
        <f>C72*8%*40%</f>
        <v>6.2222222222222236E-4</v>
      </c>
      <c r="D74" s="233">
        <f t="shared" si="3"/>
        <v>4.2987108417508431</v>
      </c>
      <c r="E74" s="83">
        <f t="shared" si="4"/>
        <v>4.4470163657912476</v>
      </c>
      <c r="F74" s="83">
        <f t="shared" si="4"/>
        <v>4.4470163657912476</v>
      </c>
      <c r="G74" s="102">
        <f>$G$72*8%*40%</f>
        <v>6.2222222222222236E-4</v>
      </c>
      <c r="H74" s="92">
        <f t="shared" si="5"/>
        <v>4.4470163657912476</v>
      </c>
      <c r="I74" s="102">
        <f>$I$72*8%*40%</f>
        <v>6.2080000000000002E-5</v>
      </c>
      <c r="J74" s="92">
        <f t="shared" si="6"/>
        <v>0.44368517569551519</v>
      </c>
      <c r="K74" s="107">
        <f>$I$72*8%*40%</f>
        <v>6.2080000000000002E-5</v>
      </c>
      <c r="L74" s="92">
        <f t="shared" si="7"/>
        <v>0.47030628623724613</v>
      </c>
      <c r="M74" s="107">
        <f>$I$72*8%*40%</f>
        <v>6.2080000000000002E-5</v>
      </c>
      <c r="N74" s="92">
        <f t="shared" si="8"/>
        <v>0.47917998975115644</v>
      </c>
    </row>
    <row r="75" spans="1:14" x14ac:dyDescent="0.25">
      <c r="A75" s="161" t="s">
        <v>32</v>
      </c>
      <c r="B75" s="163" t="s">
        <v>133</v>
      </c>
      <c r="C75" s="191">
        <v>3.49E-2</v>
      </c>
      <c r="D75" s="233">
        <f t="shared" si="3"/>
        <v>241.11162060606063</v>
      </c>
      <c r="E75" s="83">
        <f t="shared" si="4"/>
        <v>249.42997151696972</v>
      </c>
      <c r="F75" s="83">
        <f t="shared" si="4"/>
        <v>249.42997151696972</v>
      </c>
      <c r="G75" s="102">
        <v>3.49E-2</v>
      </c>
      <c r="H75" s="92">
        <f t="shared" si="5"/>
        <v>249.42997151696972</v>
      </c>
      <c r="I75" s="102">
        <v>3.49E-2</v>
      </c>
      <c r="J75" s="92">
        <f t="shared" si="6"/>
        <v>249.42997151696972</v>
      </c>
      <c r="K75" s="107">
        <v>3.49E-2</v>
      </c>
      <c r="L75" s="92">
        <f t="shared" si="7"/>
        <v>264.3957698079879</v>
      </c>
      <c r="M75" s="107">
        <v>3.49E-2</v>
      </c>
      <c r="N75" s="92">
        <f t="shared" si="8"/>
        <v>269.38436923832734</v>
      </c>
    </row>
    <row r="76" spans="1:14" x14ac:dyDescent="0.25">
      <c r="A76" s="466" t="s">
        <v>161</v>
      </c>
      <c r="B76" s="467"/>
      <c r="C76" s="186">
        <f t="shared" ref="C76:H76" si="9">SUM(C69:C75)</f>
        <v>6.2777922222222227E-2</v>
      </c>
      <c r="D76" s="218">
        <f t="shared" si="9"/>
        <v>433.71021677023572</v>
      </c>
      <c r="E76" s="83">
        <f t="shared" si="9"/>
        <v>448.67321924880889</v>
      </c>
      <c r="F76" s="83">
        <f t="shared" si="9"/>
        <v>448.67321924880889</v>
      </c>
      <c r="G76" s="94">
        <f t="shared" si="9"/>
        <v>6.2676694444444445E-2</v>
      </c>
      <c r="H76" s="92">
        <f t="shared" si="9"/>
        <v>447.94974527379918</v>
      </c>
      <c r="I76" s="94">
        <f t="shared" ref="I76" si="10">SUM(I69:I75)</f>
        <v>4.1842379533333335E-2</v>
      </c>
      <c r="J76" s="92">
        <f>SUM(J69:J75)</f>
        <v>299.04709269918538</v>
      </c>
      <c r="K76" s="108">
        <f t="shared" ref="K76" si="11">SUM(K69:K75)</f>
        <v>4.1842379533333335E-2</v>
      </c>
      <c r="L76" s="92">
        <f>SUM(L69:L75)</f>
        <v>316.98991826113649</v>
      </c>
      <c r="M76" s="108">
        <f t="shared" ref="M76" si="12">SUM(M69:M75)</f>
        <v>4.1842379533333335E-2</v>
      </c>
      <c r="N76" s="92">
        <f>SUM(N69:N75)</f>
        <v>322.97086011512027</v>
      </c>
    </row>
    <row r="77" spans="1:14" x14ac:dyDescent="0.25">
      <c r="A77" s="468" t="s">
        <v>111</v>
      </c>
      <c r="B77" s="469"/>
      <c r="C77" s="469"/>
      <c r="D77" s="470"/>
      <c r="E77" s="115"/>
      <c r="F77" s="115"/>
      <c r="G77" s="159"/>
      <c r="H77" s="160"/>
      <c r="I77" s="159"/>
      <c r="J77" s="160"/>
      <c r="K77" s="170"/>
      <c r="L77" s="371"/>
      <c r="M77" s="170"/>
      <c r="N77" s="371"/>
    </row>
    <row r="78" spans="1:14" x14ac:dyDescent="0.25">
      <c r="A78" s="468" t="s">
        <v>119</v>
      </c>
      <c r="B78" s="469"/>
      <c r="C78" s="469"/>
      <c r="D78" s="470"/>
      <c r="E78" s="115"/>
      <c r="F78" s="115"/>
      <c r="G78" s="159"/>
      <c r="H78" s="160"/>
      <c r="I78" s="159"/>
      <c r="J78" s="160"/>
      <c r="K78" s="170"/>
      <c r="L78" s="371"/>
      <c r="M78" s="170"/>
      <c r="N78" s="371"/>
    </row>
    <row r="79" spans="1:14" x14ac:dyDescent="0.25">
      <c r="A79" s="229"/>
      <c r="B79" s="182"/>
      <c r="C79" s="182"/>
      <c r="D79" s="230"/>
      <c r="E79" s="115"/>
      <c r="F79" s="115"/>
      <c r="G79" s="159"/>
      <c r="H79" s="160"/>
      <c r="I79" s="159"/>
      <c r="J79" s="160"/>
      <c r="K79" s="170"/>
      <c r="L79" s="371"/>
      <c r="M79" s="170"/>
      <c r="N79" s="371"/>
    </row>
    <row r="80" spans="1:14" x14ac:dyDescent="0.25">
      <c r="A80" s="471" t="s">
        <v>52</v>
      </c>
      <c r="B80" s="472"/>
      <c r="C80" s="472"/>
      <c r="D80" s="473"/>
      <c r="E80" s="115"/>
      <c r="F80" s="115"/>
      <c r="G80" s="159"/>
      <c r="H80" s="160"/>
      <c r="I80" s="159"/>
      <c r="J80" s="160"/>
      <c r="K80" s="170"/>
      <c r="L80" s="371"/>
      <c r="M80" s="170"/>
      <c r="N80" s="371"/>
    </row>
    <row r="81" spans="1:14" x14ac:dyDescent="0.25">
      <c r="A81" s="468" t="s">
        <v>112</v>
      </c>
      <c r="B81" s="469"/>
      <c r="C81" s="469"/>
      <c r="D81" s="470"/>
      <c r="E81" s="115"/>
      <c r="F81" s="115"/>
      <c r="G81" s="159"/>
      <c r="H81" s="160"/>
      <c r="I81" s="159"/>
      <c r="J81" s="160"/>
      <c r="K81" s="170"/>
      <c r="L81" s="371"/>
      <c r="M81" s="170"/>
      <c r="N81" s="371"/>
    </row>
    <row r="82" spans="1:14" x14ac:dyDescent="0.25">
      <c r="A82" s="229"/>
      <c r="B82" s="182"/>
      <c r="C82" s="182"/>
      <c r="D82" s="230"/>
      <c r="E82" s="115"/>
      <c r="F82" s="115"/>
      <c r="G82" s="159"/>
      <c r="H82" s="160"/>
      <c r="I82" s="159"/>
      <c r="J82" s="160"/>
      <c r="K82" s="170"/>
      <c r="L82" s="371"/>
      <c r="M82" s="170"/>
      <c r="N82" s="371"/>
    </row>
    <row r="83" spans="1:14" x14ac:dyDescent="0.25">
      <c r="A83" s="471" t="s">
        <v>114</v>
      </c>
      <c r="B83" s="472"/>
      <c r="C83" s="472"/>
      <c r="D83" s="473"/>
      <c r="E83" s="115"/>
      <c r="F83" s="115"/>
      <c r="G83" s="159"/>
      <c r="H83" s="160"/>
      <c r="I83" s="159"/>
      <c r="J83" s="160"/>
      <c r="K83" s="170"/>
      <c r="L83" s="371"/>
      <c r="M83" s="170"/>
      <c r="N83" s="371"/>
    </row>
    <row r="84" spans="1:14" x14ac:dyDescent="0.25">
      <c r="A84" s="187" t="s">
        <v>53</v>
      </c>
      <c r="B84" s="178" t="s">
        <v>54</v>
      </c>
      <c r="C84" s="178" t="s">
        <v>26</v>
      </c>
      <c r="D84" s="93" t="s">
        <v>5</v>
      </c>
      <c r="E84" s="189" t="s">
        <v>5</v>
      </c>
      <c r="F84" s="189" t="s">
        <v>5</v>
      </c>
      <c r="G84" s="197" t="s">
        <v>26</v>
      </c>
      <c r="H84" s="93" t="s">
        <v>5</v>
      </c>
      <c r="I84" s="197" t="s">
        <v>26</v>
      </c>
      <c r="J84" s="93" t="s">
        <v>5</v>
      </c>
      <c r="K84" s="190" t="s">
        <v>26</v>
      </c>
      <c r="L84" s="93" t="s">
        <v>5</v>
      </c>
      <c r="M84" s="190" t="s">
        <v>26</v>
      </c>
      <c r="N84" s="93" t="s">
        <v>5</v>
      </c>
    </row>
    <row r="85" spans="1:14" x14ac:dyDescent="0.25">
      <c r="A85" s="161" t="s">
        <v>6</v>
      </c>
      <c r="B85" s="163" t="s">
        <v>55</v>
      </c>
      <c r="C85" s="191">
        <v>6.8999999999999999E-3</v>
      </c>
      <c r="D85" s="233">
        <f t="shared" ref="D85:D90" si="13">C85*($D$19+$D$27)</f>
        <v>47.669632727272727</v>
      </c>
      <c r="E85" s="83">
        <f t="shared" ref="E85:F90" si="14">$C85*(E$19+E$27)</f>
        <v>49.314235056363643</v>
      </c>
      <c r="F85" s="83">
        <f t="shared" si="14"/>
        <v>49.314235056363643</v>
      </c>
      <c r="G85" s="102">
        <v>6.8999999999999999E-3</v>
      </c>
      <c r="H85" s="92">
        <f t="shared" ref="H85:H90" si="15">G85*($H$19+$H$27)</f>
        <v>49.314235056363643</v>
      </c>
      <c r="I85" s="102">
        <v>6.8999999999999999E-3</v>
      </c>
      <c r="J85" s="92">
        <f t="shared" ref="J85:J90" si="16">I85*($H$19+$H$27)</f>
        <v>49.314235056363643</v>
      </c>
      <c r="K85" s="107">
        <v>6.8999999999999999E-3</v>
      </c>
      <c r="L85" s="92">
        <f t="shared" ref="L85:L90" si="17">K85*(L$19+L$27)</f>
        <v>52.27308915974546</v>
      </c>
      <c r="M85" s="107">
        <v>6.8999999999999999E-3</v>
      </c>
      <c r="N85" s="92">
        <f t="shared" ref="N85:N90" si="18">M85*(N$19+N$27)</f>
        <v>53.259373860872735</v>
      </c>
    </row>
    <row r="86" spans="1:14" x14ac:dyDescent="0.25">
      <c r="A86" s="161" t="s">
        <v>8</v>
      </c>
      <c r="B86" s="163" t="s">
        <v>56</v>
      </c>
      <c r="C86" s="191">
        <f>(1/30)*(1/12)</f>
        <v>2.7777777777777775E-3</v>
      </c>
      <c r="D86" s="233">
        <f t="shared" si="13"/>
        <v>19.190673400673401</v>
      </c>
      <c r="E86" s="83">
        <f t="shared" si="14"/>
        <v>19.852751632996632</v>
      </c>
      <c r="F86" s="83">
        <f t="shared" si="14"/>
        <v>19.852751632996632</v>
      </c>
      <c r="G86" s="102">
        <f>(1/30)*(1/12)</f>
        <v>2.7777777777777775E-3</v>
      </c>
      <c r="H86" s="92">
        <f t="shared" si="15"/>
        <v>19.852751632996632</v>
      </c>
      <c r="I86" s="102">
        <f>(1/30)*(1/12)</f>
        <v>2.7777777777777775E-3</v>
      </c>
      <c r="J86" s="92">
        <f t="shared" si="16"/>
        <v>19.852751632996632</v>
      </c>
      <c r="K86" s="107">
        <f>(1/30)*(1/12)</f>
        <v>2.7777777777777775E-3</v>
      </c>
      <c r="L86" s="92">
        <f t="shared" si="17"/>
        <v>21.043916730976431</v>
      </c>
      <c r="M86" s="107">
        <f>(1/30)*(1/12)</f>
        <v>2.7777777777777775E-3</v>
      </c>
      <c r="N86" s="92">
        <f t="shared" si="18"/>
        <v>21.440971763636362</v>
      </c>
    </row>
    <row r="87" spans="1:14" x14ac:dyDescent="0.25">
      <c r="A87" s="161" t="s">
        <v>10</v>
      </c>
      <c r="B87" s="163" t="s">
        <v>57</v>
      </c>
      <c r="C87" s="191">
        <f>(5/30/12)*1.5%</f>
        <v>2.0833333333333332E-4</v>
      </c>
      <c r="D87" s="233">
        <f t="shared" si="13"/>
        <v>1.439300505050505</v>
      </c>
      <c r="E87" s="83">
        <f t="shared" si="14"/>
        <v>1.4889563724747474</v>
      </c>
      <c r="F87" s="83">
        <f t="shared" si="14"/>
        <v>1.4889563724747474</v>
      </c>
      <c r="G87" s="102">
        <f>(5/30/12)*1.5%</f>
        <v>2.0833333333333332E-4</v>
      </c>
      <c r="H87" s="92">
        <f t="shared" si="15"/>
        <v>1.4889563724747474</v>
      </c>
      <c r="I87" s="102">
        <f>(5/30/12)*1.5%</f>
        <v>2.0833333333333332E-4</v>
      </c>
      <c r="J87" s="92">
        <f t="shared" si="16"/>
        <v>1.4889563724747474</v>
      </c>
      <c r="K87" s="107">
        <f>(5/30/12)*1.5%</f>
        <v>2.0833333333333332E-4</v>
      </c>
      <c r="L87" s="92">
        <f t="shared" si="17"/>
        <v>1.5782937548232325</v>
      </c>
      <c r="M87" s="107">
        <f>(5/30/12)*1.5%</f>
        <v>2.0833333333333332E-4</v>
      </c>
      <c r="N87" s="92">
        <f t="shared" si="18"/>
        <v>1.6080728822727275</v>
      </c>
    </row>
    <row r="88" spans="1:14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33">
        <f t="shared" si="13"/>
        <v>2.2453087878787881</v>
      </c>
      <c r="E88" s="83">
        <f t="shared" si="14"/>
        <v>2.3227719410606062</v>
      </c>
      <c r="F88" s="83">
        <f t="shared" si="14"/>
        <v>2.3227719410606062</v>
      </c>
      <c r="G88" s="102">
        <f>(15/30/12)*0.78%</f>
        <v>3.2499999999999999E-4</v>
      </c>
      <c r="H88" s="92">
        <f t="shared" si="15"/>
        <v>2.3227719410606062</v>
      </c>
      <c r="I88" s="102">
        <f>(15/30/12)*0.78%</f>
        <v>3.2499999999999999E-4</v>
      </c>
      <c r="J88" s="92">
        <f t="shared" si="16"/>
        <v>2.3227719410606062</v>
      </c>
      <c r="K88" s="107">
        <f>(15/30/12)*0.78%</f>
        <v>3.2499999999999999E-4</v>
      </c>
      <c r="L88" s="92">
        <f t="shared" si="17"/>
        <v>2.4621382575242428</v>
      </c>
      <c r="M88" s="107">
        <f>(15/30/12)*0.78%</f>
        <v>3.2499999999999999E-4</v>
      </c>
      <c r="N88" s="92">
        <f t="shared" si="18"/>
        <v>2.5085936963454549</v>
      </c>
    </row>
    <row r="89" spans="1:14" ht="30" x14ac:dyDescent="0.25">
      <c r="A89" s="161" t="s">
        <v>14</v>
      </c>
      <c r="B89" s="163" t="s">
        <v>59</v>
      </c>
      <c r="C89" s="191">
        <f>(1.44%*10%*(C34+C36+C25+C41+C75)*6/12)</f>
        <v>1.6649646545454546E-4</v>
      </c>
      <c r="D89" s="233">
        <f t="shared" si="13"/>
        <v>1.1502645447256861</v>
      </c>
      <c r="E89" s="83">
        <f t="shared" si="14"/>
        <v>1.1899486715187222</v>
      </c>
      <c r="F89" s="83">
        <f t="shared" si="14"/>
        <v>1.1899486715187222</v>
      </c>
      <c r="G89" s="102">
        <f>(1.44%*10%*(G$34+G$36+C$25+G$41+G$75)*6/12)</f>
        <v>1.6274814545454546E-4</v>
      </c>
      <c r="H89" s="92">
        <f t="shared" si="15"/>
        <v>1.1631594637583644</v>
      </c>
      <c r="I89" s="102">
        <f>(1.44%*10%*(G$34+G$36+C$25+G$41+I$75)*6/12)</f>
        <v>1.6274814545454546E-4</v>
      </c>
      <c r="J89" s="92">
        <f t="shared" si="16"/>
        <v>1.1631594637583644</v>
      </c>
      <c r="K89" s="107">
        <f>(1.44%*10%*($G$34+$G$36+$C$25+$G$41+K$75)*6/12)</f>
        <v>1.6274814545454546E-4</v>
      </c>
      <c r="L89" s="92">
        <f t="shared" si="17"/>
        <v>1.2329490315838663</v>
      </c>
      <c r="M89" s="107">
        <f>(1.44%*10%*($G$34+$G$36+$C$25+$G$41+M$75)*6/12)</f>
        <v>1.6274814545454546E-4</v>
      </c>
      <c r="N89" s="92">
        <f t="shared" si="18"/>
        <v>1.2562122208590336</v>
      </c>
    </row>
    <row r="90" spans="1:14" ht="30" x14ac:dyDescent="0.25">
      <c r="A90" s="161" t="s">
        <v>16</v>
      </c>
      <c r="B90" s="163" t="s">
        <v>60</v>
      </c>
      <c r="C90" s="191">
        <v>0</v>
      </c>
      <c r="D90" s="233">
        <f t="shared" si="13"/>
        <v>0</v>
      </c>
      <c r="E90" s="83">
        <f t="shared" si="14"/>
        <v>0</v>
      </c>
      <c r="F90" s="83">
        <f t="shared" si="14"/>
        <v>0</v>
      </c>
      <c r="G90" s="102">
        <v>0</v>
      </c>
      <c r="H90" s="92">
        <f t="shared" si="15"/>
        <v>0</v>
      </c>
      <c r="I90" s="102">
        <v>0</v>
      </c>
      <c r="J90" s="92">
        <f t="shared" si="16"/>
        <v>0</v>
      </c>
      <c r="K90" s="107">
        <v>0</v>
      </c>
      <c r="L90" s="92">
        <f t="shared" si="17"/>
        <v>0</v>
      </c>
      <c r="M90" s="107">
        <v>0</v>
      </c>
      <c r="N90" s="92">
        <f t="shared" si="18"/>
        <v>0</v>
      </c>
    </row>
    <row r="91" spans="1:14" x14ac:dyDescent="0.25">
      <c r="A91" s="466" t="s">
        <v>18</v>
      </c>
      <c r="B91" s="467"/>
      <c r="C91" s="186">
        <f t="shared" ref="C91:H91" si="19">SUM(C85:C90)</f>
        <v>1.0377607576565657E-2</v>
      </c>
      <c r="D91" s="218">
        <f t="shared" si="19"/>
        <v>71.695179965601113</v>
      </c>
      <c r="E91" s="83">
        <f t="shared" si="19"/>
        <v>74.168663674414347</v>
      </c>
      <c r="F91" s="83">
        <f t="shared" si="19"/>
        <v>74.168663674414347</v>
      </c>
      <c r="G91" s="94">
        <f t="shared" si="19"/>
        <v>1.0373859256565657E-2</v>
      </c>
      <c r="H91" s="92">
        <f t="shared" si="19"/>
        <v>74.141874466653988</v>
      </c>
      <c r="I91" s="94">
        <f t="shared" ref="I91" si="20">SUM(I85:I90)</f>
        <v>1.0373859256565657E-2</v>
      </c>
      <c r="J91" s="92">
        <f>SUM(J85:J90)</f>
        <v>74.141874466653988</v>
      </c>
      <c r="K91" s="108">
        <f t="shared" ref="K91" si="21">SUM(K85:K90)</f>
        <v>1.0373859256565657E-2</v>
      </c>
      <c r="L91" s="92">
        <f>SUM(L85:L90)</f>
        <v>78.590386934653239</v>
      </c>
      <c r="M91" s="108">
        <f t="shared" ref="M91" si="22">SUM(M85:M90)</f>
        <v>1.0373859256565657E-2</v>
      </c>
      <c r="N91" s="92">
        <f>SUM(N85:N90)</f>
        <v>80.073224423986304</v>
      </c>
    </row>
    <row r="92" spans="1:14" x14ac:dyDescent="0.25">
      <c r="A92" s="468" t="s">
        <v>120</v>
      </c>
      <c r="B92" s="469"/>
      <c r="C92" s="469"/>
      <c r="D92" s="470"/>
      <c r="E92" s="115"/>
      <c r="F92" s="115"/>
      <c r="G92" s="159"/>
      <c r="H92" s="160"/>
      <c r="I92" s="159"/>
      <c r="J92" s="160"/>
      <c r="K92" s="170"/>
      <c r="L92" s="371"/>
      <c r="M92" s="170"/>
      <c r="N92" s="371"/>
    </row>
    <row r="93" spans="1:14" x14ac:dyDescent="0.25">
      <c r="A93" s="229"/>
      <c r="B93" s="182"/>
      <c r="C93" s="182"/>
      <c r="D93" s="230"/>
      <c r="E93" s="115"/>
      <c r="F93" s="115"/>
      <c r="G93" s="159"/>
      <c r="H93" s="160"/>
      <c r="I93" s="159"/>
      <c r="J93" s="160"/>
      <c r="K93" s="170"/>
      <c r="L93" s="371"/>
      <c r="M93" s="170"/>
      <c r="N93" s="371"/>
    </row>
    <row r="94" spans="1:14" x14ac:dyDescent="0.25">
      <c r="A94" s="466" t="s">
        <v>115</v>
      </c>
      <c r="B94" s="467"/>
      <c r="C94" s="467"/>
      <c r="D94" s="484"/>
      <c r="E94" s="115"/>
      <c r="F94" s="115"/>
      <c r="G94" s="159"/>
      <c r="H94" s="160"/>
      <c r="I94" s="159"/>
      <c r="J94" s="160"/>
      <c r="K94" s="170"/>
      <c r="L94" s="371"/>
      <c r="M94" s="170"/>
      <c r="N94" s="371"/>
    </row>
    <row r="95" spans="1:14" x14ac:dyDescent="0.25">
      <c r="A95" s="187" t="s">
        <v>61</v>
      </c>
      <c r="B95" s="178" t="s">
        <v>62</v>
      </c>
      <c r="C95" s="178" t="s">
        <v>5</v>
      </c>
      <c r="D95" s="231"/>
      <c r="E95" s="115"/>
      <c r="F95" s="115"/>
      <c r="G95" s="159"/>
      <c r="H95" s="160"/>
      <c r="I95" s="159"/>
      <c r="J95" s="160"/>
      <c r="K95" s="170"/>
      <c r="L95" s="371"/>
      <c r="M95" s="170"/>
      <c r="N95" s="371"/>
    </row>
    <row r="96" spans="1:14" ht="30" x14ac:dyDescent="0.25">
      <c r="A96" s="161" t="s">
        <v>6</v>
      </c>
      <c r="B96" s="163" t="s">
        <v>63</v>
      </c>
      <c r="C96" s="203"/>
      <c r="D96" s="234"/>
      <c r="E96" s="115"/>
      <c r="F96" s="115"/>
      <c r="G96" s="159"/>
      <c r="H96" s="160"/>
      <c r="I96" s="159"/>
      <c r="J96" s="160"/>
      <c r="K96" s="170"/>
      <c r="L96" s="371"/>
      <c r="M96" s="170"/>
      <c r="N96" s="371"/>
    </row>
    <row r="97" spans="1:14" x14ac:dyDescent="0.25">
      <c r="A97" s="466" t="s">
        <v>18</v>
      </c>
      <c r="B97" s="467"/>
      <c r="C97" s="205">
        <f>SUM(C96)</f>
        <v>0</v>
      </c>
      <c r="D97" s="234"/>
      <c r="E97" s="115"/>
      <c r="F97" s="115"/>
      <c r="G97" s="159"/>
      <c r="H97" s="160"/>
      <c r="I97" s="159"/>
      <c r="J97" s="160"/>
      <c r="K97" s="170"/>
      <c r="L97" s="371"/>
      <c r="M97" s="170"/>
      <c r="N97" s="371"/>
    </row>
    <row r="98" spans="1:14" x14ac:dyDescent="0.25">
      <c r="A98" s="229"/>
      <c r="B98" s="182"/>
      <c r="C98" s="182"/>
      <c r="D98" s="230"/>
      <c r="E98" s="115"/>
      <c r="F98" s="115"/>
      <c r="G98" s="159"/>
      <c r="H98" s="160"/>
      <c r="I98" s="159"/>
      <c r="J98" s="160"/>
      <c r="K98" s="170"/>
      <c r="L98" s="371"/>
      <c r="M98" s="170"/>
      <c r="N98" s="371"/>
    </row>
    <row r="99" spans="1:14" x14ac:dyDescent="0.25">
      <c r="A99" s="415" t="s">
        <v>116</v>
      </c>
      <c r="B99" s="416"/>
      <c r="C99" s="416"/>
      <c r="D99" s="487"/>
      <c r="E99" s="115"/>
      <c r="F99" s="115"/>
      <c r="G99" s="159"/>
      <c r="H99" s="160"/>
      <c r="I99" s="159"/>
      <c r="J99" s="160"/>
      <c r="K99" s="170"/>
      <c r="L99" s="371"/>
      <c r="M99" s="170"/>
      <c r="N99" s="371"/>
    </row>
    <row r="100" spans="1:14" x14ac:dyDescent="0.25">
      <c r="A100" s="187">
        <v>4</v>
      </c>
      <c r="B100" s="476" t="s">
        <v>64</v>
      </c>
      <c r="C100" s="476"/>
      <c r="D100" s="93" t="s">
        <v>5</v>
      </c>
      <c r="E100" s="189" t="s">
        <v>5</v>
      </c>
      <c r="F100" s="189" t="s">
        <v>5</v>
      </c>
      <c r="G100" s="159"/>
      <c r="H100" s="93" t="s">
        <v>5</v>
      </c>
      <c r="I100" s="159"/>
      <c r="J100" s="93" t="s">
        <v>5</v>
      </c>
      <c r="K100" s="170"/>
      <c r="L100" s="93" t="s">
        <v>5</v>
      </c>
      <c r="M100" s="170"/>
      <c r="N100" s="93" t="s">
        <v>5</v>
      </c>
    </row>
    <row r="101" spans="1:14" x14ac:dyDescent="0.25">
      <c r="A101" s="181" t="s">
        <v>53</v>
      </c>
      <c r="B101" s="475" t="s">
        <v>54</v>
      </c>
      <c r="C101" s="475"/>
      <c r="D101" s="218">
        <f>D91</f>
        <v>71.695179965601113</v>
      </c>
      <c r="E101" s="83">
        <f>E91</f>
        <v>74.168663674414347</v>
      </c>
      <c r="F101" s="83">
        <f>F91</f>
        <v>74.168663674414347</v>
      </c>
      <c r="G101" s="159"/>
      <c r="H101" s="92">
        <f>H91</f>
        <v>74.141874466653988</v>
      </c>
      <c r="I101" s="159"/>
      <c r="J101" s="92">
        <f>J91</f>
        <v>74.141874466653988</v>
      </c>
      <c r="K101" s="170"/>
      <c r="L101" s="92">
        <f>L91</f>
        <v>78.590386934653239</v>
      </c>
      <c r="M101" s="170"/>
      <c r="N101" s="92">
        <f>N91</f>
        <v>80.073224423986304</v>
      </c>
    </row>
    <row r="102" spans="1:14" x14ac:dyDescent="0.25">
      <c r="A102" s="181" t="s">
        <v>61</v>
      </c>
      <c r="B102" s="182" t="s">
        <v>65</v>
      </c>
      <c r="C102" s="182"/>
      <c r="D102" s="235">
        <f>C97</f>
        <v>0</v>
      </c>
      <c r="E102" s="207">
        <f>E97</f>
        <v>0</v>
      </c>
      <c r="F102" s="207">
        <f>F97</f>
        <v>0</v>
      </c>
      <c r="G102" s="159"/>
      <c r="H102" s="97">
        <f>G97</f>
        <v>0</v>
      </c>
      <c r="I102" s="159"/>
      <c r="J102" s="97">
        <f>I97</f>
        <v>0</v>
      </c>
      <c r="K102" s="170"/>
      <c r="L102" s="97">
        <f>K97</f>
        <v>0</v>
      </c>
      <c r="M102" s="170"/>
      <c r="N102" s="97">
        <f>M97</f>
        <v>0</v>
      </c>
    </row>
    <row r="103" spans="1:14" x14ac:dyDescent="0.25">
      <c r="A103" s="466" t="s">
        <v>18</v>
      </c>
      <c r="B103" s="467"/>
      <c r="C103" s="467"/>
      <c r="D103" s="218">
        <f>SUM(D101:D102)</f>
        <v>71.695179965601113</v>
      </c>
      <c r="E103" s="83">
        <f>SUM(E101:E102)</f>
        <v>74.168663674414347</v>
      </c>
      <c r="F103" s="83">
        <f>SUM(F101:F102)</f>
        <v>74.168663674414347</v>
      </c>
      <c r="G103" s="159"/>
      <c r="H103" s="92">
        <f>SUM(H101:H102)</f>
        <v>74.141874466653988</v>
      </c>
      <c r="I103" s="159"/>
      <c r="J103" s="92">
        <f>SUM(J101:J102)</f>
        <v>74.141874466653988</v>
      </c>
      <c r="K103" s="170"/>
      <c r="L103" s="92">
        <f>SUM(L101:L102)</f>
        <v>78.590386934653239</v>
      </c>
      <c r="M103" s="170"/>
      <c r="N103" s="92">
        <f>SUM(N101:N102)</f>
        <v>80.073224423986304</v>
      </c>
    </row>
    <row r="104" spans="1:14" x14ac:dyDescent="0.25">
      <c r="A104" s="229"/>
      <c r="B104" s="182"/>
      <c r="C104" s="182"/>
      <c r="D104" s="230"/>
      <c r="E104" s="115"/>
      <c r="F104" s="115"/>
      <c r="G104" s="159"/>
      <c r="H104" s="160"/>
      <c r="I104" s="159"/>
      <c r="J104" s="160"/>
      <c r="K104" s="170"/>
      <c r="L104" s="371"/>
      <c r="M104" s="170"/>
      <c r="N104" s="371"/>
    </row>
    <row r="105" spans="1:14" x14ac:dyDescent="0.25">
      <c r="A105" s="481" t="s">
        <v>66</v>
      </c>
      <c r="B105" s="482"/>
      <c r="C105" s="482"/>
      <c r="D105" s="483"/>
      <c r="E105" s="115"/>
      <c r="F105" s="115"/>
      <c r="G105" s="159"/>
      <c r="H105" s="160"/>
      <c r="I105" s="159"/>
      <c r="J105" s="160"/>
      <c r="K105" s="170"/>
      <c r="L105" s="371"/>
      <c r="M105" s="170"/>
      <c r="N105" s="371"/>
    </row>
    <row r="106" spans="1:14" x14ac:dyDescent="0.25">
      <c r="A106" s="187">
        <v>5</v>
      </c>
      <c r="B106" s="476" t="s">
        <v>67</v>
      </c>
      <c r="C106" s="476"/>
      <c r="D106" s="93" t="s">
        <v>5</v>
      </c>
      <c r="E106" s="189" t="s">
        <v>5</v>
      </c>
      <c r="F106" s="189" t="s">
        <v>5</v>
      </c>
      <c r="G106" s="159"/>
      <c r="H106" s="93" t="s">
        <v>5</v>
      </c>
      <c r="I106" s="159"/>
      <c r="J106" s="93" t="s">
        <v>5</v>
      </c>
      <c r="K106" s="170"/>
      <c r="L106" s="93" t="s">
        <v>5</v>
      </c>
      <c r="M106" s="170"/>
      <c r="N106" s="93" t="s">
        <v>5</v>
      </c>
    </row>
    <row r="107" spans="1:14" x14ac:dyDescent="0.25">
      <c r="A107" s="181" t="s">
        <v>6</v>
      </c>
      <c r="B107" s="475" t="s">
        <v>68</v>
      </c>
      <c r="C107" s="475"/>
      <c r="D107" s="218">
        <v>0</v>
      </c>
      <c r="E107" s="83">
        <v>0</v>
      </c>
      <c r="F107" s="83">
        <v>0</v>
      </c>
      <c r="G107" s="159"/>
      <c r="H107" s="92">
        <v>0</v>
      </c>
      <c r="I107" s="159"/>
      <c r="J107" s="92">
        <v>0</v>
      </c>
      <c r="K107" s="170"/>
      <c r="L107" s="92">
        <v>0</v>
      </c>
      <c r="M107" s="170"/>
      <c r="N107" s="92">
        <v>0</v>
      </c>
    </row>
    <row r="108" spans="1:14" x14ac:dyDescent="0.25">
      <c r="A108" s="181" t="s">
        <v>8</v>
      </c>
      <c r="B108" s="475" t="s">
        <v>69</v>
      </c>
      <c r="C108" s="475"/>
      <c r="D108" s="218">
        <v>0</v>
      </c>
      <c r="E108" s="83">
        <v>0</v>
      </c>
      <c r="F108" s="83">
        <v>0</v>
      </c>
      <c r="G108" s="159"/>
      <c r="H108" s="92">
        <v>0</v>
      </c>
      <c r="I108" s="159"/>
      <c r="J108" s="92">
        <v>0</v>
      </c>
      <c r="K108" s="170"/>
      <c r="L108" s="92">
        <v>0</v>
      </c>
      <c r="M108" s="170"/>
      <c r="N108" s="92">
        <v>0</v>
      </c>
    </row>
    <row r="109" spans="1:14" x14ac:dyDescent="0.25">
      <c r="A109" s="181" t="s">
        <v>10</v>
      </c>
      <c r="B109" s="475" t="s">
        <v>70</v>
      </c>
      <c r="C109" s="475"/>
      <c r="D109" s="218">
        <v>0</v>
      </c>
      <c r="E109" s="83">
        <v>0</v>
      </c>
      <c r="F109" s="83">
        <v>0</v>
      </c>
      <c r="G109" s="159"/>
      <c r="H109" s="92">
        <v>0</v>
      </c>
      <c r="I109" s="159"/>
      <c r="J109" s="92">
        <v>0</v>
      </c>
      <c r="K109" s="170"/>
      <c r="L109" s="92">
        <v>0</v>
      </c>
      <c r="M109" s="170"/>
      <c r="N109" s="92">
        <v>0</v>
      </c>
    </row>
    <row r="110" spans="1:14" x14ac:dyDescent="0.25">
      <c r="A110" s="181" t="s">
        <v>12</v>
      </c>
      <c r="B110" s="475" t="s">
        <v>17</v>
      </c>
      <c r="C110" s="475"/>
      <c r="D110" s="218">
        <v>0</v>
      </c>
      <c r="E110" s="83">
        <v>0</v>
      </c>
      <c r="F110" s="83">
        <v>0</v>
      </c>
      <c r="G110" s="159"/>
      <c r="H110" s="92">
        <v>0</v>
      </c>
      <c r="I110" s="159"/>
      <c r="J110" s="92">
        <v>0</v>
      </c>
      <c r="K110" s="170"/>
      <c r="L110" s="92">
        <v>0</v>
      </c>
      <c r="M110" s="170"/>
      <c r="N110" s="92">
        <v>0</v>
      </c>
    </row>
    <row r="111" spans="1:14" x14ac:dyDescent="0.25">
      <c r="A111" s="466" t="s">
        <v>18</v>
      </c>
      <c r="B111" s="467"/>
      <c r="C111" s="467"/>
      <c r="D111" s="218">
        <f>SUM(D107:D110)</f>
        <v>0</v>
      </c>
      <c r="E111" s="83">
        <f>SUM(E107:E110)</f>
        <v>0</v>
      </c>
      <c r="F111" s="83">
        <f>SUM(F107:F110)</f>
        <v>0</v>
      </c>
      <c r="G111" s="159"/>
      <c r="H111" s="92">
        <f>SUM(H107:H110)</f>
        <v>0</v>
      </c>
      <c r="I111" s="159"/>
      <c r="J111" s="92">
        <f>SUM(J107:J110)</f>
        <v>0</v>
      </c>
      <c r="K111" s="170"/>
      <c r="L111" s="92">
        <f>SUM(L107:L110)</f>
        <v>0</v>
      </c>
      <c r="M111" s="170"/>
      <c r="N111" s="92">
        <f>SUM(N107:N110)</f>
        <v>0</v>
      </c>
    </row>
    <row r="112" spans="1:14" x14ac:dyDescent="0.25">
      <c r="A112" s="468" t="s">
        <v>80</v>
      </c>
      <c r="B112" s="469"/>
      <c r="C112" s="469"/>
      <c r="D112" s="470"/>
      <c r="E112" s="115"/>
      <c r="F112" s="115"/>
      <c r="G112" s="159"/>
      <c r="H112" s="160"/>
      <c r="I112" s="159"/>
      <c r="J112" s="160"/>
      <c r="K112" s="170"/>
      <c r="L112" s="371"/>
      <c r="M112" s="170"/>
      <c r="N112" s="371"/>
    </row>
    <row r="113" spans="1:14" x14ac:dyDescent="0.25">
      <c r="A113" s="229"/>
      <c r="B113" s="182"/>
      <c r="C113" s="182"/>
      <c r="D113" s="230"/>
      <c r="E113" s="115"/>
      <c r="F113" s="115"/>
      <c r="G113" s="159"/>
      <c r="H113" s="160"/>
      <c r="I113" s="159"/>
      <c r="J113" s="160"/>
      <c r="K113" s="170"/>
      <c r="L113" s="371"/>
      <c r="M113" s="170"/>
      <c r="N113" s="371"/>
    </row>
    <row r="114" spans="1:14" x14ac:dyDescent="0.25">
      <c r="A114" s="481" t="s">
        <v>71</v>
      </c>
      <c r="B114" s="482"/>
      <c r="C114" s="482"/>
      <c r="D114" s="483"/>
      <c r="E114" s="115"/>
      <c r="F114" s="115"/>
      <c r="G114" s="159"/>
      <c r="H114" s="160"/>
      <c r="I114" s="159"/>
      <c r="J114" s="160"/>
      <c r="K114" s="170"/>
      <c r="L114" s="371"/>
      <c r="M114" s="170"/>
      <c r="N114" s="371"/>
    </row>
    <row r="115" spans="1:14" x14ac:dyDescent="0.25">
      <c r="A115" s="477" t="s">
        <v>121</v>
      </c>
      <c r="B115" s="478"/>
      <c r="C115" s="479" t="s">
        <v>122</v>
      </c>
      <c r="D115" s="480"/>
      <c r="E115" s="208" t="s">
        <v>122</v>
      </c>
      <c r="F115" s="208" t="s">
        <v>122</v>
      </c>
      <c r="G115" s="464" t="s">
        <v>122</v>
      </c>
      <c r="H115" s="465"/>
      <c r="I115" s="249"/>
      <c r="J115" s="210" t="s">
        <v>122</v>
      </c>
      <c r="K115" s="209"/>
      <c r="L115" s="377" t="s">
        <v>122</v>
      </c>
      <c r="M115" s="209"/>
      <c r="N115" s="377" t="s">
        <v>122</v>
      </c>
    </row>
    <row r="116" spans="1:14" x14ac:dyDescent="0.25">
      <c r="A116" s="187">
        <v>6</v>
      </c>
      <c r="B116" s="178" t="s">
        <v>72</v>
      </c>
      <c r="C116" s="178" t="s">
        <v>26</v>
      </c>
      <c r="D116" s="231" t="s">
        <v>5</v>
      </c>
      <c r="E116" s="189" t="s">
        <v>5</v>
      </c>
      <c r="F116" s="189" t="s">
        <v>5</v>
      </c>
      <c r="G116" s="197" t="s">
        <v>26</v>
      </c>
      <c r="H116" s="93" t="s">
        <v>5</v>
      </c>
      <c r="I116" s="245"/>
      <c r="J116" s="93" t="s">
        <v>5</v>
      </c>
      <c r="K116" s="180"/>
      <c r="L116" s="93" t="s">
        <v>5</v>
      </c>
      <c r="M116" s="180"/>
      <c r="N116" s="93" t="s">
        <v>5</v>
      </c>
    </row>
    <row r="117" spans="1:14" x14ac:dyDescent="0.25">
      <c r="A117" s="181" t="s">
        <v>6</v>
      </c>
      <c r="B117" s="182" t="s">
        <v>73</v>
      </c>
      <c r="C117" s="191">
        <v>0.05</v>
      </c>
      <c r="D117" s="233">
        <f>C117*D135</f>
        <v>440.42893521133738</v>
      </c>
      <c r="E117" s="83">
        <f>$C117*E$135</f>
        <v>455.16590122612843</v>
      </c>
      <c r="F117" s="83">
        <f>$C117*F$135</f>
        <v>455.56590122612846</v>
      </c>
      <c r="G117" s="102">
        <v>0.05</v>
      </c>
      <c r="H117" s="92">
        <f>G117*H$135</f>
        <v>454.06802641696515</v>
      </c>
      <c r="I117" s="241"/>
      <c r="J117" s="92">
        <f>G117*J$135</f>
        <v>446.62289378823448</v>
      </c>
      <c r="K117" s="106"/>
      <c r="L117" s="92">
        <f>G117*L$135</f>
        <v>473.37603741552857</v>
      </c>
      <c r="M117" s="106"/>
      <c r="N117" s="92">
        <f>G117*N$135</f>
        <v>478.87894475073722</v>
      </c>
    </row>
    <row r="118" spans="1:14" x14ac:dyDescent="0.25">
      <c r="A118" s="181" t="s">
        <v>8</v>
      </c>
      <c r="B118" s="182" t="s">
        <v>74</v>
      </c>
      <c r="C118" s="191">
        <v>4.5405599574478768E-2</v>
      </c>
      <c r="D118" s="233">
        <f>C118*D135</f>
        <v>399.95879746440073</v>
      </c>
      <c r="E118" s="83">
        <f>$C118*E$135</f>
        <v>413.34161302060681</v>
      </c>
      <c r="F118" s="83">
        <f>$C118*F$135</f>
        <v>413.70485781720265</v>
      </c>
      <c r="G118" s="102">
        <v>4.5397426676428133E-2</v>
      </c>
      <c r="H118" s="92">
        <f>G118*H$135</f>
        <v>412.27039870749212</v>
      </c>
      <c r="I118" s="241"/>
      <c r="J118" s="92">
        <f>G118*J$135</f>
        <v>405.51060145531045</v>
      </c>
      <c r="K118" s="106"/>
      <c r="L118" s="92">
        <f>G118*L$135</f>
        <v>429.8010789789912</v>
      </c>
      <c r="M118" s="106"/>
      <c r="N118" s="92">
        <f>G118*N$135</f>
        <v>434.79743562413739</v>
      </c>
    </row>
    <row r="119" spans="1:14" x14ac:dyDescent="0.25">
      <c r="A119" s="181" t="s">
        <v>10</v>
      </c>
      <c r="B119" s="182" t="s">
        <v>130</v>
      </c>
      <c r="C119" s="193">
        <f>SUM(C120:C122)</f>
        <v>8.6499999999999994E-2</v>
      </c>
      <c r="D119" s="233">
        <f>(D135+D118+D117)*(C119/IF(C115="Lucro presumido",91.45%,85.75%))</f>
        <v>912.6687772466538</v>
      </c>
      <c r="E119" s="83">
        <f>(E$135+E$118+E$117)*($C119/IF($C115="Lucro presumido",91.45%,85.75%))</f>
        <v>943.20711766379952</v>
      </c>
      <c r="F119" s="83">
        <f>(F$135+F$118+F$117)*($C119/IF($C115="Lucro presumido",91.45%,85.75%))</f>
        <v>944.03600850568648</v>
      </c>
      <c r="G119" s="102">
        <f>SUM(G120:G122)</f>
        <v>8.6499999999999994E-2</v>
      </c>
      <c r="H119" s="92">
        <f>(H$135+H$118+H$117)*(G119/IF(G115="Lucro presumido",91.45%,85.75%))</f>
        <v>940.9250513664465</v>
      </c>
      <c r="I119" s="241"/>
      <c r="J119" s="92">
        <f>(J$135+J$118+J$117)*(G119/IF(J115="Lucro presumido",91.45%,85.75%))</f>
        <v>925.49716084440934</v>
      </c>
      <c r="K119" s="106"/>
      <c r="L119" s="92">
        <f>(L$135+L$118+L$117)*(G119/IF(L115="Lucro presumido",91.45%,85.75%))</f>
        <v>980.93533657407363</v>
      </c>
      <c r="M119" s="106"/>
      <c r="N119" s="92">
        <f>(N$135+N$118+N$117)*(G119/IF(N115="Lucro presumido",91.45%,85.75%))</f>
        <v>992.33852522821428</v>
      </c>
    </row>
    <row r="120" spans="1:14" x14ac:dyDescent="0.25">
      <c r="A120" s="181" t="s">
        <v>125</v>
      </c>
      <c r="B120" s="182" t="s">
        <v>124</v>
      </c>
      <c r="C120" s="193">
        <f>IF(C115="Lucro presumido",0.65%,1.65%)</f>
        <v>6.5000000000000006E-3</v>
      </c>
      <c r="D120" s="219" t="s">
        <v>123</v>
      </c>
      <c r="E120" s="83" t="s">
        <v>123</v>
      </c>
      <c r="F120" s="83" t="s">
        <v>123</v>
      </c>
      <c r="G120" s="102">
        <f>IF(G115="Lucro presumido",0.65%,1.65%)</f>
        <v>6.5000000000000006E-3</v>
      </c>
      <c r="H120" s="92" t="s">
        <v>123</v>
      </c>
      <c r="I120" s="241"/>
      <c r="J120" s="92" t="s">
        <v>123</v>
      </c>
      <c r="K120" s="106"/>
      <c r="L120" s="92" t="s">
        <v>123</v>
      </c>
      <c r="M120" s="106"/>
      <c r="N120" s="92" t="s">
        <v>123</v>
      </c>
    </row>
    <row r="121" spans="1:14" x14ac:dyDescent="0.25">
      <c r="A121" s="181" t="s">
        <v>127</v>
      </c>
      <c r="B121" s="182" t="s">
        <v>126</v>
      </c>
      <c r="C121" s="193">
        <f>IF(C115="Lucro presumido",3%,7.6%)</f>
        <v>0.03</v>
      </c>
      <c r="D121" s="219" t="s">
        <v>123</v>
      </c>
      <c r="E121" s="83" t="s">
        <v>123</v>
      </c>
      <c r="F121" s="83" t="s">
        <v>123</v>
      </c>
      <c r="G121" s="102">
        <f>IF(G115="Lucro presumido",3%,7.6%)</f>
        <v>0.03</v>
      </c>
      <c r="H121" s="92" t="s">
        <v>123</v>
      </c>
      <c r="I121" s="241"/>
      <c r="J121" s="92" t="s">
        <v>123</v>
      </c>
      <c r="K121" s="106"/>
      <c r="L121" s="92" t="s">
        <v>123</v>
      </c>
      <c r="M121" s="106"/>
      <c r="N121" s="92" t="s">
        <v>123</v>
      </c>
    </row>
    <row r="122" spans="1:14" x14ac:dyDescent="0.25">
      <c r="A122" s="181" t="s">
        <v>129</v>
      </c>
      <c r="B122" s="182" t="s">
        <v>128</v>
      </c>
      <c r="C122" s="193">
        <v>0.05</v>
      </c>
      <c r="D122" s="219" t="s">
        <v>123</v>
      </c>
      <c r="E122" s="83" t="s">
        <v>123</v>
      </c>
      <c r="F122" s="83" t="s">
        <v>123</v>
      </c>
      <c r="G122" s="102">
        <v>0.05</v>
      </c>
      <c r="H122" s="92" t="s">
        <v>123</v>
      </c>
      <c r="I122" s="241"/>
      <c r="J122" s="92" t="s">
        <v>123</v>
      </c>
      <c r="K122" s="106"/>
      <c r="L122" s="92" t="s">
        <v>123</v>
      </c>
      <c r="M122" s="106"/>
      <c r="N122" s="92" t="s">
        <v>123</v>
      </c>
    </row>
    <row r="123" spans="1:14" ht="30" x14ac:dyDescent="0.25">
      <c r="A123" s="161" t="s">
        <v>12</v>
      </c>
      <c r="B123" s="163" t="s">
        <v>132</v>
      </c>
      <c r="C123" s="243">
        <v>4.4999999999999998E-2</v>
      </c>
      <c r="D123" s="244">
        <f>(D135+D118+D117)*(C123/IF(C115="Lucro presumido",91.45%,85.75%))</f>
        <v>474.79878585086038</v>
      </c>
      <c r="E123" s="83">
        <f>(E$135+E$118+E$117)*($C123/IF($C115="Lucro presumido",91.45%,85.75%))</f>
        <v>490.68578375573389</v>
      </c>
      <c r="F123" s="83">
        <f>(F$135+F$118+F$117)*($C123/IF($C115="Lucro presumido",91.45%,85.75%))</f>
        <v>491.11699864457682</v>
      </c>
      <c r="G123" s="102">
        <v>4.4999999999999998E-2</v>
      </c>
      <c r="H123" s="92">
        <f>(H$135+H$118+H$117)*(G123/IF(G115="Lucro presumido",91.45%,85.75%))</f>
        <v>489.49858163572367</v>
      </c>
      <c r="I123" s="241"/>
      <c r="J123" s="92">
        <f>(J$135+J$118+J$117)*(G123/IF(J115="Lucro presumido",91.45%,85.75%))</f>
        <v>481.47251142194705</v>
      </c>
      <c r="K123" s="106"/>
      <c r="L123" s="92">
        <f>(L$135+L$118+L$117)*(G123/IF(L115="Lucro presumido",91.45%,85.75%))</f>
        <v>510.31318087668575</v>
      </c>
      <c r="M123" s="106"/>
      <c r="N123" s="92">
        <f>(N$135+N$118+N$117)*(G123/IF(N115="Lucro presumido",91.45%,85.75%))</f>
        <v>516.24547555225024</v>
      </c>
    </row>
    <row r="124" spans="1:14" x14ac:dyDescent="0.25">
      <c r="A124" s="466" t="s">
        <v>18</v>
      </c>
      <c r="B124" s="467"/>
      <c r="C124" s="193">
        <f>SUM(C117:C119)+(C123)</f>
        <v>0.22690559957447876</v>
      </c>
      <c r="D124" s="233">
        <f>SUM(D117:D119)+D123</f>
        <v>2227.8552957732522</v>
      </c>
      <c r="E124" s="83">
        <f>SUM(E117:E119)+E123</f>
        <v>2302.4004156662686</v>
      </c>
      <c r="F124" s="83">
        <f>SUM(F117:F119)+F123</f>
        <v>2304.423766193594</v>
      </c>
      <c r="G124" s="246">
        <f>SUM(G117:G119)+(G123)</f>
        <v>0.22689742667642815</v>
      </c>
      <c r="H124" s="92">
        <f>SUM(H117:H119)+H123</f>
        <v>2296.7620581266274</v>
      </c>
      <c r="I124" s="241"/>
      <c r="J124" s="92">
        <f>SUM(J117:J119)+J123</f>
        <v>2259.1031675099011</v>
      </c>
      <c r="K124" s="106"/>
      <c r="L124" s="92">
        <f>SUM(L117:L119)+L123</f>
        <v>2394.4256338452792</v>
      </c>
      <c r="M124" s="106"/>
      <c r="N124" s="92">
        <f>SUM(N117:N119)+N123</f>
        <v>2422.260381155339</v>
      </c>
    </row>
    <row r="125" spans="1:14" x14ac:dyDescent="0.25">
      <c r="A125" s="468" t="s">
        <v>81</v>
      </c>
      <c r="B125" s="469"/>
      <c r="C125" s="469"/>
      <c r="D125" s="470"/>
      <c r="E125" s="115"/>
      <c r="F125" s="115"/>
      <c r="G125" s="159"/>
      <c r="H125" s="160"/>
      <c r="I125" s="159"/>
      <c r="J125" s="160"/>
      <c r="K125" s="170"/>
      <c r="L125" s="371"/>
      <c r="M125" s="170"/>
      <c r="N125" s="371"/>
    </row>
    <row r="126" spans="1:14" x14ac:dyDescent="0.25">
      <c r="A126" s="468" t="s">
        <v>131</v>
      </c>
      <c r="B126" s="469"/>
      <c r="C126" s="469"/>
      <c r="D126" s="470"/>
      <c r="E126" s="115"/>
      <c r="F126" s="115"/>
      <c r="G126" s="159"/>
      <c r="H126" s="160"/>
      <c r="I126" s="159"/>
      <c r="J126" s="160"/>
      <c r="K126" s="170"/>
      <c r="L126" s="371"/>
      <c r="M126" s="170"/>
      <c r="N126" s="371"/>
    </row>
    <row r="127" spans="1:14" x14ac:dyDescent="0.25">
      <c r="A127" s="229"/>
      <c r="B127" s="182"/>
      <c r="C127" s="182"/>
      <c r="D127" s="230"/>
      <c r="E127" s="115"/>
      <c r="F127" s="115"/>
      <c r="G127" s="159"/>
      <c r="H127" s="160"/>
      <c r="I127" s="159"/>
      <c r="J127" s="160"/>
      <c r="K127" s="170"/>
      <c r="L127" s="371"/>
      <c r="M127" s="170"/>
      <c r="N127" s="371"/>
    </row>
    <row r="128" spans="1:14" x14ac:dyDescent="0.25">
      <c r="A128" s="481" t="s">
        <v>117</v>
      </c>
      <c r="B128" s="482"/>
      <c r="C128" s="482"/>
      <c r="D128" s="483"/>
      <c r="E128" s="115"/>
      <c r="F128" s="115"/>
      <c r="G128" s="159"/>
      <c r="H128" s="160"/>
      <c r="I128" s="159"/>
      <c r="J128" s="160"/>
      <c r="K128" s="170"/>
      <c r="L128" s="371"/>
      <c r="M128" s="170"/>
      <c r="N128" s="371"/>
    </row>
    <row r="129" spans="1:14" ht="30" x14ac:dyDescent="0.25">
      <c r="A129" s="466" t="s">
        <v>82</v>
      </c>
      <c r="B129" s="467"/>
      <c r="C129" s="467"/>
      <c r="D129" s="93" t="s">
        <v>75</v>
      </c>
      <c r="E129" s="169" t="s">
        <v>167</v>
      </c>
      <c r="F129" s="169" t="s">
        <v>168</v>
      </c>
      <c r="G129" s="159"/>
      <c r="H129" s="171" t="s">
        <v>210</v>
      </c>
      <c r="I129" s="159"/>
      <c r="J129" s="171" t="s">
        <v>209</v>
      </c>
      <c r="K129" s="170"/>
      <c r="L129" s="378" t="s">
        <v>209</v>
      </c>
      <c r="M129" s="170"/>
      <c r="N129" s="378" t="s">
        <v>209</v>
      </c>
    </row>
    <row r="130" spans="1:14" x14ac:dyDescent="0.25">
      <c r="A130" s="161" t="s">
        <v>6</v>
      </c>
      <c r="B130" s="474" t="s">
        <v>76</v>
      </c>
      <c r="C130" s="474"/>
      <c r="D130" s="218">
        <f>D19</f>
        <v>5699.63</v>
      </c>
      <c r="E130" s="83">
        <f>E19</f>
        <v>5896.2672350000003</v>
      </c>
      <c r="F130" s="83">
        <f>F19</f>
        <v>5896.2672350000003</v>
      </c>
      <c r="G130" s="159"/>
      <c r="H130" s="92">
        <f>H19</f>
        <v>5896.2672350000003</v>
      </c>
      <c r="I130" s="159"/>
      <c r="J130" s="92">
        <f>J19</f>
        <v>5896.2672350000003</v>
      </c>
      <c r="K130" s="170"/>
      <c r="L130" s="92">
        <f>L19</f>
        <v>6250.0432691000005</v>
      </c>
      <c r="M130" s="170"/>
      <c r="N130" s="92">
        <f>N19</f>
        <v>6367.9686138000006</v>
      </c>
    </row>
    <row r="131" spans="1:14" x14ac:dyDescent="0.25">
      <c r="A131" s="161" t="s">
        <v>8</v>
      </c>
      <c r="B131" s="474" t="s">
        <v>20</v>
      </c>
      <c r="C131" s="474"/>
      <c r="D131" s="218">
        <f>D65</f>
        <v>2603.5433074909088</v>
      </c>
      <c r="E131" s="83">
        <f>E65</f>
        <v>2684.2089065993455</v>
      </c>
      <c r="F131" s="83">
        <f>F65</f>
        <v>2692.2089065993455</v>
      </c>
      <c r="G131" s="159"/>
      <c r="H131" s="92">
        <f>H65</f>
        <v>2663.0016735988484</v>
      </c>
      <c r="I131" s="159"/>
      <c r="J131" s="92">
        <f>J65</f>
        <v>2663.0016735988484</v>
      </c>
      <c r="K131" s="170"/>
      <c r="L131" s="92">
        <f>L65</f>
        <v>2821.8971740147799</v>
      </c>
      <c r="M131" s="170"/>
      <c r="N131" s="92">
        <f>N65</f>
        <v>2806.5661966756365</v>
      </c>
    </row>
    <row r="132" spans="1:14" x14ac:dyDescent="0.25">
      <c r="A132" s="161" t="s">
        <v>10</v>
      </c>
      <c r="B132" s="474" t="s">
        <v>77</v>
      </c>
      <c r="C132" s="474"/>
      <c r="D132" s="218">
        <f>D76</f>
        <v>433.71021677023572</v>
      </c>
      <c r="E132" s="83">
        <f>E76</f>
        <v>448.67321924880889</v>
      </c>
      <c r="F132" s="83">
        <f>F76</f>
        <v>448.67321924880889</v>
      </c>
      <c r="G132" s="159"/>
      <c r="H132" s="92">
        <f>H76</f>
        <v>447.94974527379918</v>
      </c>
      <c r="I132" s="159"/>
      <c r="J132" s="92">
        <f>J76</f>
        <v>299.04709269918538</v>
      </c>
      <c r="K132" s="170"/>
      <c r="L132" s="92">
        <f>L76</f>
        <v>316.98991826113649</v>
      </c>
      <c r="M132" s="170"/>
      <c r="N132" s="92">
        <f>N76</f>
        <v>322.97086011512027</v>
      </c>
    </row>
    <row r="133" spans="1:14" x14ac:dyDescent="0.25">
      <c r="A133" s="161" t="s">
        <v>12</v>
      </c>
      <c r="B133" s="474" t="s">
        <v>52</v>
      </c>
      <c r="C133" s="474"/>
      <c r="D133" s="218">
        <f>D103</f>
        <v>71.695179965601113</v>
      </c>
      <c r="E133" s="83">
        <f>E103</f>
        <v>74.168663674414347</v>
      </c>
      <c r="F133" s="83">
        <f>F103</f>
        <v>74.168663674414347</v>
      </c>
      <c r="G133" s="159"/>
      <c r="H133" s="92">
        <f>H103</f>
        <v>74.141874466653988</v>
      </c>
      <c r="I133" s="159"/>
      <c r="J133" s="92">
        <f>J103</f>
        <v>74.141874466653988</v>
      </c>
      <c r="K133" s="170"/>
      <c r="L133" s="92">
        <f>L103</f>
        <v>78.590386934653239</v>
      </c>
      <c r="M133" s="170"/>
      <c r="N133" s="92">
        <f>N103</f>
        <v>80.073224423986304</v>
      </c>
    </row>
    <row r="134" spans="1:14" x14ac:dyDescent="0.25">
      <c r="A134" s="161" t="s">
        <v>14</v>
      </c>
      <c r="B134" s="474" t="s">
        <v>66</v>
      </c>
      <c r="C134" s="474"/>
      <c r="D134" s="218">
        <f>D111</f>
        <v>0</v>
      </c>
      <c r="E134" s="83">
        <f>E111</f>
        <v>0</v>
      </c>
      <c r="F134" s="83">
        <f>F111</f>
        <v>0</v>
      </c>
      <c r="G134" s="159"/>
      <c r="H134" s="92">
        <f>H111</f>
        <v>0</v>
      </c>
      <c r="I134" s="159"/>
      <c r="J134" s="92">
        <f>J111</f>
        <v>0</v>
      </c>
      <c r="K134" s="170"/>
      <c r="L134" s="92">
        <f>L111</f>
        <v>0</v>
      </c>
      <c r="M134" s="170"/>
      <c r="N134" s="92">
        <f>N111</f>
        <v>0</v>
      </c>
    </row>
    <row r="135" spans="1:14" x14ac:dyDescent="0.25">
      <c r="A135" s="466" t="s">
        <v>78</v>
      </c>
      <c r="B135" s="467"/>
      <c r="C135" s="467"/>
      <c r="D135" s="218">
        <f>SUM(D130:D134)</f>
        <v>8808.5787042267475</v>
      </c>
      <c r="E135" s="83">
        <f>SUM(E130:E134)</f>
        <v>9103.3180245225685</v>
      </c>
      <c r="F135" s="83">
        <f>SUM(F130:F134)</f>
        <v>9111.3180245225685</v>
      </c>
      <c r="G135" s="159"/>
      <c r="H135" s="92">
        <f>SUM(H130:H134)</f>
        <v>9081.3605283393026</v>
      </c>
      <c r="I135" s="159"/>
      <c r="J135" s="92">
        <f>SUM(J130:J134)</f>
        <v>8932.4578757646887</v>
      </c>
      <c r="K135" s="170"/>
      <c r="L135" s="92">
        <f>SUM(L130:L134)</f>
        <v>9467.5207483105714</v>
      </c>
      <c r="M135" s="170"/>
      <c r="N135" s="92">
        <f>SUM(N130:N134)</f>
        <v>9577.5788950147435</v>
      </c>
    </row>
    <row r="136" spans="1:14" x14ac:dyDescent="0.25">
      <c r="A136" s="181" t="s">
        <v>16</v>
      </c>
      <c r="B136" s="475" t="s">
        <v>71</v>
      </c>
      <c r="C136" s="475"/>
      <c r="D136" s="218">
        <f>D124</f>
        <v>2227.8552957732522</v>
      </c>
      <c r="E136" s="83">
        <f>E124</f>
        <v>2302.4004156662686</v>
      </c>
      <c r="F136" s="83">
        <f>F124</f>
        <v>2304.423766193594</v>
      </c>
      <c r="G136" s="159"/>
      <c r="H136" s="92">
        <f>H124</f>
        <v>2296.7620581266274</v>
      </c>
      <c r="I136" s="159"/>
      <c r="J136" s="92">
        <f>J124</f>
        <v>2259.1031675099011</v>
      </c>
      <c r="K136" s="170"/>
      <c r="L136" s="92">
        <f>L124</f>
        <v>2394.4256338452792</v>
      </c>
      <c r="M136" s="170"/>
      <c r="N136" s="92">
        <f>N124</f>
        <v>2422.260381155339</v>
      </c>
    </row>
    <row r="137" spans="1:14" ht="15.75" thickBot="1" x14ac:dyDescent="0.3">
      <c r="A137" s="485" t="s">
        <v>79</v>
      </c>
      <c r="B137" s="486"/>
      <c r="C137" s="486"/>
      <c r="D137" s="236">
        <f>SUM(D135:D136)</f>
        <v>11036.433999999999</v>
      </c>
      <c r="E137" s="213">
        <f>SUM(E135:E136)</f>
        <v>11405.718440188837</v>
      </c>
      <c r="F137" s="213">
        <f>SUM(F135:F136)</f>
        <v>11415.741790716162</v>
      </c>
      <c r="G137" s="248"/>
      <c r="H137" s="215">
        <f>SUM(H135:H136)</f>
        <v>11378.12258646593</v>
      </c>
      <c r="I137" s="248"/>
      <c r="J137" s="215">
        <f>SUM(J135:J136)</f>
        <v>11191.561043274589</v>
      </c>
      <c r="K137" s="214"/>
      <c r="L137" s="215">
        <f>SUM(L135:L136)</f>
        <v>11861.946382155851</v>
      </c>
      <c r="M137" s="214"/>
      <c r="N137" s="215">
        <f>SUM(N135:N136)</f>
        <v>11999.839276170082</v>
      </c>
    </row>
  </sheetData>
  <mergeCells count="112">
    <mergeCell ref="K1:N3"/>
    <mergeCell ref="K4:L4"/>
    <mergeCell ref="M4:N4"/>
    <mergeCell ref="K5:L5"/>
    <mergeCell ref="M5:N5"/>
    <mergeCell ref="G4:H4"/>
    <mergeCell ref="I4:J4"/>
    <mergeCell ref="G5:H5"/>
    <mergeCell ref="I5:J5"/>
    <mergeCell ref="K10:L10"/>
    <mergeCell ref="M10:N10"/>
    <mergeCell ref="I10:J10"/>
    <mergeCell ref="K6:L6"/>
    <mergeCell ref="M6:N6"/>
    <mergeCell ref="K7:L7"/>
    <mergeCell ref="M7:N7"/>
    <mergeCell ref="K8:L8"/>
    <mergeCell ref="M8:N8"/>
    <mergeCell ref="I9:J9"/>
    <mergeCell ref="K9:L9"/>
    <mergeCell ref="M9:N9"/>
    <mergeCell ref="G115:H115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B12:C12"/>
    <mergeCell ref="B13:C13"/>
    <mergeCell ref="I8:J8"/>
    <mergeCell ref="G9:H9"/>
    <mergeCell ref="I6:J6"/>
    <mergeCell ref="G7:H7"/>
    <mergeCell ref="I7:J7"/>
    <mergeCell ref="G10:H10"/>
    <mergeCell ref="C4:D4"/>
    <mergeCell ref="C5:D5"/>
    <mergeCell ref="C6:D6"/>
    <mergeCell ref="C7:D7"/>
    <mergeCell ref="C8:D8"/>
    <mergeCell ref="C9:D9"/>
    <mergeCell ref="A11:D11"/>
    <mergeCell ref="A10:D10"/>
    <mergeCell ref="E1:J3"/>
    <mergeCell ref="A1:D2"/>
    <mergeCell ref="G8:H8"/>
    <mergeCell ref="G6:H6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</mergeCells>
  <dataValidations disablePrompts="1" count="1">
    <dataValidation type="list" allowBlank="1" showInputMessage="1" showErrorMessage="1" sqref="C115:G115 I115:N115" xr:uid="{36B5A28C-665F-4613-A4A5-F6578844C17F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7"/>
  <sheetViews>
    <sheetView topLeftCell="A16" workbookViewId="0">
      <selection activeCell="B36" sqref="B36"/>
    </sheetView>
  </sheetViews>
  <sheetFormatPr defaultRowHeight="15" x14ac:dyDescent="0.25"/>
  <cols>
    <col min="1" max="1" width="9.140625" style="216"/>
    <col min="2" max="2" width="46.42578125" style="217" customWidth="1"/>
    <col min="3" max="3" width="17.7109375" style="217" customWidth="1"/>
    <col min="4" max="4" width="17" style="216" customWidth="1"/>
    <col min="5" max="9" width="20.7109375" style="216" customWidth="1"/>
    <col min="10" max="10" width="14.140625" bestFit="1" customWidth="1"/>
    <col min="11" max="11" width="20.5703125" bestFit="1" customWidth="1"/>
  </cols>
  <sheetData>
    <row r="1" spans="1:11" x14ac:dyDescent="0.25">
      <c r="A1" s="495" t="s">
        <v>98</v>
      </c>
      <c r="B1" s="496"/>
      <c r="C1" s="496"/>
      <c r="D1" s="570"/>
      <c r="E1" s="445" t="s">
        <v>225</v>
      </c>
      <c r="F1" s="451"/>
      <c r="G1" s="451"/>
      <c r="H1" s="451"/>
      <c r="I1" s="446"/>
      <c r="J1" s="445" t="s">
        <v>267</v>
      </c>
      <c r="K1" s="451"/>
    </row>
    <row r="2" spans="1:11" x14ac:dyDescent="0.25">
      <c r="A2" s="497"/>
      <c r="B2" s="498"/>
      <c r="C2" s="498"/>
      <c r="D2" s="571"/>
      <c r="E2" s="452"/>
      <c r="F2" s="453"/>
      <c r="G2" s="453"/>
      <c r="H2" s="453"/>
      <c r="I2" s="454"/>
      <c r="J2" s="452"/>
      <c r="K2" s="453"/>
    </row>
    <row r="3" spans="1:11" ht="15.75" thickBot="1" x14ac:dyDescent="0.3">
      <c r="A3" s="466" t="s">
        <v>0</v>
      </c>
      <c r="B3" s="467"/>
      <c r="C3" s="467"/>
      <c r="D3" s="484"/>
      <c r="E3" s="576"/>
      <c r="F3" s="577"/>
      <c r="G3" s="577"/>
      <c r="H3" s="577"/>
      <c r="I3" s="578"/>
      <c r="J3" s="576"/>
      <c r="K3" s="577"/>
    </row>
    <row r="4" spans="1:11" ht="30" x14ac:dyDescent="0.25">
      <c r="A4" s="161">
        <v>1</v>
      </c>
      <c r="B4" s="162" t="s">
        <v>1</v>
      </c>
      <c r="C4" s="512" t="s">
        <v>145</v>
      </c>
      <c r="D4" s="569"/>
      <c r="E4" s="114" t="s">
        <v>145</v>
      </c>
      <c r="F4" s="574" t="s">
        <v>145</v>
      </c>
      <c r="G4" s="575"/>
      <c r="H4" s="574" t="s">
        <v>145</v>
      </c>
      <c r="I4" s="575"/>
      <c r="J4" s="574" t="s">
        <v>145</v>
      </c>
      <c r="K4" s="575"/>
    </row>
    <row r="5" spans="1:11" x14ac:dyDescent="0.25">
      <c r="A5" s="159">
        <v>2</v>
      </c>
      <c r="B5" s="163" t="s">
        <v>2</v>
      </c>
      <c r="C5" s="491"/>
      <c r="D5" s="433"/>
      <c r="E5" s="115"/>
      <c r="F5" s="159"/>
      <c r="G5" s="160"/>
      <c r="H5" s="159"/>
      <c r="I5" s="160"/>
      <c r="J5" s="370"/>
      <c r="K5" s="371"/>
    </row>
    <row r="6" spans="1:11" x14ac:dyDescent="0.25">
      <c r="A6" s="159">
        <v>3</v>
      </c>
      <c r="B6" s="163" t="s">
        <v>100</v>
      </c>
      <c r="C6" s="492">
        <v>6222.56</v>
      </c>
      <c r="D6" s="448"/>
      <c r="E6" s="85">
        <f>C6*1.041</f>
        <v>6477.6849599999996</v>
      </c>
      <c r="F6" s="152"/>
      <c r="G6" s="153">
        <f>E6*1.1</f>
        <v>7125.4534560000002</v>
      </c>
      <c r="H6" s="152"/>
      <c r="I6" s="153">
        <f>G6</f>
        <v>7125.4534560000002</v>
      </c>
      <c r="J6" s="374"/>
      <c r="K6" s="375">
        <f>I6*1.0579</f>
        <v>7538.0172111024003</v>
      </c>
    </row>
    <row r="7" spans="1:11" ht="30" x14ac:dyDescent="0.25">
      <c r="A7" s="159">
        <v>4</v>
      </c>
      <c r="B7" s="163" t="s">
        <v>101</v>
      </c>
      <c r="C7" s="493" t="s">
        <v>157</v>
      </c>
      <c r="D7" s="450"/>
      <c r="E7" s="104" t="s">
        <v>157</v>
      </c>
      <c r="F7" s="154"/>
      <c r="G7" s="155" t="s">
        <v>157</v>
      </c>
      <c r="H7" s="154"/>
      <c r="I7" s="155" t="s">
        <v>157</v>
      </c>
      <c r="J7" s="372"/>
      <c r="K7" s="373" t="s">
        <v>157</v>
      </c>
    </row>
    <row r="8" spans="1:11" x14ac:dyDescent="0.25">
      <c r="A8" s="159">
        <v>5</v>
      </c>
      <c r="B8" s="163" t="s">
        <v>3</v>
      </c>
      <c r="C8" s="494">
        <v>43831</v>
      </c>
      <c r="D8" s="433"/>
      <c r="E8" s="86">
        <v>44197</v>
      </c>
      <c r="F8" s="159"/>
      <c r="G8" s="150">
        <v>44562</v>
      </c>
      <c r="H8" s="159"/>
      <c r="I8" s="150">
        <v>44562</v>
      </c>
      <c r="J8" s="370"/>
      <c r="K8" s="376">
        <v>44927</v>
      </c>
    </row>
    <row r="9" spans="1:11" x14ac:dyDescent="0.25">
      <c r="A9" s="159">
        <v>6</v>
      </c>
      <c r="B9" s="163" t="s">
        <v>102</v>
      </c>
      <c r="C9" s="494" t="s">
        <v>156</v>
      </c>
      <c r="D9" s="433"/>
      <c r="E9" s="86" t="s">
        <v>169</v>
      </c>
      <c r="F9" s="159"/>
      <c r="G9" s="150" t="s">
        <v>170</v>
      </c>
      <c r="H9" s="159"/>
      <c r="I9" s="150" t="s">
        <v>170</v>
      </c>
      <c r="J9" s="370"/>
      <c r="K9" s="376" t="s">
        <v>265</v>
      </c>
    </row>
    <row r="10" spans="1:11" x14ac:dyDescent="0.25">
      <c r="A10" s="173"/>
      <c r="B10" s="174"/>
      <c r="C10" s="174"/>
      <c r="D10" s="250"/>
      <c r="E10" s="115"/>
      <c r="F10" s="159"/>
      <c r="G10" s="160"/>
      <c r="H10" s="159"/>
      <c r="I10" s="160"/>
      <c r="J10" s="370"/>
      <c r="K10" s="371"/>
    </row>
    <row r="11" spans="1:11" ht="105" x14ac:dyDescent="0.25">
      <c r="A11" s="415" t="s">
        <v>76</v>
      </c>
      <c r="B11" s="416"/>
      <c r="C11" s="416"/>
      <c r="D11" s="487"/>
      <c r="E11" s="258" t="s">
        <v>238</v>
      </c>
      <c r="F11" s="259"/>
      <c r="G11" s="260" t="s">
        <v>237</v>
      </c>
      <c r="H11" s="259"/>
      <c r="I11" s="260" t="s">
        <v>229</v>
      </c>
      <c r="J11" s="259"/>
      <c r="K11" s="260" t="s">
        <v>272</v>
      </c>
    </row>
    <row r="12" spans="1:11" ht="30" x14ac:dyDescent="0.25">
      <c r="A12" s="187">
        <v>1</v>
      </c>
      <c r="B12" s="476" t="s">
        <v>4</v>
      </c>
      <c r="C12" s="476"/>
      <c r="D12" s="93" t="s">
        <v>5</v>
      </c>
      <c r="E12" s="169" t="s">
        <v>171</v>
      </c>
      <c r="F12" s="159"/>
      <c r="G12" s="171" t="s">
        <v>210</v>
      </c>
      <c r="H12" s="159"/>
      <c r="I12" s="171" t="s">
        <v>215</v>
      </c>
      <c r="J12" s="370"/>
      <c r="K12" s="378" t="s">
        <v>266</v>
      </c>
    </row>
    <row r="13" spans="1:11" x14ac:dyDescent="0.25">
      <c r="A13" s="181" t="s">
        <v>6</v>
      </c>
      <c r="B13" s="475" t="s">
        <v>7</v>
      </c>
      <c r="C13" s="475"/>
      <c r="D13" s="92">
        <f>C6</f>
        <v>6222.56</v>
      </c>
      <c r="E13" s="83">
        <f>E6</f>
        <v>6477.6849599999996</v>
      </c>
      <c r="F13" s="159"/>
      <c r="G13" s="92">
        <f>G6</f>
        <v>7125.4534560000002</v>
      </c>
      <c r="H13" s="159"/>
      <c r="I13" s="92">
        <f>I6</f>
        <v>7125.4534560000002</v>
      </c>
      <c r="J13" s="370"/>
      <c r="K13" s="92">
        <f>K6</f>
        <v>7538.0172111024003</v>
      </c>
    </row>
    <row r="14" spans="1:11" x14ac:dyDescent="0.25">
      <c r="A14" s="181" t="s">
        <v>8</v>
      </c>
      <c r="B14" s="475" t="s">
        <v>9</v>
      </c>
      <c r="C14" s="475"/>
      <c r="D14" s="242">
        <v>0</v>
      </c>
      <c r="E14" s="83">
        <v>0</v>
      </c>
      <c r="F14" s="159"/>
      <c r="G14" s="92">
        <v>0</v>
      </c>
      <c r="H14" s="159"/>
      <c r="I14" s="92">
        <v>0</v>
      </c>
      <c r="J14" s="370"/>
      <c r="K14" s="92">
        <v>0</v>
      </c>
    </row>
    <row r="15" spans="1:11" x14ac:dyDescent="0.25">
      <c r="A15" s="181" t="s">
        <v>10</v>
      </c>
      <c r="B15" s="475" t="s">
        <v>11</v>
      </c>
      <c r="C15" s="475"/>
      <c r="D15" s="242">
        <v>0</v>
      </c>
      <c r="E15" s="83">
        <v>0</v>
      </c>
      <c r="F15" s="159"/>
      <c r="G15" s="92">
        <v>0</v>
      </c>
      <c r="H15" s="159"/>
      <c r="I15" s="92">
        <v>0</v>
      </c>
      <c r="J15" s="370"/>
      <c r="K15" s="92">
        <v>0</v>
      </c>
    </row>
    <row r="16" spans="1:11" x14ac:dyDescent="0.25">
      <c r="A16" s="181" t="s">
        <v>12</v>
      </c>
      <c r="B16" s="475" t="s">
        <v>13</v>
      </c>
      <c r="C16" s="475"/>
      <c r="D16" s="242">
        <v>0</v>
      </c>
      <c r="E16" s="83">
        <v>0</v>
      </c>
      <c r="F16" s="159"/>
      <c r="G16" s="92">
        <v>0</v>
      </c>
      <c r="H16" s="159"/>
      <c r="I16" s="92">
        <v>0</v>
      </c>
      <c r="J16" s="370"/>
      <c r="K16" s="92">
        <v>0</v>
      </c>
    </row>
    <row r="17" spans="1:11" x14ac:dyDescent="0.25">
      <c r="A17" s="181" t="s">
        <v>14</v>
      </c>
      <c r="B17" s="475" t="s">
        <v>15</v>
      </c>
      <c r="C17" s="475"/>
      <c r="D17" s="242">
        <v>0</v>
      </c>
      <c r="E17" s="83">
        <v>0</v>
      </c>
      <c r="F17" s="159"/>
      <c r="G17" s="92">
        <v>0</v>
      </c>
      <c r="H17" s="159"/>
      <c r="I17" s="92">
        <v>0</v>
      </c>
      <c r="J17" s="370"/>
      <c r="K17" s="92">
        <v>0</v>
      </c>
    </row>
    <row r="18" spans="1:11" x14ac:dyDescent="0.25">
      <c r="A18" s="181" t="s">
        <v>16</v>
      </c>
      <c r="B18" s="475" t="s">
        <v>17</v>
      </c>
      <c r="C18" s="475"/>
      <c r="D18" s="242">
        <v>0</v>
      </c>
      <c r="E18" s="83">
        <v>0</v>
      </c>
      <c r="F18" s="159"/>
      <c r="G18" s="92">
        <v>0</v>
      </c>
      <c r="H18" s="159"/>
      <c r="I18" s="92">
        <v>0</v>
      </c>
      <c r="J18" s="370"/>
      <c r="K18" s="92">
        <v>0</v>
      </c>
    </row>
    <row r="19" spans="1:11" x14ac:dyDescent="0.25">
      <c r="A19" s="466" t="s">
        <v>18</v>
      </c>
      <c r="B19" s="467"/>
      <c r="C19" s="467"/>
      <c r="D19" s="92">
        <f>SUM(D13:D18)</f>
        <v>6222.56</v>
      </c>
      <c r="E19" s="83">
        <f t="shared" ref="E19" si="0">SUM(E13:E18)</f>
        <v>6477.6849599999996</v>
      </c>
      <c r="F19" s="159"/>
      <c r="G19" s="92">
        <f t="shared" ref="G19" si="1">SUM(G13:G18)</f>
        <v>7125.4534560000002</v>
      </c>
      <c r="H19" s="159"/>
      <c r="I19" s="92">
        <f t="shared" ref="I19:K19" si="2">SUM(I13:I18)</f>
        <v>7125.4534560000002</v>
      </c>
      <c r="J19" s="370"/>
      <c r="K19" s="92">
        <f t="shared" si="2"/>
        <v>7538.0172111024003</v>
      </c>
    </row>
    <row r="20" spans="1:11" x14ac:dyDescent="0.25">
      <c r="A20" s="510" t="s">
        <v>19</v>
      </c>
      <c r="B20" s="511"/>
      <c r="C20" s="511"/>
      <c r="D20" s="573"/>
      <c r="E20" s="115"/>
      <c r="F20" s="159"/>
      <c r="G20" s="160"/>
      <c r="H20" s="159"/>
      <c r="I20" s="160"/>
      <c r="J20" s="370"/>
      <c r="K20" s="371"/>
    </row>
    <row r="21" spans="1:11" x14ac:dyDescent="0.25">
      <c r="A21" s="173"/>
      <c r="B21" s="174"/>
      <c r="C21" s="174"/>
      <c r="D21" s="250"/>
      <c r="E21" s="115"/>
      <c r="F21" s="159"/>
      <c r="G21" s="160"/>
      <c r="H21" s="159"/>
      <c r="I21" s="160"/>
      <c r="J21" s="370"/>
      <c r="K21" s="371"/>
    </row>
    <row r="22" spans="1:11" x14ac:dyDescent="0.25">
      <c r="A22" s="466" t="s">
        <v>20</v>
      </c>
      <c r="B22" s="467"/>
      <c r="C22" s="467"/>
      <c r="D22" s="484"/>
      <c r="E22" s="115"/>
      <c r="F22" s="159"/>
      <c r="G22" s="160"/>
      <c r="H22" s="159"/>
      <c r="I22" s="160"/>
      <c r="J22" s="370"/>
      <c r="K22" s="371"/>
    </row>
    <row r="23" spans="1:11" x14ac:dyDescent="0.25">
      <c r="A23" s="466" t="s">
        <v>164</v>
      </c>
      <c r="B23" s="467"/>
      <c r="C23" s="467"/>
      <c r="D23" s="484"/>
      <c r="E23" s="115"/>
      <c r="F23" s="159"/>
      <c r="G23" s="160"/>
      <c r="H23" s="159"/>
      <c r="I23" s="160"/>
      <c r="J23" s="370"/>
      <c r="K23" s="371"/>
    </row>
    <row r="24" spans="1:11" x14ac:dyDescent="0.25">
      <c r="A24" s="176" t="s">
        <v>21</v>
      </c>
      <c r="B24" s="177" t="s">
        <v>163</v>
      </c>
      <c r="C24" s="178" t="s">
        <v>26</v>
      </c>
      <c r="D24" s="171" t="s">
        <v>5</v>
      </c>
      <c r="E24" s="169" t="s">
        <v>5</v>
      </c>
      <c r="F24" s="245"/>
      <c r="G24" s="171" t="s">
        <v>5</v>
      </c>
      <c r="H24" s="245"/>
      <c r="I24" s="171" t="s">
        <v>5</v>
      </c>
      <c r="J24" s="245"/>
      <c r="K24" s="378" t="s">
        <v>5</v>
      </c>
    </row>
    <row r="25" spans="1:11" x14ac:dyDescent="0.25">
      <c r="A25" s="181" t="s">
        <v>6</v>
      </c>
      <c r="B25" s="182" t="s">
        <v>22</v>
      </c>
      <c r="C25" s="183">
        <f>(1/11)</f>
        <v>9.0909090909090912E-2</v>
      </c>
      <c r="D25" s="218">
        <f>C25*$D$19</f>
        <v>565.68727272727278</v>
      </c>
      <c r="E25" s="83">
        <f>$C25*E$19</f>
        <v>588.88045090909088</v>
      </c>
      <c r="F25" s="117"/>
      <c r="G25" s="92">
        <f>$C25*G$19</f>
        <v>647.76849600000003</v>
      </c>
      <c r="H25" s="117"/>
      <c r="I25" s="92">
        <f>$C25*I$19</f>
        <v>647.76849600000003</v>
      </c>
      <c r="J25" s="117"/>
      <c r="K25" s="92">
        <f>$C25*K$19</f>
        <v>685.27429191840008</v>
      </c>
    </row>
    <row r="26" spans="1:11" x14ac:dyDescent="0.25">
      <c r="A26" s="181" t="s">
        <v>8</v>
      </c>
      <c r="B26" s="182" t="s">
        <v>162</v>
      </c>
      <c r="C26" s="183">
        <f>((1/3)*(1/11))+1/11</f>
        <v>0.12121212121212122</v>
      </c>
      <c r="D26" s="218">
        <f>C26*$D$19</f>
        <v>754.24969696969708</v>
      </c>
      <c r="E26" s="83">
        <f>$C26*E$19</f>
        <v>785.17393454545447</v>
      </c>
      <c r="F26" s="117"/>
      <c r="G26" s="92">
        <f>$C26*G$19</f>
        <v>863.691328</v>
      </c>
      <c r="H26" s="117"/>
      <c r="I26" s="92">
        <f>$C26*I$19</f>
        <v>863.691328</v>
      </c>
      <c r="J26" s="117"/>
      <c r="K26" s="92">
        <f>$C26*K$19</f>
        <v>913.69905589120003</v>
      </c>
    </row>
    <row r="27" spans="1:11" x14ac:dyDescent="0.25">
      <c r="A27" s="466" t="s">
        <v>18</v>
      </c>
      <c r="B27" s="467"/>
      <c r="C27" s="186">
        <f>SUM(C25:C26)</f>
        <v>0.21212121212121213</v>
      </c>
      <c r="D27" s="218">
        <f>SUM(D25:D26)</f>
        <v>1319.9369696969698</v>
      </c>
      <c r="E27" s="83">
        <f>SUM(E25:E26)</f>
        <v>1374.0543854545454</v>
      </c>
      <c r="F27" s="117"/>
      <c r="G27" s="92">
        <f>SUM(G25:G26)</f>
        <v>1511.459824</v>
      </c>
      <c r="H27" s="117"/>
      <c r="I27" s="92">
        <f>SUM(I25:I26)</f>
        <v>1511.459824</v>
      </c>
      <c r="J27" s="117"/>
      <c r="K27" s="92">
        <f>SUM(K25:K26)</f>
        <v>1598.9733478096</v>
      </c>
    </row>
    <row r="28" spans="1:11" x14ac:dyDescent="0.25">
      <c r="A28" s="501" t="s">
        <v>103</v>
      </c>
      <c r="B28" s="502"/>
      <c r="C28" s="502"/>
      <c r="D28" s="572"/>
      <c r="E28" s="115"/>
      <c r="F28" s="159"/>
      <c r="G28" s="160"/>
      <c r="H28" s="159"/>
      <c r="I28" s="160"/>
      <c r="J28" s="370"/>
      <c r="K28" s="371"/>
    </row>
    <row r="29" spans="1:11" x14ac:dyDescent="0.25">
      <c r="A29" s="501" t="s">
        <v>104</v>
      </c>
      <c r="B29" s="502"/>
      <c r="C29" s="502"/>
      <c r="D29" s="572"/>
      <c r="E29" s="115"/>
      <c r="F29" s="159"/>
      <c r="G29" s="160"/>
      <c r="H29" s="159"/>
      <c r="I29" s="160"/>
      <c r="J29" s="370"/>
      <c r="K29" s="371"/>
    </row>
    <row r="30" spans="1:11" x14ac:dyDescent="0.25">
      <c r="A30" s="501" t="s">
        <v>105</v>
      </c>
      <c r="B30" s="502"/>
      <c r="C30" s="502"/>
      <c r="D30" s="572"/>
      <c r="E30" s="115"/>
      <c r="F30" s="159"/>
      <c r="G30" s="160"/>
      <c r="H30" s="159"/>
      <c r="I30" s="160"/>
      <c r="J30" s="370"/>
      <c r="K30" s="371"/>
    </row>
    <row r="31" spans="1:11" x14ac:dyDescent="0.25">
      <c r="A31" s="173"/>
      <c r="B31" s="174"/>
      <c r="C31" s="174"/>
      <c r="D31" s="250"/>
      <c r="E31" s="115"/>
      <c r="F31" s="159"/>
      <c r="G31" s="160"/>
      <c r="H31" s="159"/>
      <c r="I31" s="160"/>
      <c r="J31" s="370"/>
      <c r="K31" s="371"/>
    </row>
    <row r="32" spans="1:11" x14ac:dyDescent="0.25">
      <c r="A32" s="471" t="s">
        <v>23</v>
      </c>
      <c r="B32" s="472"/>
      <c r="C32" s="472"/>
      <c r="D32" s="473"/>
      <c r="E32" s="115"/>
      <c r="F32" s="159"/>
      <c r="G32" s="160"/>
      <c r="H32" s="159"/>
      <c r="I32" s="160"/>
      <c r="J32" s="370"/>
      <c r="K32" s="371"/>
    </row>
    <row r="33" spans="1:11" x14ac:dyDescent="0.25">
      <c r="A33" s="187" t="s">
        <v>24</v>
      </c>
      <c r="B33" s="178" t="s">
        <v>25</v>
      </c>
      <c r="C33" s="178" t="s">
        <v>26</v>
      </c>
      <c r="D33" s="231" t="s">
        <v>5</v>
      </c>
      <c r="E33" s="189" t="s">
        <v>5</v>
      </c>
      <c r="F33" s="197" t="s">
        <v>26</v>
      </c>
      <c r="G33" s="93" t="s">
        <v>5</v>
      </c>
      <c r="H33" s="245"/>
      <c r="I33" s="93" t="s">
        <v>5</v>
      </c>
      <c r="J33" s="245"/>
      <c r="K33" s="93" t="s">
        <v>5</v>
      </c>
    </row>
    <row r="34" spans="1:11" x14ac:dyDescent="0.25">
      <c r="A34" s="181" t="s">
        <v>6</v>
      </c>
      <c r="B34" s="182" t="s">
        <v>27</v>
      </c>
      <c r="C34" s="191">
        <v>0</v>
      </c>
      <c r="D34" s="232">
        <f t="shared" ref="D34:D41" si="3">C34*($D$19+$D$27)</f>
        <v>0</v>
      </c>
      <c r="E34" s="87">
        <f t="shared" ref="E34:E41" si="4">$C34*(E$19+E$27)</f>
        <v>0</v>
      </c>
      <c r="F34" s="107">
        <v>0</v>
      </c>
      <c r="G34" s="101">
        <f>$C34*(G$19+G$27)</f>
        <v>0</v>
      </c>
      <c r="H34" s="241"/>
      <c r="I34" s="101">
        <f>$C34*(I$19+I$27)</f>
        <v>0</v>
      </c>
      <c r="J34" s="107">
        <v>0</v>
      </c>
      <c r="K34" s="101">
        <f>$J34*(K$19+K$27)</f>
        <v>0</v>
      </c>
    </row>
    <row r="35" spans="1:11" x14ac:dyDescent="0.25">
      <c r="A35" s="181" t="s">
        <v>8</v>
      </c>
      <c r="B35" s="182" t="s">
        <v>28</v>
      </c>
      <c r="C35" s="191">
        <v>2.5000000000000001E-2</v>
      </c>
      <c r="D35" s="232">
        <f t="shared" si="3"/>
        <v>188.56242424242427</v>
      </c>
      <c r="E35" s="87">
        <f t="shared" si="4"/>
        <v>196.29348363636365</v>
      </c>
      <c r="F35" s="107">
        <v>2.5000000000000001E-2</v>
      </c>
      <c r="G35" s="101">
        <f>$C35*(G$19+G$27)</f>
        <v>215.92283200000003</v>
      </c>
      <c r="H35" s="241"/>
      <c r="I35" s="101">
        <f>$C35*(I$19+I$27)</f>
        <v>215.92283200000003</v>
      </c>
      <c r="J35" s="107">
        <v>2.5000000000000001E-2</v>
      </c>
      <c r="K35" s="101">
        <f>$J35*(K$19+K$27)</f>
        <v>228.42476397280004</v>
      </c>
    </row>
    <row r="36" spans="1:11" x14ac:dyDescent="0.25">
      <c r="A36" s="181" t="s">
        <v>10</v>
      </c>
      <c r="B36" s="256" t="s">
        <v>106</v>
      </c>
      <c r="C36" s="191">
        <f>2%*1.2718</f>
        <v>2.5436E-2</v>
      </c>
      <c r="D36" s="232">
        <f t="shared" si="3"/>
        <v>191.85095292121213</v>
      </c>
      <c r="E36" s="87">
        <f t="shared" si="4"/>
        <v>199.71684199098181</v>
      </c>
      <c r="F36" s="107">
        <f>2%*1.0115</f>
        <v>2.0230000000000001E-2</v>
      </c>
      <c r="G36" s="101">
        <f>$F$36*(G$19+G$27)</f>
        <v>174.72475565440001</v>
      </c>
      <c r="H36" s="241"/>
      <c r="I36" s="101">
        <f>$F$36*(I$19+I$27)</f>
        <v>174.72475565440001</v>
      </c>
      <c r="J36" s="107">
        <f>2%*0.5</f>
        <v>0.01</v>
      </c>
      <c r="K36" s="101">
        <f>$J$36*(K$19+K$27)</f>
        <v>91.369905589120009</v>
      </c>
    </row>
    <row r="37" spans="1:11" x14ac:dyDescent="0.25">
      <c r="A37" s="181" t="s">
        <v>12</v>
      </c>
      <c r="B37" s="182" t="s">
        <v>29</v>
      </c>
      <c r="C37" s="191">
        <v>1.4999999999999999E-2</v>
      </c>
      <c r="D37" s="232">
        <f t="shared" si="3"/>
        <v>113.13745454545455</v>
      </c>
      <c r="E37" s="87">
        <f t="shared" si="4"/>
        <v>117.77609018181818</v>
      </c>
      <c r="F37" s="107">
        <v>1.4999999999999999E-2</v>
      </c>
      <c r="G37" s="101">
        <f>$C37*(G$19+G$27)</f>
        <v>129.55369920000001</v>
      </c>
      <c r="H37" s="241"/>
      <c r="I37" s="101">
        <f>$C37*(I$19+I$27)</f>
        <v>129.55369920000001</v>
      </c>
      <c r="J37" s="107">
        <v>1.4999999999999999E-2</v>
      </c>
      <c r="K37" s="101">
        <f>$J37*(K$19+K$27)</f>
        <v>137.05485838368</v>
      </c>
    </row>
    <row r="38" spans="1:11" x14ac:dyDescent="0.25">
      <c r="A38" s="181" t="s">
        <v>14</v>
      </c>
      <c r="B38" s="182" t="s">
        <v>30</v>
      </c>
      <c r="C38" s="191">
        <v>0.01</v>
      </c>
      <c r="D38" s="232">
        <f t="shared" si="3"/>
        <v>75.424969696969697</v>
      </c>
      <c r="E38" s="87">
        <f t="shared" si="4"/>
        <v>78.517393454545456</v>
      </c>
      <c r="F38" s="107">
        <v>0.01</v>
      </c>
      <c r="G38" s="101">
        <f>$C38*(G$19+G$27)</f>
        <v>86.369132800000003</v>
      </c>
      <c r="H38" s="241"/>
      <c r="I38" s="101">
        <f>$C38*(I$19+I$27)</f>
        <v>86.369132800000003</v>
      </c>
      <c r="J38" s="107">
        <v>0.01</v>
      </c>
      <c r="K38" s="101">
        <f>$J38*(K$19+K$27)</f>
        <v>91.369905589120009</v>
      </c>
    </row>
    <row r="39" spans="1:11" x14ac:dyDescent="0.25">
      <c r="A39" s="181" t="s">
        <v>16</v>
      </c>
      <c r="B39" s="182" t="s">
        <v>31</v>
      </c>
      <c r="C39" s="191">
        <v>6.0000000000000001E-3</v>
      </c>
      <c r="D39" s="232">
        <f t="shared" si="3"/>
        <v>45.254981818181825</v>
      </c>
      <c r="E39" s="87">
        <f t="shared" si="4"/>
        <v>47.110436072727275</v>
      </c>
      <c r="F39" s="107">
        <v>6.0000000000000001E-3</v>
      </c>
      <c r="G39" s="101">
        <f>$C39*(G$19+G$27)</f>
        <v>51.821479680000003</v>
      </c>
      <c r="H39" s="241"/>
      <c r="I39" s="101">
        <f>$C39*(I$19+I$27)</f>
        <v>51.821479680000003</v>
      </c>
      <c r="J39" s="107">
        <v>6.0000000000000001E-3</v>
      </c>
      <c r="K39" s="101">
        <f>$J39*(K$19+K$27)</f>
        <v>54.821943353472008</v>
      </c>
    </row>
    <row r="40" spans="1:11" x14ac:dyDescent="0.25">
      <c r="A40" s="181" t="s">
        <v>32</v>
      </c>
      <c r="B40" s="182" t="s">
        <v>33</v>
      </c>
      <c r="C40" s="191">
        <v>2E-3</v>
      </c>
      <c r="D40" s="232">
        <f t="shared" si="3"/>
        <v>15.084993939393941</v>
      </c>
      <c r="E40" s="87">
        <f t="shared" si="4"/>
        <v>15.70347869090909</v>
      </c>
      <c r="F40" s="107">
        <v>2E-3</v>
      </c>
      <c r="G40" s="101">
        <f>$C40*(G$19+G$27)</f>
        <v>17.273826560000003</v>
      </c>
      <c r="H40" s="241"/>
      <c r="I40" s="101">
        <f>$C40*(I$19+I$27)</f>
        <v>17.273826560000003</v>
      </c>
      <c r="J40" s="107">
        <v>2E-3</v>
      </c>
      <c r="K40" s="101">
        <f>$J40*(K$19+K$27)</f>
        <v>18.273981117824</v>
      </c>
    </row>
    <row r="41" spans="1:11" x14ac:dyDescent="0.25">
      <c r="A41" s="181" t="s">
        <v>34</v>
      </c>
      <c r="B41" s="182" t="s">
        <v>35</v>
      </c>
      <c r="C41" s="191">
        <v>0.08</v>
      </c>
      <c r="D41" s="232">
        <f t="shared" si="3"/>
        <v>603.39975757575758</v>
      </c>
      <c r="E41" s="87">
        <f t="shared" si="4"/>
        <v>628.13914763636365</v>
      </c>
      <c r="F41" s="107">
        <v>0.08</v>
      </c>
      <c r="G41" s="101">
        <f>$C41*(G$19+G$27)</f>
        <v>690.95306240000002</v>
      </c>
      <c r="H41" s="241"/>
      <c r="I41" s="101">
        <f>$C41*(I$19+I$27)</f>
        <v>690.95306240000002</v>
      </c>
      <c r="J41" s="107">
        <v>0.08</v>
      </c>
      <c r="K41" s="101">
        <f>$J41*(K$19+K$27)</f>
        <v>730.95924471296007</v>
      </c>
    </row>
    <row r="42" spans="1:11" x14ac:dyDescent="0.25">
      <c r="A42" s="499" t="s">
        <v>18</v>
      </c>
      <c r="B42" s="500"/>
      <c r="C42" s="193">
        <f>SUM(C34:C41)</f>
        <v>0.163436</v>
      </c>
      <c r="D42" s="232">
        <f>SUM(D34:D41)</f>
        <v>1232.7155347393939</v>
      </c>
      <c r="E42" s="87">
        <f>SUM(E34:E41)</f>
        <v>1283.2568716637088</v>
      </c>
      <c r="F42" s="194">
        <f t="shared" ref="F42" si="5">SUM(F34:F41)</f>
        <v>0.15823000000000001</v>
      </c>
      <c r="G42" s="101">
        <f>SUM(G34:G41)</f>
        <v>1366.6187882944</v>
      </c>
      <c r="H42" s="241"/>
      <c r="I42" s="101">
        <f>SUM(I34:I41)</f>
        <v>1366.6187882944</v>
      </c>
      <c r="J42" s="194">
        <f t="shared" ref="J42" si="6">SUM(J34:J41)</f>
        <v>0.14800000000000002</v>
      </c>
      <c r="K42" s="101">
        <f>SUM(K34:K41)</f>
        <v>1352.274602718976</v>
      </c>
    </row>
    <row r="43" spans="1:11" x14ac:dyDescent="0.25">
      <c r="A43" s="501" t="s">
        <v>109</v>
      </c>
      <c r="B43" s="502"/>
      <c r="C43" s="502"/>
      <c r="D43" s="572"/>
      <c r="E43" s="115"/>
      <c r="F43" s="159"/>
      <c r="G43" s="160"/>
      <c r="H43" s="159"/>
      <c r="I43" s="160"/>
      <c r="J43" s="370"/>
      <c r="K43" s="371"/>
    </row>
    <row r="44" spans="1:11" x14ac:dyDescent="0.25">
      <c r="A44" s="501" t="s">
        <v>107</v>
      </c>
      <c r="B44" s="502"/>
      <c r="C44" s="502"/>
      <c r="D44" s="572"/>
      <c r="E44" s="115"/>
      <c r="F44" s="159"/>
      <c r="G44" s="160"/>
      <c r="H44" s="159"/>
      <c r="I44" s="160"/>
      <c r="J44" s="370"/>
      <c r="K44" s="371"/>
    </row>
    <row r="45" spans="1:11" x14ac:dyDescent="0.25">
      <c r="A45" s="501" t="s">
        <v>108</v>
      </c>
      <c r="B45" s="502"/>
      <c r="C45" s="502"/>
      <c r="D45" s="572"/>
      <c r="E45" s="115"/>
      <c r="F45" s="159"/>
      <c r="G45" s="160"/>
      <c r="H45" s="159"/>
      <c r="I45" s="160"/>
      <c r="J45" s="370"/>
      <c r="K45" s="371"/>
    </row>
    <row r="46" spans="1:11" x14ac:dyDescent="0.25">
      <c r="A46" s="501" t="s">
        <v>113</v>
      </c>
      <c r="B46" s="502"/>
      <c r="C46" s="502"/>
      <c r="D46" s="572"/>
      <c r="E46" s="115"/>
      <c r="F46" s="159"/>
      <c r="G46" s="160"/>
      <c r="H46" s="159"/>
      <c r="I46" s="160"/>
      <c r="J46" s="370"/>
      <c r="K46" s="371"/>
    </row>
    <row r="47" spans="1:11" x14ac:dyDescent="0.25">
      <c r="A47" s="501" t="s">
        <v>118</v>
      </c>
      <c r="B47" s="502"/>
      <c r="C47" s="502"/>
      <c r="D47" s="572"/>
      <c r="E47" s="115"/>
      <c r="F47" s="159"/>
      <c r="G47" s="160"/>
      <c r="H47" s="159"/>
      <c r="I47" s="160"/>
      <c r="J47" s="370"/>
      <c r="K47" s="371"/>
    </row>
    <row r="48" spans="1:11" x14ac:dyDescent="0.25">
      <c r="A48" s="173"/>
      <c r="B48" s="174"/>
      <c r="C48" s="174"/>
      <c r="D48" s="250"/>
      <c r="E48" s="115"/>
      <c r="F48" s="159"/>
      <c r="G48" s="160"/>
      <c r="H48" s="159"/>
      <c r="I48" s="160"/>
      <c r="J48" s="370"/>
      <c r="K48" s="371"/>
    </row>
    <row r="49" spans="1:11" x14ac:dyDescent="0.25">
      <c r="A49" s="471" t="s">
        <v>36</v>
      </c>
      <c r="B49" s="472"/>
      <c r="C49" s="472"/>
      <c r="D49" s="473"/>
      <c r="E49" s="115"/>
      <c r="F49" s="159"/>
      <c r="G49" s="160"/>
      <c r="H49" s="159"/>
      <c r="I49" s="160"/>
      <c r="J49" s="370"/>
      <c r="K49" s="371"/>
    </row>
    <row r="50" spans="1:11" x14ac:dyDescent="0.25">
      <c r="A50" s="187" t="s">
        <v>37</v>
      </c>
      <c r="B50" s="178" t="s">
        <v>38</v>
      </c>
      <c r="C50" s="167" t="s">
        <v>96</v>
      </c>
      <c r="D50" s="93" t="s">
        <v>5</v>
      </c>
      <c r="E50" s="189" t="s">
        <v>5</v>
      </c>
      <c r="F50" s="245"/>
      <c r="G50" s="93" t="s">
        <v>5</v>
      </c>
      <c r="H50" s="245"/>
      <c r="I50" s="93" t="s">
        <v>5</v>
      </c>
      <c r="J50" s="245"/>
      <c r="K50" s="93" t="s">
        <v>5</v>
      </c>
    </row>
    <row r="51" spans="1:11" x14ac:dyDescent="0.25">
      <c r="A51" s="181" t="s">
        <v>6</v>
      </c>
      <c r="B51" s="182" t="s">
        <v>39</v>
      </c>
      <c r="C51" s="195">
        <v>22</v>
      </c>
      <c r="D51" s="218">
        <f>IF(((5.5*2*C51)-D19*6%)&lt;0,0,((5.5*2*C51)-D19*6%))</f>
        <v>0</v>
      </c>
      <c r="E51" s="83">
        <f>IF(((5.5*2*$C51)-E$19*6%)&lt;0,0,((5.5*2*$C51)-E$19*6%))</f>
        <v>0</v>
      </c>
      <c r="F51" s="247"/>
      <c r="G51" s="92">
        <f>IF(((5.5*2*$C51)-G$19*6%)&lt;0,0,((5.5*2*$C51)-G$19*6%))</f>
        <v>0</v>
      </c>
      <c r="H51" s="247"/>
      <c r="I51" s="92">
        <f>IF(((5.5*2*$C51)-I$19*6%)&lt;0,0,((5.5*2*$C51)-I$19*6%))</f>
        <v>0</v>
      </c>
      <c r="J51" s="247"/>
      <c r="K51" s="92">
        <f>IF(((5.5*2*$C51)-K$19*6%)&lt;0,0,((5.5*2*$C51)-K$19*6%))</f>
        <v>0</v>
      </c>
    </row>
    <row r="52" spans="1:11" x14ac:dyDescent="0.25">
      <c r="A52" s="181" t="s">
        <v>8</v>
      </c>
      <c r="B52" s="182" t="s">
        <v>40</v>
      </c>
      <c r="C52" s="195">
        <v>22</v>
      </c>
      <c r="D52" s="218">
        <f>(C52*34.44)-(C52*0.3)</f>
        <v>751.07999999999993</v>
      </c>
      <c r="E52" s="83">
        <f>($C52*35.85)-($C52*0.3)</f>
        <v>782.1</v>
      </c>
      <c r="F52" s="247"/>
      <c r="G52" s="92">
        <f>($C52*38.72)-($C52*0.3)</f>
        <v>845.2399999999999</v>
      </c>
      <c r="H52" s="247"/>
      <c r="I52" s="92">
        <f>($C52*38.72)-($C52*0.3)</f>
        <v>845.2399999999999</v>
      </c>
      <c r="J52" s="247"/>
      <c r="K52" s="92">
        <f>($C52*40.96)-($C52*0.3)</f>
        <v>894.52</v>
      </c>
    </row>
    <row r="53" spans="1:11" x14ac:dyDescent="0.25">
      <c r="A53" s="181" t="s">
        <v>10</v>
      </c>
      <c r="B53" s="182" t="s">
        <v>41</v>
      </c>
      <c r="C53" s="195"/>
      <c r="D53" s="218">
        <v>221.88</v>
      </c>
      <c r="E53" s="83">
        <v>221.88</v>
      </c>
      <c r="F53" s="247"/>
      <c r="G53" s="92">
        <v>221.88</v>
      </c>
      <c r="H53" s="247"/>
      <c r="I53" s="92">
        <v>221.88</v>
      </c>
      <c r="J53" s="247"/>
      <c r="K53" s="92">
        <v>234.73</v>
      </c>
    </row>
    <row r="54" spans="1:11" x14ac:dyDescent="0.25">
      <c r="A54" s="181" t="s">
        <v>12</v>
      </c>
      <c r="B54" s="182" t="s">
        <v>97</v>
      </c>
      <c r="C54" s="195"/>
      <c r="D54" s="218">
        <v>0</v>
      </c>
      <c r="E54" s="83">
        <v>0</v>
      </c>
      <c r="F54" s="247"/>
      <c r="G54" s="92">
        <v>0</v>
      </c>
      <c r="H54" s="247"/>
      <c r="I54" s="92">
        <v>0</v>
      </c>
      <c r="J54" s="247"/>
      <c r="K54" s="92">
        <v>0</v>
      </c>
    </row>
    <row r="55" spans="1:11" x14ac:dyDescent="0.25">
      <c r="A55" s="181" t="s">
        <v>14</v>
      </c>
      <c r="B55" s="182" t="s">
        <v>158</v>
      </c>
      <c r="C55" s="195">
        <v>1</v>
      </c>
      <c r="D55" s="218">
        <v>1.41</v>
      </c>
      <c r="E55" s="83">
        <v>1.41</v>
      </c>
      <c r="F55" s="247"/>
      <c r="G55" s="92">
        <v>1.41</v>
      </c>
      <c r="H55" s="247"/>
      <c r="I55" s="92">
        <v>1.41</v>
      </c>
      <c r="J55" s="247"/>
      <c r="K55" s="92">
        <v>1.41</v>
      </c>
    </row>
    <row r="56" spans="1:11" x14ac:dyDescent="0.25">
      <c r="A56" s="466" t="s">
        <v>18</v>
      </c>
      <c r="B56" s="467"/>
      <c r="C56" s="467"/>
      <c r="D56" s="218">
        <f>SUM(D51:D55)</f>
        <v>974.36999999999989</v>
      </c>
      <c r="E56" s="83">
        <f t="shared" ref="E56" si="7">SUM(E51:E55)</f>
        <v>1005.39</v>
      </c>
      <c r="F56" s="247"/>
      <c r="G56" s="92">
        <f t="shared" ref="G56" si="8">SUM(G51:G55)</f>
        <v>1068.53</v>
      </c>
      <c r="H56" s="247"/>
      <c r="I56" s="92">
        <f t="shared" ref="I56:K56" si="9">SUM(I51:I55)</f>
        <v>1068.53</v>
      </c>
      <c r="J56" s="247"/>
      <c r="K56" s="92">
        <f t="shared" si="9"/>
        <v>1130.6600000000001</v>
      </c>
    </row>
    <row r="57" spans="1:11" x14ac:dyDescent="0.25">
      <c r="A57" s="501" t="s">
        <v>44</v>
      </c>
      <c r="B57" s="502"/>
      <c r="C57" s="502"/>
      <c r="D57" s="572"/>
      <c r="E57" s="115"/>
      <c r="F57" s="159"/>
      <c r="G57" s="160"/>
      <c r="H57" s="159"/>
      <c r="I57" s="160"/>
      <c r="J57" s="370"/>
      <c r="K57" s="371"/>
    </row>
    <row r="58" spans="1:11" x14ac:dyDescent="0.25">
      <c r="A58" s="501" t="s">
        <v>110</v>
      </c>
      <c r="B58" s="502"/>
      <c r="C58" s="502"/>
      <c r="D58" s="572"/>
      <c r="E58" s="115"/>
      <c r="F58" s="159"/>
      <c r="G58" s="160"/>
      <c r="H58" s="159"/>
      <c r="I58" s="160"/>
      <c r="J58" s="370"/>
      <c r="K58" s="371"/>
    </row>
    <row r="59" spans="1:11" x14ac:dyDescent="0.25">
      <c r="A59" s="173"/>
      <c r="B59" s="174"/>
      <c r="C59" s="174"/>
      <c r="D59" s="250"/>
      <c r="E59" s="115"/>
      <c r="F59" s="159"/>
      <c r="G59" s="160"/>
      <c r="H59" s="159"/>
      <c r="I59" s="160"/>
      <c r="J59" s="370"/>
      <c r="K59" s="371"/>
    </row>
    <row r="60" spans="1:11" x14ac:dyDescent="0.25">
      <c r="A60" s="471" t="s">
        <v>42</v>
      </c>
      <c r="B60" s="472"/>
      <c r="C60" s="472"/>
      <c r="D60" s="473"/>
      <c r="E60" s="115"/>
      <c r="F60" s="159"/>
      <c r="G60" s="160"/>
      <c r="H60" s="159"/>
      <c r="I60" s="160"/>
      <c r="J60" s="370"/>
      <c r="K60" s="371"/>
    </row>
    <row r="61" spans="1:11" x14ac:dyDescent="0.25">
      <c r="A61" s="197">
        <v>2</v>
      </c>
      <c r="B61" s="476" t="s">
        <v>43</v>
      </c>
      <c r="C61" s="476"/>
      <c r="D61" s="93" t="s">
        <v>5</v>
      </c>
      <c r="E61" s="189" t="s">
        <v>5</v>
      </c>
      <c r="F61" s="159"/>
      <c r="G61" s="93" t="s">
        <v>5</v>
      </c>
      <c r="H61" s="159"/>
      <c r="I61" s="93" t="s">
        <v>5</v>
      </c>
      <c r="J61" s="370"/>
      <c r="K61" s="93" t="s">
        <v>5</v>
      </c>
    </row>
    <row r="62" spans="1:11" x14ac:dyDescent="0.25">
      <c r="A62" s="161" t="s">
        <v>21</v>
      </c>
      <c r="B62" s="474" t="s">
        <v>163</v>
      </c>
      <c r="C62" s="474"/>
      <c r="D62" s="218">
        <f>D27</f>
        <v>1319.9369696969698</v>
      </c>
      <c r="E62" s="83">
        <f t="shared" ref="E62" si="10">E27</f>
        <v>1374.0543854545454</v>
      </c>
      <c r="F62" s="159"/>
      <c r="G62" s="92">
        <f t="shared" ref="G62" si="11">G27</f>
        <v>1511.459824</v>
      </c>
      <c r="H62" s="159"/>
      <c r="I62" s="92">
        <f t="shared" ref="I62:K62" si="12">I27</f>
        <v>1511.459824</v>
      </c>
      <c r="J62" s="370"/>
      <c r="K62" s="92">
        <f t="shared" si="12"/>
        <v>1598.9733478096</v>
      </c>
    </row>
    <row r="63" spans="1:11" x14ac:dyDescent="0.25">
      <c r="A63" s="161" t="s">
        <v>24</v>
      </c>
      <c r="B63" s="475" t="s">
        <v>25</v>
      </c>
      <c r="C63" s="475"/>
      <c r="D63" s="218">
        <f>D42</f>
        <v>1232.7155347393939</v>
      </c>
      <c r="E63" s="83">
        <f t="shared" ref="E63" si="13">E42</f>
        <v>1283.2568716637088</v>
      </c>
      <c r="F63" s="159"/>
      <c r="G63" s="92">
        <f t="shared" ref="G63" si="14">G42</f>
        <v>1366.6187882944</v>
      </c>
      <c r="H63" s="159"/>
      <c r="I63" s="92">
        <f t="shared" ref="I63:K63" si="15">I42</f>
        <v>1366.6187882944</v>
      </c>
      <c r="J63" s="370"/>
      <c r="K63" s="92">
        <f t="shared" si="15"/>
        <v>1352.274602718976</v>
      </c>
    </row>
    <row r="64" spans="1:11" x14ac:dyDescent="0.25">
      <c r="A64" s="161" t="s">
        <v>37</v>
      </c>
      <c r="B64" s="475" t="s">
        <v>38</v>
      </c>
      <c r="C64" s="475"/>
      <c r="D64" s="218">
        <f>D56</f>
        <v>974.36999999999989</v>
      </c>
      <c r="E64" s="83">
        <f t="shared" ref="E64" si="16">E56</f>
        <v>1005.39</v>
      </c>
      <c r="F64" s="159"/>
      <c r="G64" s="92">
        <f t="shared" ref="G64" si="17">G56</f>
        <v>1068.53</v>
      </c>
      <c r="H64" s="159"/>
      <c r="I64" s="92">
        <f t="shared" ref="I64:K64" si="18">I56</f>
        <v>1068.53</v>
      </c>
      <c r="J64" s="370"/>
      <c r="K64" s="92">
        <f t="shared" si="18"/>
        <v>1130.6600000000001</v>
      </c>
    </row>
    <row r="65" spans="1:11" x14ac:dyDescent="0.25">
      <c r="A65" s="499" t="s">
        <v>18</v>
      </c>
      <c r="B65" s="507"/>
      <c r="C65" s="500"/>
      <c r="D65" s="218">
        <f>SUM(D62:D64)</f>
        <v>3527.0225044363633</v>
      </c>
      <c r="E65" s="83">
        <f t="shared" ref="E65" si="19">SUM(E62:E64)</f>
        <v>3662.701257118254</v>
      </c>
      <c r="F65" s="159"/>
      <c r="G65" s="92">
        <f t="shared" ref="G65" si="20">SUM(G62:G64)</f>
        <v>3946.6086122943998</v>
      </c>
      <c r="H65" s="159"/>
      <c r="I65" s="92">
        <f t="shared" ref="I65:K65" si="21">SUM(I62:I64)</f>
        <v>3946.6086122943998</v>
      </c>
      <c r="J65" s="370"/>
      <c r="K65" s="92">
        <f t="shared" si="21"/>
        <v>4081.9079505285763</v>
      </c>
    </row>
    <row r="66" spans="1:11" x14ac:dyDescent="0.25">
      <c r="A66" s="173"/>
      <c r="B66" s="174"/>
      <c r="C66" s="174"/>
      <c r="D66" s="250"/>
      <c r="E66" s="115"/>
      <c r="F66" s="159"/>
      <c r="G66" s="160"/>
      <c r="H66" s="159"/>
      <c r="I66" s="160"/>
      <c r="J66" s="370"/>
      <c r="K66" s="371"/>
    </row>
    <row r="67" spans="1:11" x14ac:dyDescent="0.25">
      <c r="A67" s="471" t="s">
        <v>77</v>
      </c>
      <c r="B67" s="472"/>
      <c r="C67" s="472"/>
      <c r="D67" s="473"/>
      <c r="E67" s="115"/>
      <c r="F67" s="159"/>
      <c r="G67" s="160"/>
      <c r="H67" s="159"/>
      <c r="I67" s="160"/>
      <c r="J67" s="370"/>
      <c r="K67" s="371"/>
    </row>
    <row r="68" spans="1:11" x14ac:dyDescent="0.25">
      <c r="A68" s="197">
        <v>3</v>
      </c>
      <c r="B68" s="178" t="s">
        <v>45</v>
      </c>
      <c r="C68" s="178" t="s">
        <v>26</v>
      </c>
      <c r="D68" s="93" t="s">
        <v>5</v>
      </c>
      <c r="E68" s="189" t="s">
        <v>5</v>
      </c>
      <c r="F68" s="197" t="s">
        <v>26</v>
      </c>
      <c r="G68" s="93" t="s">
        <v>5</v>
      </c>
      <c r="H68" s="197" t="s">
        <v>26</v>
      </c>
      <c r="I68" s="93" t="s">
        <v>5</v>
      </c>
      <c r="J68" s="197" t="s">
        <v>26</v>
      </c>
      <c r="K68" s="93" t="s">
        <v>5</v>
      </c>
    </row>
    <row r="69" spans="1:11" x14ac:dyDescent="0.25">
      <c r="A69" s="161" t="s">
        <v>6</v>
      </c>
      <c r="B69" s="163" t="s">
        <v>46</v>
      </c>
      <c r="C69" s="191">
        <f>(1/12)*5%</f>
        <v>4.1666666666666666E-3</v>
      </c>
      <c r="D69" s="233">
        <f t="shared" ref="D69:D75" si="22">C69*($D$19+$D$27)</f>
        <v>31.427070707070708</v>
      </c>
      <c r="E69" s="83">
        <f t="shared" ref="E69:E75" si="23">$C69*(E$19+E$27)</f>
        <v>32.715580606060605</v>
      </c>
      <c r="F69" s="107">
        <f>(1/12)*5%</f>
        <v>4.1666666666666666E-3</v>
      </c>
      <c r="G69" s="92">
        <f>F69*($G$19+$G$27)</f>
        <v>35.987138666666667</v>
      </c>
      <c r="H69" s="107">
        <f>(1/12)*5%</f>
        <v>4.1666666666666666E-3</v>
      </c>
      <c r="I69" s="92">
        <f>H69*($I$19+$I$27)</f>
        <v>35.987138666666667</v>
      </c>
      <c r="J69" s="107">
        <f>(1/12)*5%</f>
        <v>4.1666666666666666E-3</v>
      </c>
      <c r="K69" s="92">
        <f t="shared" ref="K69:K75" si="24">J69*(K$19+K$27)</f>
        <v>38.070793995466673</v>
      </c>
    </row>
    <row r="70" spans="1:11" ht="30" x14ac:dyDescent="0.25">
      <c r="A70" s="161" t="s">
        <v>8</v>
      </c>
      <c r="B70" s="163" t="s">
        <v>47</v>
      </c>
      <c r="C70" s="191">
        <f>C69*C41</f>
        <v>3.3333333333333332E-4</v>
      </c>
      <c r="D70" s="233">
        <f t="shared" si="22"/>
        <v>2.5141656565656567</v>
      </c>
      <c r="E70" s="83">
        <f t="shared" si="23"/>
        <v>2.6172464484848486</v>
      </c>
      <c r="F70" s="107">
        <f>F69*F41</f>
        <v>3.3333333333333332E-4</v>
      </c>
      <c r="G70" s="92">
        <f>F70*($G$19+$G$27)</f>
        <v>2.8789710933333335</v>
      </c>
      <c r="H70" s="107">
        <f>H69*F41</f>
        <v>3.3333333333333332E-4</v>
      </c>
      <c r="I70" s="92">
        <f>H70*($I$19+$I$27)</f>
        <v>2.8789710933333335</v>
      </c>
      <c r="J70" s="107">
        <f>J69*F41</f>
        <v>3.3333333333333332E-4</v>
      </c>
      <c r="K70" s="92">
        <f t="shared" si="24"/>
        <v>3.0456635196373334</v>
      </c>
    </row>
    <row r="71" spans="1:11" ht="30" x14ac:dyDescent="0.25">
      <c r="A71" s="161" t="s">
        <v>10</v>
      </c>
      <c r="B71" s="163" t="s">
        <v>48</v>
      </c>
      <c r="C71" s="191">
        <f>C69*8%*40%</f>
        <v>1.3333333333333334E-4</v>
      </c>
      <c r="D71" s="233">
        <f t="shared" si="22"/>
        <v>1.0056662626262627</v>
      </c>
      <c r="E71" s="83">
        <f t="shared" si="23"/>
        <v>1.0468985793939394</v>
      </c>
      <c r="F71" s="107">
        <f>F69*8%*40%</f>
        <v>1.3333333333333334E-4</v>
      </c>
      <c r="G71" s="92">
        <f t="shared" ref="G71:G75" si="25">F71*($G$19+$G$27)</f>
        <v>1.1515884373333334</v>
      </c>
      <c r="H71" s="107">
        <f>H69*8%*40%</f>
        <v>1.3333333333333334E-4</v>
      </c>
      <c r="I71" s="92">
        <f>H71*($I$19+$I$27)</f>
        <v>1.1515884373333334</v>
      </c>
      <c r="J71" s="107">
        <f>J69*8%*40%</f>
        <v>1.3333333333333334E-4</v>
      </c>
      <c r="K71" s="92">
        <f t="shared" si="24"/>
        <v>1.2182654078549335</v>
      </c>
    </row>
    <row r="72" spans="1:11" x14ac:dyDescent="0.25">
      <c r="A72" s="161" t="s">
        <v>12</v>
      </c>
      <c r="B72" s="163" t="s">
        <v>49</v>
      </c>
      <c r="C72" s="191">
        <f>(7/30/12)*100%</f>
        <v>1.9444444444444445E-2</v>
      </c>
      <c r="D72" s="233">
        <f t="shared" si="22"/>
        <v>146.65966329966332</v>
      </c>
      <c r="E72" s="83">
        <f t="shared" si="23"/>
        <v>152.67270949494949</v>
      </c>
      <c r="F72" s="107">
        <f>(7/30/12)*100%</f>
        <v>1.9444444444444445E-2</v>
      </c>
      <c r="G72" s="92">
        <f t="shared" si="25"/>
        <v>167.93998044444447</v>
      </c>
      <c r="H72" s="107">
        <v>1.9400000000000001E-3</v>
      </c>
      <c r="I72" s="92">
        <f>H72*(I$19+I$27)</f>
        <v>16.755611763200001</v>
      </c>
      <c r="J72" s="107">
        <v>1.9400000000000001E-3</v>
      </c>
      <c r="K72" s="92">
        <f t="shared" si="24"/>
        <v>17.725761684289282</v>
      </c>
    </row>
    <row r="73" spans="1:11" ht="30" x14ac:dyDescent="0.25">
      <c r="A73" s="161" t="s">
        <v>14</v>
      </c>
      <c r="B73" s="163" t="s">
        <v>50</v>
      </c>
      <c r="C73" s="191">
        <f>C72*C42</f>
        <v>3.1779222222222221E-3</v>
      </c>
      <c r="D73" s="233">
        <f t="shared" si="22"/>
        <v>23.969468731043772</v>
      </c>
      <c r="E73" s="83">
        <f t="shared" si="23"/>
        <v>24.952216949016563</v>
      </c>
      <c r="F73" s="107">
        <f t="shared" ref="F73" si="26">F72*F42</f>
        <v>3.0766944444444448E-3</v>
      </c>
      <c r="G73" s="92">
        <f t="shared" si="25"/>
        <v>26.573143105724451</v>
      </c>
      <c r="H73" s="107">
        <f>H72*F42</f>
        <v>3.0696620000000006E-4</v>
      </c>
      <c r="I73" s="92">
        <f>H73*(I$19+I$27)</f>
        <v>2.6512404492911368</v>
      </c>
      <c r="J73" s="107">
        <f>J72*F42</f>
        <v>3.0696620000000006E-4</v>
      </c>
      <c r="K73" s="92">
        <f t="shared" si="24"/>
        <v>2.8047472713050934</v>
      </c>
    </row>
    <row r="74" spans="1:11" ht="30" x14ac:dyDescent="0.25">
      <c r="A74" s="161" t="s">
        <v>16</v>
      </c>
      <c r="B74" s="163" t="s">
        <v>51</v>
      </c>
      <c r="C74" s="191">
        <f>C72*8%*40%</f>
        <v>6.2222222222222236E-4</v>
      </c>
      <c r="D74" s="233">
        <f t="shared" si="22"/>
        <v>4.6931092255892271</v>
      </c>
      <c r="E74" s="83">
        <f t="shared" si="23"/>
        <v>4.8855267038383845</v>
      </c>
      <c r="F74" s="107">
        <f>F72*8%*40%</f>
        <v>6.2222222222222236E-4</v>
      </c>
      <c r="G74" s="92">
        <f t="shared" si="25"/>
        <v>5.3740793742222239</v>
      </c>
      <c r="H74" s="107">
        <f>H72*8%*40%</f>
        <v>6.2080000000000002E-5</v>
      </c>
      <c r="I74" s="92">
        <f>H74*(I$19+I$27)</f>
        <v>0.53617957642240011</v>
      </c>
      <c r="J74" s="107">
        <f>J72*8%*40%</f>
        <v>6.2080000000000002E-5</v>
      </c>
      <c r="K74" s="92">
        <f t="shared" si="24"/>
        <v>0.56722437389725699</v>
      </c>
    </row>
    <row r="75" spans="1:11" x14ac:dyDescent="0.25">
      <c r="A75" s="199" t="s">
        <v>32</v>
      </c>
      <c r="B75" s="200" t="s">
        <v>133</v>
      </c>
      <c r="C75" s="191">
        <v>3.49E-2</v>
      </c>
      <c r="D75" s="233">
        <f t="shared" si="22"/>
        <v>263.23314424242426</v>
      </c>
      <c r="E75" s="83">
        <f t="shared" si="23"/>
        <v>274.02570315636365</v>
      </c>
      <c r="F75" s="107">
        <v>3.49E-2</v>
      </c>
      <c r="G75" s="92">
        <f t="shared" si="25"/>
        <v>301.428273472</v>
      </c>
      <c r="H75" s="107">
        <v>3.49E-2</v>
      </c>
      <c r="I75" s="92">
        <f>H75*($I19+I$27)</f>
        <v>301.428273472</v>
      </c>
      <c r="J75" s="107">
        <v>3.49E-2</v>
      </c>
      <c r="K75" s="92">
        <f t="shared" si="24"/>
        <v>318.88097050602886</v>
      </c>
    </row>
    <row r="76" spans="1:11" x14ac:dyDescent="0.25">
      <c r="A76" s="499" t="s">
        <v>161</v>
      </c>
      <c r="B76" s="500"/>
      <c r="C76" s="186">
        <f>SUM(C69:C75)</f>
        <v>6.2777922222222227E-2</v>
      </c>
      <c r="D76" s="218">
        <f>SUM(D69:D75)</f>
        <v>473.50228812498324</v>
      </c>
      <c r="E76" s="83">
        <f t="shared" ref="E76:I76" si="27">SUM(E69:E75)</f>
        <v>492.91588193810747</v>
      </c>
      <c r="F76" s="108">
        <f t="shared" si="27"/>
        <v>6.2676694444444445E-2</v>
      </c>
      <c r="G76" s="92">
        <f t="shared" si="27"/>
        <v>541.33317459372449</v>
      </c>
      <c r="H76" s="108">
        <f t="shared" si="27"/>
        <v>4.1842379533333335E-2</v>
      </c>
      <c r="I76" s="92">
        <f t="shared" si="27"/>
        <v>361.38900345824686</v>
      </c>
      <c r="J76" s="108">
        <f t="shared" ref="J76:K76" si="28">SUM(J69:J75)</f>
        <v>4.1842379533333335E-2</v>
      </c>
      <c r="K76" s="92">
        <f t="shared" si="28"/>
        <v>382.31342675847941</v>
      </c>
    </row>
    <row r="77" spans="1:11" x14ac:dyDescent="0.25">
      <c r="A77" s="501" t="s">
        <v>111</v>
      </c>
      <c r="B77" s="502"/>
      <c r="C77" s="502"/>
      <c r="D77" s="572"/>
      <c r="E77" s="115"/>
      <c r="F77" s="159"/>
      <c r="G77" s="160"/>
      <c r="H77" s="170"/>
      <c r="I77" s="160"/>
      <c r="J77" s="170"/>
      <c r="K77" s="371"/>
    </row>
    <row r="78" spans="1:11" x14ac:dyDescent="0.25">
      <c r="A78" s="501" t="s">
        <v>119</v>
      </c>
      <c r="B78" s="502"/>
      <c r="C78" s="502"/>
      <c r="D78" s="572"/>
      <c r="E78" s="115"/>
      <c r="F78" s="159"/>
      <c r="G78" s="160"/>
      <c r="H78" s="159"/>
      <c r="I78" s="160"/>
      <c r="J78" s="370"/>
      <c r="K78" s="371"/>
    </row>
    <row r="79" spans="1:11" x14ac:dyDescent="0.25">
      <c r="A79" s="173"/>
      <c r="B79" s="174"/>
      <c r="C79" s="174"/>
      <c r="D79" s="250"/>
      <c r="E79" s="115"/>
      <c r="F79" s="159"/>
      <c r="G79" s="160"/>
      <c r="H79" s="159"/>
      <c r="I79" s="160"/>
      <c r="J79" s="370"/>
      <c r="K79" s="371"/>
    </row>
    <row r="80" spans="1:11" x14ac:dyDescent="0.25">
      <c r="A80" s="471" t="s">
        <v>52</v>
      </c>
      <c r="B80" s="472"/>
      <c r="C80" s="472"/>
      <c r="D80" s="473"/>
      <c r="E80" s="115"/>
      <c r="F80" s="159"/>
      <c r="G80" s="160"/>
      <c r="H80" s="159"/>
      <c r="I80" s="160"/>
      <c r="J80" s="370"/>
      <c r="K80" s="371"/>
    </row>
    <row r="81" spans="1:11" x14ac:dyDescent="0.25">
      <c r="A81" s="468" t="s">
        <v>112</v>
      </c>
      <c r="B81" s="469"/>
      <c r="C81" s="469"/>
      <c r="D81" s="470"/>
      <c r="E81" s="115"/>
      <c r="F81" s="159"/>
      <c r="G81" s="160"/>
      <c r="H81" s="159"/>
      <c r="I81" s="160"/>
      <c r="J81" s="370"/>
      <c r="K81" s="371"/>
    </row>
    <row r="82" spans="1:11" x14ac:dyDescent="0.25">
      <c r="A82" s="173"/>
      <c r="B82" s="174"/>
      <c r="C82" s="174"/>
      <c r="D82" s="250"/>
      <c r="E82" s="115"/>
      <c r="F82" s="159"/>
      <c r="G82" s="160"/>
      <c r="H82" s="159"/>
      <c r="I82" s="160"/>
      <c r="J82" s="370"/>
      <c r="K82" s="371"/>
    </row>
    <row r="83" spans="1:11" x14ac:dyDescent="0.25">
      <c r="A83" s="471" t="s">
        <v>114</v>
      </c>
      <c r="B83" s="472"/>
      <c r="C83" s="472"/>
      <c r="D83" s="473"/>
      <c r="E83" s="115"/>
      <c r="F83" s="159"/>
      <c r="G83" s="251"/>
      <c r="H83" s="164"/>
      <c r="I83" s="251"/>
      <c r="J83" s="164"/>
      <c r="K83" s="251"/>
    </row>
    <row r="84" spans="1:11" x14ac:dyDescent="0.25">
      <c r="A84" s="187" t="s">
        <v>53</v>
      </c>
      <c r="B84" s="178" t="s">
        <v>54</v>
      </c>
      <c r="C84" s="178" t="s">
        <v>26</v>
      </c>
      <c r="D84" s="93" t="s">
        <v>5</v>
      </c>
      <c r="E84" s="189" t="s">
        <v>5</v>
      </c>
      <c r="F84" s="197" t="s">
        <v>26</v>
      </c>
      <c r="G84" s="93" t="s">
        <v>5</v>
      </c>
      <c r="H84" s="245"/>
      <c r="I84" s="93" t="s">
        <v>5</v>
      </c>
      <c r="J84" s="245"/>
      <c r="K84" s="93" t="s">
        <v>5</v>
      </c>
    </row>
    <row r="85" spans="1:11" x14ac:dyDescent="0.25">
      <c r="A85" s="161" t="s">
        <v>6</v>
      </c>
      <c r="B85" s="163" t="s">
        <v>55</v>
      </c>
      <c r="C85" s="191">
        <v>6.8999999999999999E-3</v>
      </c>
      <c r="D85" s="233">
        <f t="shared" ref="D85:D90" si="29">C85*($D$19+$D$27)</f>
        <v>52.043229090909094</v>
      </c>
      <c r="E85" s="83">
        <f t="shared" ref="E85:E90" si="30">$C85*(E$19+E$27)</f>
        <v>54.17700148363636</v>
      </c>
      <c r="F85" s="107">
        <v>6.8999999999999999E-3</v>
      </c>
      <c r="G85" s="92">
        <f t="shared" ref="G85:G90" si="31">$C85*(G$19+G$27)</f>
        <v>59.594701632000003</v>
      </c>
      <c r="H85" s="106"/>
      <c r="I85" s="92">
        <f t="shared" ref="I85:K90" si="32">$C85*(I$19+I$27)</f>
        <v>59.594701632000003</v>
      </c>
      <c r="J85" s="106"/>
      <c r="K85" s="92">
        <f t="shared" si="32"/>
        <v>63.045234856492804</v>
      </c>
    </row>
    <row r="86" spans="1:11" x14ac:dyDescent="0.25">
      <c r="A86" s="161" t="s">
        <v>8</v>
      </c>
      <c r="B86" s="163" t="s">
        <v>56</v>
      </c>
      <c r="C86" s="191">
        <f>(1/30)*(1/12)</f>
        <v>2.7777777777777775E-3</v>
      </c>
      <c r="D86" s="233">
        <f t="shared" si="29"/>
        <v>20.951380471380471</v>
      </c>
      <c r="E86" s="83">
        <f t="shared" si="30"/>
        <v>21.810387070707069</v>
      </c>
      <c r="F86" s="107">
        <f>(1/30)*(1/12)</f>
        <v>2.7777777777777775E-3</v>
      </c>
      <c r="G86" s="92">
        <f t="shared" si="31"/>
        <v>23.991425777777778</v>
      </c>
      <c r="H86" s="106"/>
      <c r="I86" s="92">
        <f t="shared" si="32"/>
        <v>23.991425777777778</v>
      </c>
      <c r="J86" s="106"/>
      <c r="K86" s="92">
        <f t="shared" si="32"/>
        <v>25.380529330311109</v>
      </c>
    </row>
    <row r="87" spans="1:11" x14ac:dyDescent="0.25">
      <c r="A87" s="161" t="s">
        <v>10</v>
      </c>
      <c r="B87" s="163" t="s">
        <v>57</v>
      </c>
      <c r="C87" s="191">
        <f>(5/30/12)*1.5%</f>
        <v>2.0833333333333332E-4</v>
      </c>
      <c r="D87" s="233">
        <f t="shared" si="29"/>
        <v>1.5713535353535353</v>
      </c>
      <c r="E87" s="83">
        <f t="shared" si="30"/>
        <v>1.6357790303030302</v>
      </c>
      <c r="F87" s="107">
        <f>(5/30/12)*1.5%</f>
        <v>2.0833333333333332E-4</v>
      </c>
      <c r="G87" s="92">
        <f t="shared" si="31"/>
        <v>1.7993569333333335</v>
      </c>
      <c r="H87" s="106"/>
      <c r="I87" s="92">
        <f t="shared" si="32"/>
        <v>1.7993569333333335</v>
      </c>
      <c r="J87" s="106"/>
      <c r="K87" s="92">
        <f t="shared" si="32"/>
        <v>1.9035396997733334</v>
      </c>
    </row>
    <row r="88" spans="1:11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33">
        <f t="shared" si="29"/>
        <v>2.4513115151515152</v>
      </c>
      <c r="E88" s="83">
        <f t="shared" si="30"/>
        <v>2.5518152872727273</v>
      </c>
      <c r="F88" s="107">
        <f>(15/30/12)*0.78%</f>
        <v>3.2499999999999999E-4</v>
      </c>
      <c r="G88" s="92">
        <f t="shared" si="31"/>
        <v>2.8069968160000003</v>
      </c>
      <c r="H88" s="106"/>
      <c r="I88" s="92">
        <f t="shared" si="32"/>
        <v>2.8069968160000003</v>
      </c>
      <c r="J88" s="106"/>
      <c r="K88" s="92">
        <f t="shared" si="32"/>
        <v>2.9695219316464003</v>
      </c>
    </row>
    <row r="89" spans="1:11" ht="30" x14ac:dyDescent="0.25">
      <c r="A89" s="161" t="s">
        <v>14</v>
      </c>
      <c r="B89" s="163" t="s">
        <v>59</v>
      </c>
      <c r="C89" s="191">
        <f>(1.44%*10%*(C34+C36+C25+C41+C75)*6/12)</f>
        <v>1.6649646545454546E-4</v>
      </c>
      <c r="D89" s="233">
        <f t="shared" si="29"/>
        <v>1.2557990861561654</v>
      </c>
      <c r="E89" s="83">
        <f t="shared" si="30"/>
        <v>1.307286848688568</v>
      </c>
      <c r="F89" s="107">
        <f>(1.44%*10%*(F34+F36+C25+F41+F75)*6/12)</f>
        <v>1.6274814545454546E-4</v>
      </c>
      <c r="G89" s="92">
        <f t="shared" si="31"/>
        <v>1.438015533557425</v>
      </c>
      <c r="H89" s="106"/>
      <c r="I89" s="92">
        <f t="shared" si="32"/>
        <v>1.438015533557425</v>
      </c>
      <c r="J89" s="106"/>
      <c r="K89" s="92">
        <f t="shared" si="32"/>
        <v>1.5212766329503999</v>
      </c>
    </row>
    <row r="90" spans="1:11" ht="30" x14ac:dyDescent="0.25">
      <c r="A90" s="161" t="s">
        <v>16</v>
      </c>
      <c r="B90" s="163" t="s">
        <v>60</v>
      </c>
      <c r="C90" s="191">
        <v>0</v>
      </c>
      <c r="D90" s="233">
        <f t="shared" si="29"/>
        <v>0</v>
      </c>
      <c r="E90" s="83">
        <f t="shared" si="30"/>
        <v>0</v>
      </c>
      <c r="F90" s="107">
        <v>0</v>
      </c>
      <c r="G90" s="92">
        <f t="shared" si="31"/>
        <v>0</v>
      </c>
      <c r="H90" s="106"/>
      <c r="I90" s="92">
        <f t="shared" si="32"/>
        <v>0</v>
      </c>
      <c r="J90" s="106"/>
      <c r="K90" s="92">
        <f t="shared" si="32"/>
        <v>0</v>
      </c>
    </row>
    <row r="91" spans="1:11" x14ac:dyDescent="0.25">
      <c r="A91" s="499" t="s">
        <v>18</v>
      </c>
      <c r="B91" s="500"/>
      <c r="C91" s="186">
        <f>SUM(C85:C90)</f>
        <v>1.0377607576565657E-2</v>
      </c>
      <c r="D91" s="218">
        <f>SUM(D85:D90)</f>
        <v>78.273073698950782</v>
      </c>
      <c r="E91" s="83">
        <f t="shared" ref="E91:I91" si="33">SUM(E85:E90)</f>
        <v>81.482269720607746</v>
      </c>
      <c r="F91" s="108">
        <f t="shared" si="33"/>
        <v>1.0373859256565657E-2</v>
      </c>
      <c r="G91" s="92">
        <f t="shared" si="33"/>
        <v>89.63049669266853</v>
      </c>
      <c r="H91" s="185"/>
      <c r="I91" s="92">
        <f t="shared" si="33"/>
        <v>89.63049669266853</v>
      </c>
      <c r="J91" s="185"/>
      <c r="K91" s="92">
        <f t="shared" ref="K91" si="34">SUM(K85:K90)</f>
        <v>94.820102451174051</v>
      </c>
    </row>
    <row r="92" spans="1:11" x14ac:dyDescent="0.25">
      <c r="A92" s="501" t="s">
        <v>120</v>
      </c>
      <c r="B92" s="502"/>
      <c r="C92" s="502"/>
      <c r="D92" s="572"/>
      <c r="E92" s="115"/>
      <c r="F92" s="159"/>
      <c r="G92" s="252"/>
      <c r="H92" s="253"/>
      <c r="I92" s="252"/>
      <c r="J92" s="253"/>
      <c r="K92" s="252"/>
    </row>
    <row r="93" spans="1:11" x14ac:dyDescent="0.25">
      <c r="A93" s="173"/>
      <c r="B93" s="174"/>
      <c r="C93" s="174"/>
      <c r="D93" s="250"/>
      <c r="E93" s="115"/>
      <c r="F93" s="159"/>
      <c r="G93" s="160"/>
      <c r="H93" s="159"/>
      <c r="I93" s="160"/>
      <c r="J93" s="370"/>
      <c r="K93" s="371"/>
    </row>
    <row r="94" spans="1:11" x14ac:dyDescent="0.25">
      <c r="A94" s="466" t="s">
        <v>115</v>
      </c>
      <c r="B94" s="467"/>
      <c r="C94" s="467"/>
      <c r="D94" s="484"/>
      <c r="E94" s="115"/>
      <c r="F94" s="159"/>
      <c r="G94" s="160"/>
      <c r="H94" s="159"/>
      <c r="I94" s="160"/>
      <c r="J94" s="370"/>
      <c r="K94" s="371"/>
    </row>
    <row r="95" spans="1:11" x14ac:dyDescent="0.25">
      <c r="A95" s="187" t="s">
        <v>61</v>
      </c>
      <c r="B95" s="178" t="s">
        <v>62</v>
      </c>
      <c r="C95" s="178" t="s">
        <v>5</v>
      </c>
      <c r="D95" s="231"/>
      <c r="E95" s="189"/>
      <c r="F95" s="197" t="s">
        <v>5</v>
      </c>
      <c r="G95" s="93"/>
      <c r="H95" s="197" t="s">
        <v>5</v>
      </c>
      <c r="I95" s="93"/>
      <c r="J95" s="197" t="s">
        <v>5</v>
      </c>
      <c r="K95" s="93"/>
    </row>
    <row r="96" spans="1:11" ht="30" x14ac:dyDescent="0.25">
      <c r="A96" s="161" t="s">
        <v>6</v>
      </c>
      <c r="B96" s="163" t="s">
        <v>63</v>
      </c>
      <c r="C96" s="203"/>
      <c r="D96" s="234"/>
      <c r="E96" s="254"/>
      <c r="F96" s="239"/>
      <c r="G96" s="255"/>
      <c r="H96" s="239"/>
      <c r="I96" s="255"/>
      <c r="J96" s="239"/>
      <c r="K96" s="255"/>
    </row>
    <row r="97" spans="1:11" x14ac:dyDescent="0.25">
      <c r="A97" s="499" t="s">
        <v>18</v>
      </c>
      <c r="B97" s="500"/>
      <c r="C97" s="205">
        <f>SUM(C96)</f>
        <v>0</v>
      </c>
      <c r="D97" s="234"/>
      <c r="E97" s="254"/>
      <c r="F97" s="238">
        <f t="shared" ref="F97" si="35">SUM(F96)</f>
        <v>0</v>
      </c>
      <c r="G97" s="255"/>
      <c r="H97" s="238">
        <f t="shared" ref="H97:J97" si="36">SUM(H96)</f>
        <v>0</v>
      </c>
      <c r="I97" s="255"/>
      <c r="J97" s="238">
        <f t="shared" si="36"/>
        <v>0</v>
      </c>
      <c r="K97" s="255"/>
    </row>
    <row r="98" spans="1:11" x14ac:dyDescent="0.25">
      <c r="A98" s="173"/>
      <c r="B98" s="174"/>
      <c r="C98" s="174"/>
      <c r="D98" s="250"/>
      <c r="E98" s="115"/>
      <c r="F98" s="159"/>
      <c r="G98" s="160"/>
      <c r="H98" s="159"/>
      <c r="I98" s="160"/>
      <c r="J98" s="370"/>
      <c r="K98" s="371"/>
    </row>
    <row r="99" spans="1:11" x14ac:dyDescent="0.25">
      <c r="A99" s="415" t="s">
        <v>116</v>
      </c>
      <c r="B99" s="416"/>
      <c r="C99" s="416"/>
      <c r="D99" s="487"/>
      <c r="E99" s="115"/>
      <c r="F99" s="159"/>
      <c r="G99" s="160"/>
      <c r="H99" s="159"/>
      <c r="I99" s="160"/>
      <c r="J99" s="370"/>
      <c r="K99" s="371"/>
    </row>
    <row r="100" spans="1:11" x14ac:dyDescent="0.25">
      <c r="A100" s="187">
        <v>4</v>
      </c>
      <c r="B100" s="476" t="s">
        <v>64</v>
      </c>
      <c r="C100" s="476"/>
      <c r="D100" s="93" t="s">
        <v>5</v>
      </c>
      <c r="E100" s="189" t="s">
        <v>5</v>
      </c>
      <c r="F100" s="159"/>
      <c r="G100" s="93" t="s">
        <v>5</v>
      </c>
      <c r="H100" s="159"/>
      <c r="I100" s="93" t="s">
        <v>5</v>
      </c>
      <c r="J100" s="370"/>
      <c r="K100" s="93" t="s">
        <v>5</v>
      </c>
    </row>
    <row r="101" spans="1:11" x14ac:dyDescent="0.25">
      <c r="A101" s="181" t="s">
        <v>53</v>
      </c>
      <c r="B101" s="475" t="s">
        <v>54</v>
      </c>
      <c r="C101" s="475"/>
      <c r="D101" s="218">
        <f>D91</f>
        <v>78.273073698950782</v>
      </c>
      <c r="E101" s="83">
        <f>E91</f>
        <v>81.482269720607746</v>
      </c>
      <c r="F101" s="159"/>
      <c r="G101" s="92">
        <f>G91</f>
        <v>89.63049669266853</v>
      </c>
      <c r="H101" s="159"/>
      <c r="I101" s="92">
        <f>I91</f>
        <v>89.63049669266853</v>
      </c>
      <c r="J101" s="370"/>
      <c r="K101" s="92">
        <f>K91</f>
        <v>94.820102451174051</v>
      </c>
    </row>
    <row r="102" spans="1:11" x14ac:dyDescent="0.25">
      <c r="A102" s="181" t="s">
        <v>61</v>
      </c>
      <c r="B102" s="182" t="s">
        <v>65</v>
      </c>
      <c r="C102" s="182"/>
      <c r="D102" s="235">
        <f>C97</f>
        <v>0</v>
      </c>
      <c r="E102" s="207">
        <f>D97</f>
        <v>0</v>
      </c>
      <c r="F102" s="159"/>
      <c r="G102" s="97">
        <f>F97</f>
        <v>0</v>
      </c>
      <c r="H102" s="159"/>
      <c r="I102" s="97">
        <f>H97</f>
        <v>0</v>
      </c>
      <c r="J102" s="370"/>
      <c r="K102" s="97">
        <f>J97</f>
        <v>0</v>
      </c>
    </row>
    <row r="103" spans="1:11" x14ac:dyDescent="0.25">
      <c r="A103" s="466" t="s">
        <v>18</v>
      </c>
      <c r="B103" s="467"/>
      <c r="C103" s="467"/>
      <c r="D103" s="218">
        <f>SUM(D101:D102)</f>
        <v>78.273073698950782</v>
      </c>
      <c r="E103" s="83">
        <f>SUM(E101:E102)</f>
        <v>81.482269720607746</v>
      </c>
      <c r="F103" s="159"/>
      <c r="G103" s="92">
        <f>SUM(G101:G102)</f>
        <v>89.63049669266853</v>
      </c>
      <c r="H103" s="159"/>
      <c r="I103" s="92">
        <f>SUM(I101:I102)</f>
        <v>89.63049669266853</v>
      </c>
      <c r="J103" s="370"/>
      <c r="K103" s="92">
        <f>SUM(K101:K102)</f>
        <v>94.820102451174051</v>
      </c>
    </row>
    <row r="104" spans="1:11" x14ac:dyDescent="0.25">
      <c r="A104" s="173"/>
      <c r="B104" s="174"/>
      <c r="C104" s="174"/>
      <c r="D104" s="250"/>
      <c r="E104" s="115"/>
      <c r="F104" s="159"/>
      <c r="G104" s="160"/>
      <c r="H104" s="159"/>
      <c r="I104" s="160"/>
      <c r="J104" s="370"/>
      <c r="K104" s="371"/>
    </row>
    <row r="105" spans="1:11" x14ac:dyDescent="0.25">
      <c r="A105" s="481" t="s">
        <v>66</v>
      </c>
      <c r="B105" s="482"/>
      <c r="C105" s="482"/>
      <c r="D105" s="483"/>
      <c r="E105" s="115"/>
      <c r="F105" s="159"/>
      <c r="G105" s="160"/>
      <c r="H105" s="159"/>
      <c r="I105" s="160"/>
      <c r="J105" s="370"/>
      <c r="K105" s="371"/>
    </row>
    <row r="106" spans="1:11" x14ac:dyDescent="0.25">
      <c r="A106" s="187">
        <v>5</v>
      </c>
      <c r="B106" s="476" t="s">
        <v>67</v>
      </c>
      <c r="C106" s="476"/>
      <c r="D106" s="93" t="s">
        <v>5</v>
      </c>
      <c r="E106" s="189" t="s">
        <v>5</v>
      </c>
      <c r="F106" s="159"/>
      <c r="G106" s="93" t="s">
        <v>5</v>
      </c>
      <c r="H106" s="159"/>
      <c r="I106" s="93" t="s">
        <v>5</v>
      </c>
      <c r="J106" s="370"/>
      <c r="K106" s="93" t="s">
        <v>5</v>
      </c>
    </row>
    <row r="107" spans="1:11" x14ac:dyDescent="0.25">
      <c r="A107" s="181" t="s">
        <v>6</v>
      </c>
      <c r="B107" s="475" t="s">
        <v>68</v>
      </c>
      <c r="C107" s="475"/>
      <c r="D107" s="218">
        <v>0</v>
      </c>
      <c r="E107" s="83">
        <v>0</v>
      </c>
      <c r="F107" s="159"/>
      <c r="G107" s="92">
        <v>0</v>
      </c>
      <c r="H107" s="159"/>
      <c r="I107" s="92">
        <v>0</v>
      </c>
      <c r="J107" s="370"/>
      <c r="K107" s="92">
        <v>0</v>
      </c>
    </row>
    <row r="108" spans="1:11" x14ac:dyDescent="0.25">
      <c r="A108" s="181" t="s">
        <v>8</v>
      </c>
      <c r="B108" s="475" t="s">
        <v>69</v>
      </c>
      <c r="C108" s="475"/>
      <c r="D108" s="218">
        <v>0</v>
      </c>
      <c r="E108" s="83">
        <v>0</v>
      </c>
      <c r="F108" s="159"/>
      <c r="G108" s="92">
        <v>0</v>
      </c>
      <c r="H108" s="159"/>
      <c r="I108" s="92">
        <v>0</v>
      </c>
      <c r="J108" s="370"/>
      <c r="K108" s="92">
        <v>0</v>
      </c>
    </row>
    <row r="109" spans="1:11" x14ac:dyDescent="0.25">
      <c r="A109" s="181" t="s">
        <v>10</v>
      </c>
      <c r="B109" s="475" t="s">
        <v>70</v>
      </c>
      <c r="C109" s="475"/>
      <c r="D109" s="218">
        <v>0</v>
      </c>
      <c r="E109" s="83">
        <v>0</v>
      </c>
      <c r="F109" s="159"/>
      <c r="G109" s="92">
        <v>0</v>
      </c>
      <c r="H109" s="159"/>
      <c r="I109" s="92">
        <v>0</v>
      </c>
      <c r="J109" s="370"/>
      <c r="K109" s="92">
        <v>0</v>
      </c>
    </row>
    <row r="110" spans="1:11" x14ac:dyDescent="0.25">
      <c r="A110" s="181" t="s">
        <v>12</v>
      </c>
      <c r="B110" s="475" t="s">
        <v>17</v>
      </c>
      <c r="C110" s="475"/>
      <c r="D110" s="218">
        <v>0</v>
      </c>
      <c r="E110" s="83">
        <v>0</v>
      </c>
      <c r="F110" s="159"/>
      <c r="G110" s="92">
        <v>0</v>
      </c>
      <c r="H110" s="159"/>
      <c r="I110" s="92">
        <v>0</v>
      </c>
      <c r="J110" s="370"/>
      <c r="K110" s="92">
        <v>0</v>
      </c>
    </row>
    <row r="111" spans="1:11" x14ac:dyDescent="0.25">
      <c r="A111" s="466" t="s">
        <v>18</v>
      </c>
      <c r="B111" s="467"/>
      <c r="C111" s="467"/>
      <c r="D111" s="218">
        <f>SUM(D107:D110)</f>
        <v>0</v>
      </c>
      <c r="E111" s="83">
        <f t="shared" ref="E111" si="37">SUM(E107:E110)</f>
        <v>0</v>
      </c>
      <c r="F111" s="159"/>
      <c r="G111" s="92">
        <f t="shared" ref="G111" si="38">SUM(G107:G110)</f>
        <v>0</v>
      </c>
      <c r="H111" s="159"/>
      <c r="I111" s="92">
        <f t="shared" ref="I111:K111" si="39">SUM(I107:I110)</f>
        <v>0</v>
      </c>
      <c r="J111" s="370"/>
      <c r="K111" s="92">
        <f t="shared" si="39"/>
        <v>0</v>
      </c>
    </row>
    <row r="112" spans="1:11" x14ac:dyDescent="0.25">
      <c r="A112" s="501" t="s">
        <v>80</v>
      </c>
      <c r="B112" s="502"/>
      <c r="C112" s="502"/>
      <c r="D112" s="572"/>
      <c r="E112" s="115"/>
      <c r="F112" s="159"/>
      <c r="G112" s="160"/>
      <c r="H112" s="159"/>
      <c r="I112" s="160"/>
      <c r="J112" s="370"/>
      <c r="K112" s="371"/>
    </row>
    <row r="113" spans="1:11" x14ac:dyDescent="0.25">
      <c r="A113" s="173"/>
      <c r="B113" s="174"/>
      <c r="C113" s="174"/>
      <c r="D113" s="250"/>
      <c r="E113" s="115"/>
      <c r="F113" s="159"/>
      <c r="G113" s="160"/>
      <c r="H113" s="159"/>
      <c r="I113" s="160"/>
      <c r="J113" s="370"/>
      <c r="K113" s="371"/>
    </row>
    <row r="114" spans="1:11" x14ac:dyDescent="0.25">
      <c r="A114" s="481" t="s">
        <v>71</v>
      </c>
      <c r="B114" s="482"/>
      <c r="C114" s="482"/>
      <c r="D114" s="483"/>
      <c r="E114" s="115"/>
      <c r="F114" s="159"/>
      <c r="G114" s="160"/>
      <c r="H114" s="159"/>
      <c r="I114" s="160"/>
      <c r="J114" s="370"/>
      <c r="K114" s="371"/>
    </row>
    <row r="115" spans="1:11" x14ac:dyDescent="0.25">
      <c r="A115" s="477" t="s">
        <v>121</v>
      </c>
      <c r="B115" s="478"/>
      <c r="C115" s="479" t="s">
        <v>122</v>
      </c>
      <c r="D115" s="480"/>
      <c r="E115" s="208"/>
      <c r="F115" s="159"/>
      <c r="G115" s="210" t="s">
        <v>122</v>
      </c>
      <c r="H115" s="159"/>
      <c r="I115" s="210" t="s">
        <v>122</v>
      </c>
      <c r="J115" s="370"/>
      <c r="K115" s="377" t="s">
        <v>122</v>
      </c>
    </row>
    <row r="116" spans="1:11" x14ac:dyDescent="0.25">
      <c r="A116" s="187">
        <v>6</v>
      </c>
      <c r="B116" s="178" t="s">
        <v>72</v>
      </c>
      <c r="C116" s="178" t="s">
        <v>26</v>
      </c>
      <c r="D116" s="231" t="s">
        <v>5</v>
      </c>
      <c r="E116" s="189" t="s">
        <v>5</v>
      </c>
      <c r="F116" s="245"/>
      <c r="G116" s="93" t="s">
        <v>5</v>
      </c>
      <c r="H116" s="245"/>
      <c r="I116" s="93" t="s">
        <v>5</v>
      </c>
      <c r="J116" s="245"/>
      <c r="K116" s="93" t="s">
        <v>5</v>
      </c>
    </row>
    <row r="117" spans="1:11" x14ac:dyDescent="0.25">
      <c r="A117" s="181" t="s">
        <v>6</v>
      </c>
      <c r="B117" s="182" t="s">
        <v>73</v>
      </c>
      <c r="C117" s="191">
        <v>0.05</v>
      </c>
      <c r="D117" s="233">
        <f>C117*D135</f>
        <v>515.06789331301479</v>
      </c>
      <c r="E117" s="83">
        <f>$C117*E$135</f>
        <v>535.73921843884852</v>
      </c>
      <c r="F117" s="241"/>
      <c r="G117" s="92">
        <f>$C117*G$135</f>
        <v>585.1512869790397</v>
      </c>
      <c r="H117" s="241"/>
      <c r="I117" s="92">
        <f>$C117*I$135</f>
        <v>576.1540784222658</v>
      </c>
      <c r="J117" s="241"/>
      <c r="K117" s="92">
        <f>$C117*K$135</f>
        <v>604.85293454203156</v>
      </c>
    </row>
    <row r="118" spans="1:11" x14ac:dyDescent="0.25">
      <c r="A118" s="181" t="s">
        <v>8</v>
      </c>
      <c r="B118" s="182" t="s">
        <v>74</v>
      </c>
      <c r="C118" s="191">
        <v>2.0901900603589235E-2</v>
      </c>
      <c r="D118" s="233">
        <f>C118*D135</f>
        <v>215.3179582025748</v>
      </c>
      <c r="E118" s="83">
        <f>$C118*E$135</f>
        <v>223.95935786506783</v>
      </c>
      <c r="F118" s="241"/>
      <c r="G118" s="92">
        <f>$C118*G$135</f>
        <v>244.61548076996414</v>
      </c>
      <c r="H118" s="241"/>
      <c r="I118" s="92">
        <f>$C118*I$135</f>
        <v>240.85430559069513</v>
      </c>
      <c r="J118" s="241"/>
      <c r="K118" s="92">
        <f>$C118*K$135</f>
        <v>252.85151835173619</v>
      </c>
    </row>
    <row r="119" spans="1:11" x14ac:dyDescent="0.25">
      <c r="A119" s="181" t="s">
        <v>10</v>
      </c>
      <c r="B119" s="182" t="s">
        <v>130</v>
      </c>
      <c r="C119" s="193">
        <f>SUM(C120:C122)</f>
        <v>8.6499999999999994E-2</v>
      </c>
      <c r="D119" s="233">
        <f>(D135+D118+D117)*(C119/IF(C115="Lucro presumido",91.45%,85.75%))</f>
        <v>1043.4618169356086</v>
      </c>
      <c r="E119" s="83">
        <f>(E$135+E$118+E$117)*($C119/IF($C115="Lucro presumido",91.45%,85.75%))</f>
        <v>1085.3392834876945</v>
      </c>
      <c r="F119" s="241"/>
      <c r="G119" s="92">
        <f>(G$135+G$118+G$117)*($C119/IF($C115="Lucro presumido",91.45%,85.75%))</f>
        <v>1185.4418281946719</v>
      </c>
      <c r="H119" s="241"/>
      <c r="I119" s="92">
        <f>(I$135+I$118+I$117)*($C119/IF($C115="Lucro presumido",91.45%,85.75%))</f>
        <v>1167.2146319165017</v>
      </c>
      <c r="J119" s="241"/>
      <c r="K119" s="92">
        <f>(K$135+K$118+K$117)*($C119/IF($C115="Lucro presumido",91.45%,85.75%))</f>
        <v>1225.3548517583658</v>
      </c>
    </row>
    <row r="120" spans="1:11" x14ac:dyDescent="0.25">
      <c r="A120" s="181" t="s">
        <v>125</v>
      </c>
      <c r="B120" s="182" t="s">
        <v>124</v>
      </c>
      <c r="C120" s="193">
        <f>IF(C115="Lucro presumido",0.65%,1.65%)</f>
        <v>6.5000000000000006E-3</v>
      </c>
      <c r="D120" s="219" t="s">
        <v>123</v>
      </c>
      <c r="E120" s="83" t="s">
        <v>123</v>
      </c>
      <c r="F120" s="241"/>
      <c r="G120" s="92" t="s">
        <v>123</v>
      </c>
      <c r="H120" s="241"/>
      <c r="I120" s="92" t="s">
        <v>123</v>
      </c>
      <c r="J120" s="241"/>
      <c r="K120" s="92" t="s">
        <v>123</v>
      </c>
    </row>
    <row r="121" spans="1:11" x14ac:dyDescent="0.25">
      <c r="A121" s="181" t="s">
        <v>127</v>
      </c>
      <c r="B121" s="182" t="s">
        <v>126</v>
      </c>
      <c r="C121" s="193">
        <f>IF(C115="Lucro presumido",3%,7.6%)</f>
        <v>0.03</v>
      </c>
      <c r="D121" s="219" t="s">
        <v>123</v>
      </c>
      <c r="E121" s="83" t="s">
        <v>123</v>
      </c>
      <c r="F121" s="241"/>
      <c r="G121" s="92" t="s">
        <v>123</v>
      </c>
      <c r="H121" s="241"/>
      <c r="I121" s="92" t="s">
        <v>123</v>
      </c>
      <c r="J121" s="241"/>
      <c r="K121" s="92" t="s">
        <v>123</v>
      </c>
    </row>
    <row r="122" spans="1:11" x14ac:dyDescent="0.25">
      <c r="A122" s="181" t="s">
        <v>129</v>
      </c>
      <c r="B122" s="182" t="s">
        <v>128</v>
      </c>
      <c r="C122" s="193">
        <v>0.05</v>
      </c>
      <c r="D122" s="219" t="s">
        <v>123</v>
      </c>
      <c r="E122" s="83" t="s">
        <v>123</v>
      </c>
      <c r="F122" s="241"/>
      <c r="G122" s="92" t="s">
        <v>123</v>
      </c>
      <c r="H122" s="241"/>
      <c r="I122" s="92" t="s">
        <v>123</v>
      </c>
      <c r="J122" s="241"/>
      <c r="K122" s="92" t="s">
        <v>123</v>
      </c>
    </row>
    <row r="123" spans="1:11" ht="30" x14ac:dyDescent="0.25">
      <c r="A123" s="161" t="s">
        <v>12</v>
      </c>
      <c r="B123" s="163" t="s">
        <v>132</v>
      </c>
      <c r="C123" s="243">
        <v>4.4999999999999998E-2</v>
      </c>
      <c r="D123" s="244">
        <f>(D135+D118+D117)*(C123/IF(C115="Lucro presumido",91.45%,85.75%))</f>
        <v>542.84140765436291</v>
      </c>
      <c r="E123" s="83">
        <f>(E$135+E$118+E$117)*($C123/IF($C115="Lucro presumido",91.45%,85.75%))</f>
        <v>564.62737291267342</v>
      </c>
      <c r="F123" s="241"/>
      <c r="G123" s="92">
        <f>(G$135+G$118+G$117)*($C123/IF($C115="Lucro presumido",91.45%,85.75%))</f>
        <v>616.70384125734381</v>
      </c>
      <c r="H123" s="241"/>
      <c r="I123" s="92">
        <f>(I$135+I$118+I$117)*($C123/IF($C115="Lucro presumido",91.45%,85.75%))</f>
        <v>607.22148481205295</v>
      </c>
      <c r="J123" s="241"/>
      <c r="K123" s="92">
        <f>(K$135+K$118+K$117)*($C123/IF($C115="Lucro presumido",91.45%,85.75%))</f>
        <v>637.46784195521923</v>
      </c>
    </row>
    <row r="124" spans="1:11" x14ac:dyDescent="0.25">
      <c r="A124" s="466" t="s">
        <v>18</v>
      </c>
      <c r="B124" s="467"/>
      <c r="C124" s="193">
        <f>SUM(C117:C119)+(C123)</f>
        <v>0.2024019006035892</v>
      </c>
      <c r="D124" s="233">
        <f>SUM(D117:D119)+D123</f>
        <v>2316.6890761055611</v>
      </c>
      <c r="E124" s="83">
        <f t="shared" ref="E124" si="40">SUM(E117:E119)+E123</f>
        <v>2409.6652327042843</v>
      </c>
      <c r="F124" s="241"/>
      <c r="G124" s="92">
        <f t="shared" ref="G124" si="41">SUM(G117:G119)+G123</f>
        <v>2631.9124372010197</v>
      </c>
      <c r="H124" s="241"/>
      <c r="I124" s="92">
        <f t="shared" ref="I124:K124" si="42">SUM(I117:I119)+I123</f>
        <v>2591.4445007415156</v>
      </c>
      <c r="J124" s="241"/>
      <c r="K124" s="92">
        <f t="shared" si="42"/>
        <v>2720.5271466073527</v>
      </c>
    </row>
    <row r="125" spans="1:11" x14ac:dyDescent="0.25">
      <c r="A125" s="501" t="s">
        <v>81</v>
      </c>
      <c r="B125" s="502"/>
      <c r="C125" s="502"/>
      <c r="D125" s="572"/>
      <c r="E125" s="115"/>
      <c r="F125" s="159"/>
      <c r="G125" s="160"/>
      <c r="H125" s="159"/>
      <c r="I125" s="160"/>
      <c r="J125" s="370"/>
      <c r="K125" s="371"/>
    </row>
    <row r="126" spans="1:11" x14ac:dyDescent="0.25">
      <c r="A126" s="501" t="s">
        <v>131</v>
      </c>
      <c r="B126" s="502"/>
      <c r="C126" s="502"/>
      <c r="D126" s="572"/>
      <c r="E126" s="115"/>
      <c r="F126" s="159"/>
      <c r="G126" s="160"/>
      <c r="H126" s="159"/>
      <c r="I126" s="160"/>
      <c r="J126" s="370"/>
      <c r="K126" s="371"/>
    </row>
    <row r="127" spans="1:11" x14ac:dyDescent="0.25">
      <c r="A127" s="173"/>
      <c r="B127" s="174"/>
      <c r="C127" s="174"/>
      <c r="D127" s="250"/>
      <c r="E127" s="115"/>
      <c r="F127" s="159"/>
      <c r="G127" s="160"/>
      <c r="H127" s="159"/>
      <c r="I127" s="160"/>
      <c r="J127" s="370"/>
      <c r="K127" s="371"/>
    </row>
    <row r="128" spans="1:11" x14ac:dyDescent="0.25">
      <c r="A128" s="481" t="s">
        <v>117</v>
      </c>
      <c r="B128" s="482"/>
      <c r="C128" s="482"/>
      <c r="D128" s="483"/>
      <c r="E128" s="115"/>
      <c r="F128" s="159"/>
      <c r="G128" s="160"/>
      <c r="H128" s="159"/>
      <c r="I128" s="160"/>
      <c r="J128" s="370"/>
      <c r="K128" s="371"/>
    </row>
    <row r="129" spans="1:11" ht="30" x14ac:dyDescent="0.25">
      <c r="A129" s="499" t="s">
        <v>82</v>
      </c>
      <c r="B129" s="507"/>
      <c r="C129" s="500"/>
      <c r="D129" s="93" t="s">
        <v>75</v>
      </c>
      <c r="E129" s="169" t="s">
        <v>171</v>
      </c>
      <c r="F129" s="159"/>
      <c r="G129" s="171" t="s">
        <v>210</v>
      </c>
      <c r="H129" s="159"/>
      <c r="I129" s="171" t="s">
        <v>215</v>
      </c>
      <c r="J129" s="370"/>
      <c r="K129" s="378" t="s">
        <v>215</v>
      </c>
    </row>
    <row r="130" spans="1:11" x14ac:dyDescent="0.25">
      <c r="A130" s="161" t="s">
        <v>6</v>
      </c>
      <c r="B130" s="474" t="s">
        <v>76</v>
      </c>
      <c r="C130" s="474"/>
      <c r="D130" s="218">
        <f>D19</f>
        <v>6222.56</v>
      </c>
      <c r="E130" s="83">
        <f t="shared" ref="E130" si="43">E19</f>
        <v>6477.6849599999996</v>
      </c>
      <c r="F130" s="159"/>
      <c r="G130" s="92">
        <f t="shared" ref="G130" si="44">G19</f>
        <v>7125.4534560000002</v>
      </c>
      <c r="H130" s="159"/>
      <c r="I130" s="92">
        <f t="shared" ref="I130:K130" si="45">I19</f>
        <v>7125.4534560000002</v>
      </c>
      <c r="J130" s="370"/>
      <c r="K130" s="92">
        <f t="shared" si="45"/>
        <v>7538.0172111024003</v>
      </c>
    </row>
    <row r="131" spans="1:11" x14ac:dyDescent="0.25">
      <c r="A131" s="161" t="s">
        <v>8</v>
      </c>
      <c r="B131" s="474" t="s">
        <v>20</v>
      </c>
      <c r="C131" s="474"/>
      <c r="D131" s="218">
        <f>D65</f>
        <v>3527.0225044363633</v>
      </c>
      <c r="E131" s="83">
        <f t="shared" ref="E131" si="46">E65</f>
        <v>3662.701257118254</v>
      </c>
      <c r="F131" s="159"/>
      <c r="G131" s="92">
        <f t="shared" ref="G131" si="47">G65</f>
        <v>3946.6086122943998</v>
      </c>
      <c r="H131" s="159"/>
      <c r="I131" s="92">
        <f t="shared" ref="I131:K131" si="48">I65</f>
        <v>3946.6086122943998</v>
      </c>
      <c r="J131" s="370"/>
      <c r="K131" s="92">
        <f t="shared" si="48"/>
        <v>4081.9079505285763</v>
      </c>
    </row>
    <row r="132" spans="1:11" x14ac:dyDescent="0.25">
      <c r="A132" s="161" t="s">
        <v>10</v>
      </c>
      <c r="B132" s="474" t="s">
        <v>77</v>
      </c>
      <c r="C132" s="474"/>
      <c r="D132" s="218">
        <f>D76</f>
        <v>473.50228812498324</v>
      </c>
      <c r="E132" s="83">
        <f t="shared" ref="E132" si="49">E76</f>
        <v>492.91588193810747</v>
      </c>
      <c r="F132" s="159"/>
      <c r="G132" s="92">
        <f t="shared" ref="G132" si="50">G76</f>
        <v>541.33317459372449</v>
      </c>
      <c r="H132" s="159"/>
      <c r="I132" s="92">
        <f t="shared" ref="I132:K132" si="51">I76</f>
        <v>361.38900345824686</v>
      </c>
      <c r="J132" s="370"/>
      <c r="K132" s="92">
        <f t="shared" si="51"/>
        <v>382.31342675847941</v>
      </c>
    </row>
    <row r="133" spans="1:11" x14ac:dyDescent="0.25">
      <c r="A133" s="161" t="s">
        <v>12</v>
      </c>
      <c r="B133" s="474" t="s">
        <v>52</v>
      </c>
      <c r="C133" s="474"/>
      <c r="D133" s="218">
        <f>D103</f>
        <v>78.273073698950782</v>
      </c>
      <c r="E133" s="83">
        <f t="shared" ref="E133" si="52">E103</f>
        <v>81.482269720607746</v>
      </c>
      <c r="F133" s="159"/>
      <c r="G133" s="92">
        <f t="shared" ref="G133" si="53">G103</f>
        <v>89.63049669266853</v>
      </c>
      <c r="H133" s="159"/>
      <c r="I133" s="92">
        <f t="shared" ref="I133:K133" si="54">I103</f>
        <v>89.63049669266853</v>
      </c>
      <c r="J133" s="370"/>
      <c r="K133" s="92">
        <f t="shared" si="54"/>
        <v>94.820102451174051</v>
      </c>
    </row>
    <row r="134" spans="1:11" x14ac:dyDescent="0.25">
      <c r="A134" s="161" t="s">
        <v>14</v>
      </c>
      <c r="B134" s="474" t="s">
        <v>66</v>
      </c>
      <c r="C134" s="474"/>
      <c r="D134" s="218">
        <f>D111</f>
        <v>0</v>
      </c>
      <c r="E134" s="83">
        <f t="shared" ref="E134" si="55">E111</f>
        <v>0</v>
      </c>
      <c r="F134" s="159"/>
      <c r="G134" s="92">
        <f t="shared" ref="G134" si="56">G111</f>
        <v>0</v>
      </c>
      <c r="H134" s="159"/>
      <c r="I134" s="92">
        <f t="shared" ref="I134:K134" si="57">I111</f>
        <v>0</v>
      </c>
      <c r="J134" s="370"/>
      <c r="K134" s="92">
        <f t="shared" si="57"/>
        <v>0</v>
      </c>
    </row>
    <row r="135" spans="1:11" x14ac:dyDescent="0.25">
      <c r="A135" s="466" t="s">
        <v>78</v>
      </c>
      <c r="B135" s="467"/>
      <c r="C135" s="467"/>
      <c r="D135" s="218">
        <f>SUM(D130:D134)</f>
        <v>10301.357866260296</v>
      </c>
      <c r="E135" s="83">
        <f t="shared" ref="E135" si="58">SUM(E130:E134)</f>
        <v>10714.784368776969</v>
      </c>
      <c r="F135" s="159"/>
      <c r="G135" s="92">
        <f t="shared" ref="G135" si="59">SUM(G130:G134)</f>
        <v>11703.025739580793</v>
      </c>
      <c r="H135" s="159"/>
      <c r="I135" s="92">
        <f t="shared" ref="I135:K135" si="60">SUM(I130:I134)</f>
        <v>11523.081568445315</v>
      </c>
      <c r="J135" s="370"/>
      <c r="K135" s="92">
        <f t="shared" si="60"/>
        <v>12097.058690840631</v>
      </c>
    </row>
    <row r="136" spans="1:11" x14ac:dyDescent="0.25">
      <c r="A136" s="181" t="s">
        <v>16</v>
      </c>
      <c r="B136" s="475" t="s">
        <v>71</v>
      </c>
      <c r="C136" s="475"/>
      <c r="D136" s="218">
        <f>D124</f>
        <v>2316.6890761055611</v>
      </c>
      <c r="E136" s="83">
        <f t="shared" ref="E136" si="61">E124</f>
        <v>2409.6652327042843</v>
      </c>
      <c r="F136" s="159"/>
      <c r="G136" s="92">
        <f t="shared" ref="G136" si="62">G124</f>
        <v>2631.9124372010197</v>
      </c>
      <c r="H136" s="159"/>
      <c r="I136" s="92">
        <f t="shared" ref="I136:K136" si="63">I124</f>
        <v>2591.4445007415156</v>
      </c>
      <c r="J136" s="370"/>
      <c r="K136" s="92">
        <f t="shared" si="63"/>
        <v>2720.5271466073527</v>
      </c>
    </row>
    <row r="137" spans="1:11" ht="15.75" thickBot="1" x14ac:dyDescent="0.3">
      <c r="A137" s="485" t="s">
        <v>79</v>
      </c>
      <c r="B137" s="486"/>
      <c r="C137" s="486"/>
      <c r="D137" s="236">
        <f>SUM(D135:D136)</f>
        <v>12618.046942365858</v>
      </c>
      <c r="E137" s="213">
        <f t="shared" ref="E137" si="64">SUM(E135:E136)</f>
        <v>13124.449601481254</v>
      </c>
      <c r="F137" s="248"/>
      <c r="G137" s="215">
        <f t="shared" ref="G137" si="65">SUM(G135:G136)</f>
        <v>14334.938176781812</v>
      </c>
      <c r="H137" s="248"/>
      <c r="I137" s="215">
        <f t="shared" ref="I137:K137" si="66">SUM(I135:I136)</f>
        <v>14114.526069186832</v>
      </c>
      <c r="J137" s="248"/>
      <c r="K137" s="215">
        <f t="shared" si="66"/>
        <v>14817.585837447983</v>
      </c>
    </row>
  </sheetData>
  <mergeCells count="85">
    <mergeCell ref="J4:K4"/>
    <mergeCell ref="J1:K3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F4:G4"/>
    <mergeCell ref="H4:I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00000000-0002-0000-02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38"/>
  <sheetViews>
    <sheetView topLeftCell="A22" workbookViewId="0">
      <selection activeCell="O18" sqref="O18"/>
    </sheetView>
  </sheetViews>
  <sheetFormatPr defaultRowHeight="15" x14ac:dyDescent="0.25"/>
  <cols>
    <col min="1" max="1" width="9.140625" style="216"/>
    <col min="2" max="2" width="46.42578125" style="217" customWidth="1"/>
    <col min="3" max="3" width="17.7109375" style="217" customWidth="1"/>
    <col min="4" max="4" width="17" style="216" customWidth="1"/>
    <col min="5" max="9" width="20.7109375" style="216" customWidth="1"/>
    <col min="10" max="10" width="14.140625" bestFit="1" customWidth="1"/>
    <col min="11" max="11" width="20.5703125" bestFit="1" customWidth="1"/>
  </cols>
  <sheetData>
    <row r="1" spans="1:11" x14ac:dyDescent="0.25">
      <c r="A1" s="495" t="s">
        <v>98</v>
      </c>
      <c r="B1" s="496"/>
      <c r="C1" s="496"/>
      <c r="D1" s="570"/>
      <c r="E1" s="445" t="s">
        <v>225</v>
      </c>
      <c r="F1" s="451"/>
      <c r="G1" s="451"/>
      <c r="H1" s="451"/>
      <c r="I1" s="446"/>
      <c r="J1" s="445" t="s">
        <v>267</v>
      </c>
      <c r="K1" s="451"/>
    </row>
    <row r="2" spans="1:11" x14ac:dyDescent="0.25">
      <c r="A2" s="497"/>
      <c r="B2" s="498"/>
      <c r="C2" s="498"/>
      <c r="D2" s="571"/>
      <c r="E2" s="452"/>
      <c r="F2" s="453"/>
      <c r="G2" s="453"/>
      <c r="H2" s="453"/>
      <c r="I2" s="454"/>
      <c r="J2" s="452"/>
      <c r="K2" s="453"/>
    </row>
    <row r="3" spans="1:11" ht="15.75" thickBot="1" x14ac:dyDescent="0.3">
      <c r="A3" s="466" t="s">
        <v>0</v>
      </c>
      <c r="B3" s="467"/>
      <c r="C3" s="467"/>
      <c r="D3" s="484"/>
      <c r="E3" s="576"/>
      <c r="F3" s="577"/>
      <c r="G3" s="577"/>
      <c r="H3" s="577"/>
      <c r="I3" s="578"/>
      <c r="J3" s="576"/>
      <c r="K3" s="577"/>
    </row>
    <row r="4" spans="1:11" ht="30" x14ac:dyDescent="0.25">
      <c r="A4" s="161">
        <v>1</v>
      </c>
      <c r="B4" s="162" t="s">
        <v>1</v>
      </c>
      <c r="C4" s="512" t="s">
        <v>146</v>
      </c>
      <c r="D4" s="569"/>
      <c r="E4" s="114" t="s">
        <v>146</v>
      </c>
      <c r="F4" s="574" t="s">
        <v>146</v>
      </c>
      <c r="G4" s="575"/>
      <c r="H4" s="574" t="s">
        <v>146</v>
      </c>
      <c r="I4" s="575"/>
      <c r="J4" s="574" t="s">
        <v>146</v>
      </c>
      <c r="K4" s="575"/>
    </row>
    <row r="5" spans="1:11" x14ac:dyDescent="0.25">
      <c r="A5" s="159">
        <v>2</v>
      </c>
      <c r="B5" s="163" t="s">
        <v>2</v>
      </c>
      <c r="C5" s="491"/>
      <c r="D5" s="433"/>
      <c r="E5" s="115"/>
      <c r="F5" s="159"/>
      <c r="G5" s="160"/>
      <c r="H5" s="159"/>
      <c r="I5" s="160"/>
      <c r="J5" s="370"/>
      <c r="K5" s="371"/>
    </row>
    <row r="6" spans="1:11" x14ac:dyDescent="0.25">
      <c r="A6" s="159">
        <v>3</v>
      </c>
      <c r="B6" s="163" t="s">
        <v>100</v>
      </c>
      <c r="C6" s="492">
        <v>6113.95</v>
      </c>
      <c r="D6" s="448"/>
      <c r="E6" s="85">
        <f>C6*1.041</f>
        <v>6364.6219499999997</v>
      </c>
      <c r="F6" s="152"/>
      <c r="G6" s="153">
        <f>E6*1.1</f>
        <v>7001.0841450000007</v>
      </c>
      <c r="H6" s="152"/>
      <c r="I6" s="153">
        <f>G6</f>
        <v>7001.0841450000007</v>
      </c>
      <c r="J6" s="374"/>
      <c r="K6" s="375">
        <f>I6*1.0579</f>
        <v>7406.4469169955009</v>
      </c>
    </row>
    <row r="7" spans="1:11" ht="30" x14ac:dyDescent="0.25">
      <c r="A7" s="159">
        <v>4</v>
      </c>
      <c r="B7" s="163" t="s">
        <v>101</v>
      </c>
      <c r="C7" s="493" t="s">
        <v>157</v>
      </c>
      <c r="D7" s="450"/>
      <c r="E7" s="104" t="s">
        <v>157</v>
      </c>
      <c r="F7" s="154"/>
      <c r="G7" s="155" t="s">
        <v>157</v>
      </c>
      <c r="H7" s="154"/>
      <c r="I7" s="155" t="s">
        <v>157</v>
      </c>
      <c r="J7" s="372"/>
      <c r="K7" s="373" t="s">
        <v>157</v>
      </c>
    </row>
    <row r="8" spans="1:11" x14ac:dyDescent="0.25">
      <c r="A8" s="159">
        <v>5</v>
      </c>
      <c r="B8" s="163" t="s">
        <v>3</v>
      </c>
      <c r="C8" s="494">
        <v>43831</v>
      </c>
      <c r="D8" s="433"/>
      <c r="E8" s="86">
        <v>44197</v>
      </c>
      <c r="F8" s="159"/>
      <c r="G8" s="150">
        <v>44562</v>
      </c>
      <c r="H8" s="159"/>
      <c r="I8" s="150">
        <v>44562</v>
      </c>
      <c r="J8" s="370"/>
      <c r="K8" s="376">
        <v>44927</v>
      </c>
    </row>
    <row r="9" spans="1:11" x14ac:dyDescent="0.25">
      <c r="A9" s="159">
        <v>6</v>
      </c>
      <c r="B9" s="163" t="s">
        <v>102</v>
      </c>
      <c r="C9" s="494" t="s">
        <v>156</v>
      </c>
      <c r="D9" s="433"/>
      <c r="E9" s="86" t="s">
        <v>169</v>
      </c>
      <c r="F9" s="159"/>
      <c r="G9" s="150" t="s">
        <v>170</v>
      </c>
      <c r="H9" s="159"/>
      <c r="I9" s="150" t="s">
        <v>170</v>
      </c>
      <c r="J9" s="370"/>
      <c r="K9" s="376" t="s">
        <v>265</v>
      </c>
    </row>
    <row r="10" spans="1:11" x14ac:dyDescent="0.25">
      <c r="A10" s="173"/>
      <c r="B10" s="174"/>
      <c r="C10" s="174"/>
      <c r="D10" s="250"/>
      <c r="E10" s="115"/>
      <c r="F10" s="159"/>
      <c r="G10" s="160"/>
      <c r="H10" s="159"/>
      <c r="I10" s="160"/>
      <c r="J10" s="370"/>
      <c r="K10" s="371"/>
    </row>
    <row r="11" spans="1:11" ht="105" x14ac:dyDescent="0.25">
      <c r="A11" s="415" t="s">
        <v>76</v>
      </c>
      <c r="B11" s="416"/>
      <c r="C11" s="416"/>
      <c r="D11" s="487"/>
      <c r="E11" s="240" t="s">
        <v>238</v>
      </c>
      <c r="F11" s="159"/>
      <c r="G11" s="224" t="s">
        <v>237</v>
      </c>
      <c r="H11" s="159"/>
      <c r="I11" s="224" t="s">
        <v>229</v>
      </c>
      <c r="J11" s="259"/>
      <c r="K11" s="260" t="s">
        <v>272</v>
      </c>
    </row>
    <row r="12" spans="1:11" ht="30" x14ac:dyDescent="0.25">
      <c r="A12" s="187">
        <v>1</v>
      </c>
      <c r="B12" s="476" t="s">
        <v>4</v>
      </c>
      <c r="C12" s="476"/>
      <c r="D12" s="93" t="s">
        <v>5</v>
      </c>
      <c r="E12" s="169" t="s">
        <v>171</v>
      </c>
      <c r="F12" s="159"/>
      <c r="G12" s="171" t="s">
        <v>210</v>
      </c>
      <c r="H12" s="159"/>
      <c r="I12" s="171" t="s">
        <v>215</v>
      </c>
      <c r="J12" s="370"/>
      <c r="K12" s="378" t="s">
        <v>266</v>
      </c>
    </row>
    <row r="13" spans="1:11" x14ac:dyDescent="0.25">
      <c r="A13" s="181" t="s">
        <v>6</v>
      </c>
      <c r="B13" s="475" t="s">
        <v>7</v>
      </c>
      <c r="C13" s="475"/>
      <c r="D13" s="92">
        <f>C6</f>
        <v>6113.95</v>
      </c>
      <c r="E13" s="83">
        <f>E6</f>
        <v>6364.6219499999997</v>
      </c>
      <c r="F13" s="159"/>
      <c r="G13" s="92">
        <f>G6</f>
        <v>7001.0841450000007</v>
      </c>
      <c r="H13" s="159"/>
      <c r="I13" s="92">
        <f>I6</f>
        <v>7001.0841450000007</v>
      </c>
      <c r="J13" s="370"/>
      <c r="K13" s="92">
        <f>K6</f>
        <v>7406.4469169955009</v>
      </c>
    </row>
    <row r="14" spans="1:11" x14ac:dyDescent="0.25">
      <c r="A14" s="181" t="s">
        <v>8</v>
      </c>
      <c r="B14" s="475" t="s">
        <v>9</v>
      </c>
      <c r="C14" s="475"/>
      <c r="D14" s="242">
        <v>0</v>
      </c>
      <c r="E14" s="83">
        <v>0</v>
      </c>
      <c r="F14" s="159"/>
      <c r="G14" s="92">
        <v>0</v>
      </c>
      <c r="H14" s="159"/>
      <c r="I14" s="92">
        <v>0</v>
      </c>
      <c r="J14" s="370"/>
      <c r="K14" s="92">
        <v>0</v>
      </c>
    </row>
    <row r="15" spans="1:11" x14ac:dyDescent="0.25">
      <c r="A15" s="181" t="s">
        <v>10</v>
      </c>
      <c r="B15" s="475" t="s">
        <v>11</v>
      </c>
      <c r="C15" s="475"/>
      <c r="D15" s="242">
        <v>0</v>
      </c>
      <c r="E15" s="83">
        <v>0</v>
      </c>
      <c r="F15" s="159"/>
      <c r="G15" s="92">
        <v>0</v>
      </c>
      <c r="H15" s="159"/>
      <c r="I15" s="92">
        <v>0</v>
      </c>
      <c r="J15" s="370"/>
      <c r="K15" s="92">
        <v>0</v>
      </c>
    </row>
    <row r="16" spans="1:11" x14ac:dyDescent="0.25">
      <c r="A16" s="181" t="s">
        <v>12</v>
      </c>
      <c r="B16" s="475" t="s">
        <v>13</v>
      </c>
      <c r="C16" s="475"/>
      <c r="D16" s="242">
        <v>0</v>
      </c>
      <c r="E16" s="83">
        <v>0</v>
      </c>
      <c r="F16" s="159"/>
      <c r="G16" s="92">
        <v>0</v>
      </c>
      <c r="H16" s="159"/>
      <c r="I16" s="92">
        <v>0</v>
      </c>
      <c r="J16" s="370"/>
      <c r="K16" s="92">
        <v>0</v>
      </c>
    </row>
    <row r="17" spans="1:11" x14ac:dyDescent="0.25">
      <c r="A17" s="181" t="s">
        <v>14</v>
      </c>
      <c r="B17" s="475" t="s">
        <v>15</v>
      </c>
      <c r="C17" s="475"/>
      <c r="D17" s="242">
        <v>0</v>
      </c>
      <c r="E17" s="83">
        <v>0</v>
      </c>
      <c r="F17" s="159"/>
      <c r="G17" s="92">
        <v>0</v>
      </c>
      <c r="H17" s="159"/>
      <c r="I17" s="92">
        <v>0</v>
      </c>
      <c r="J17" s="370"/>
      <c r="K17" s="92">
        <v>0</v>
      </c>
    </row>
    <row r="18" spans="1:11" x14ac:dyDescent="0.25">
      <c r="A18" s="181" t="s">
        <v>16</v>
      </c>
      <c r="B18" s="475" t="s">
        <v>17</v>
      </c>
      <c r="C18" s="475"/>
      <c r="D18" s="242">
        <v>0</v>
      </c>
      <c r="E18" s="83">
        <v>0</v>
      </c>
      <c r="F18" s="159"/>
      <c r="G18" s="92">
        <v>0</v>
      </c>
      <c r="H18" s="159"/>
      <c r="I18" s="92">
        <v>0</v>
      </c>
      <c r="J18" s="370"/>
      <c r="K18" s="92">
        <v>0</v>
      </c>
    </row>
    <row r="19" spans="1:11" x14ac:dyDescent="0.25">
      <c r="A19" s="466" t="s">
        <v>18</v>
      </c>
      <c r="B19" s="467"/>
      <c r="C19" s="467"/>
      <c r="D19" s="92">
        <f>SUM(D13:D18)</f>
        <v>6113.95</v>
      </c>
      <c r="E19" s="83">
        <f t="shared" ref="E19" si="0">SUM(E13:E18)</f>
        <v>6364.6219499999997</v>
      </c>
      <c r="F19" s="159"/>
      <c r="G19" s="92">
        <f t="shared" ref="G19" si="1">SUM(G13:G18)</f>
        <v>7001.0841450000007</v>
      </c>
      <c r="H19" s="159"/>
      <c r="I19" s="92">
        <f t="shared" ref="I19" si="2">SUM(I13:I18)</f>
        <v>7001.0841450000007</v>
      </c>
      <c r="J19" s="370"/>
      <c r="K19" s="92">
        <f t="shared" ref="K19" si="3">SUM(K13:K18)</f>
        <v>7406.4469169955009</v>
      </c>
    </row>
    <row r="20" spans="1:11" x14ac:dyDescent="0.25">
      <c r="A20" s="510" t="s">
        <v>19</v>
      </c>
      <c r="B20" s="511"/>
      <c r="C20" s="511"/>
      <c r="D20" s="573"/>
      <c r="E20" s="115"/>
      <c r="F20" s="159"/>
      <c r="G20" s="160"/>
      <c r="H20" s="159"/>
      <c r="I20" s="160"/>
      <c r="J20" s="370"/>
      <c r="K20" s="371"/>
    </row>
    <row r="21" spans="1:11" x14ac:dyDescent="0.25">
      <c r="A21" s="173"/>
      <c r="B21" s="174"/>
      <c r="C21" s="174"/>
      <c r="D21" s="250"/>
      <c r="E21" s="115"/>
      <c r="F21" s="159"/>
      <c r="G21" s="160"/>
      <c r="H21" s="159"/>
      <c r="I21" s="160"/>
      <c r="J21" s="370"/>
      <c r="K21" s="371"/>
    </row>
    <row r="22" spans="1:11" x14ac:dyDescent="0.25">
      <c r="A22" s="466" t="s">
        <v>20</v>
      </c>
      <c r="B22" s="467"/>
      <c r="C22" s="467"/>
      <c r="D22" s="484"/>
      <c r="E22" s="115"/>
      <c r="F22" s="159"/>
      <c r="G22" s="160"/>
      <c r="H22" s="159"/>
      <c r="I22" s="160"/>
      <c r="J22" s="370"/>
      <c r="K22" s="371"/>
    </row>
    <row r="23" spans="1:11" x14ac:dyDescent="0.25">
      <c r="A23" s="466" t="s">
        <v>164</v>
      </c>
      <c r="B23" s="467"/>
      <c r="C23" s="467"/>
      <c r="D23" s="484"/>
      <c r="E23" s="115"/>
      <c r="F23" s="159"/>
      <c r="G23" s="160"/>
      <c r="H23" s="159"/>
      <c r="I23" s="160"/>
      <c r="J23" s="370"/>
      <c r="K23" s="371"/>
    </row>
    <row r="24" spans="1:11" x14ac:dyDescent="0.25">
      <c r="A24" s="176" t="s">
        <v>21</v>
      </c>
      <c r="B24" s="177" t="s">
        <v>163</v>
      </c>
      <c r="C24" s="178" t="s">
        <v>26</v>
      </c>
      <c r="D24" s="171" t="s">
        <v>5</v>
      </c>
      <c r="E24" s="169" t="s">
        <v>5</v>
      </c>
      <c r="F24" s="245"/>
      <c r="G24" s="171" t="s">
        <v>5</v>
      </c>
      <c r="H24" s="245"/>
      <c r="I24" s="171" t="s">
        <v>5</v>
      </c>
      <c r="J24" s="245"/>
      <c r="K24" s="378" t="s">
        <v>5</v>
      </c>
    </row>
    <row r="25" spans="1:11" x14ac:dyDescent="0.25">
      <c r="A25" s="181" t="s">
        <v>6</v>
      </c>
      <c r="B25" s="182" t="s">
        <v>22</v>
      </c>
      <c r="C25" s="183">
        <f>(1/11)</f>
        <v>9.0909090909090912E-2</v>
      </c>
      <c r="D25" s="218">
        <f>C25*$D$19</f>
        <v>555.81363636363631</v>
      </c>
      <c r="E25" s="83">
        <f>$C25*E$19</f>
        <v>578.60199545454543</v>
      </c>
      <c r="F25" s="117"/>
      <c r="G25" s="92">
        <f>$C25*G$19</f>
        <v>636.46219500000007</v>
      </c>
      <c r="H25" s="117"/>
      <c r="I25" s="92">
        <f>$C25*I$19</f>
        <v>636.46219500000007</v>
      </c>
      <c r="J25" s="117"/>
      <c r="K25" s="92">
        <f>$C25*K$19</f>
        <v>673.31335609050006</v>
      </c>
    </row>
    <row r="26" spans="1:11" x14ac:dyDescent="0.25">
      <c r="A26" s="181" t="s">
        <v>8</v>
      </c>
      <c r="B26" s="182" t="s">
        <v>162</v>
      </c>
      <c r="C26" s="183">
        <f>((1/3)*(1/11))+1/11</f>
        <v>0.12121212121212122</v>
      </c>
      <c r="D26" s="218">
        <f>C26*$D$19</f>
        <v>741.08484848484852</v>
      </c>
      <c r="E26" s="83">
        <f>$C26*E$19</f>
        <v>771.46932727272724</v>
      </c>
      <c r="F26" s="117"/>
      <c r="G26" s="92">
        <f>$C26*G$19</f>
        <v>848.61626000000012</v>
      </c>
      <c r="H26" s="117"/>
      <c r="I26" s="92">
        <f>$C26*I$19</f>
        <v>848.61626000000012</v>
      </c>
      <c r="J26" s="117"/>
      <c r="K26" s="92">
        <f>$C26*K$19</f>
        <v>897.75114145400016</v>
      </c>
    </row>
    <row r="27" spans="1:11" x14ac:dyDescent="0.25">
      <c r="A27" s="466" t="s">
        <v>18</v>
      </c>
      <c r="B27" s="467"/>
      <c r="C27" s="186">
        <f>SUM(C25:C26)</f>
        <v>0.21212121212121213</v>
      </c>
      <c r="D27" s="218">
        <f>SUM(D25:D26)</f>
        <v>1296.8984848484847</v>
      </c>
      <c r="E27" s="83">
        <f>SUM(E25:E26)</f>
        <v>1350.0713227272727</v>
      </c>
      <c r="F27" s="117"/>
      <c r="G27" s="92">
        <f>SUM(G25:G26)</f>
        <v>1485.0784550000003</v>
      </c>
      <c r="H27" s="117"/>
      <c r="I27" s="92">
        <f>SUM(I25:I26)</f>
        <v>1485.0784550000003</v>
      </c>
      <c r="J27" s="117"/>
      <c r="K27" s="92">
        <f>SUM(K25:K26)</f>
        <v>1571.0644975445002</v>
      </c>
    </row>
    <row r="28" spans="1:11" x14ac:dyDescent="0.25">
      <c r="A28" s="501" t="s">
        <v>103</v>
      </c>
      <c r="B28" s="502"/>
      <c r="C28" s="502"/>
      <c r="D28" s="572"/>
      <c r="E28" s="115"/>
      <c r="F28" s="159"/>
      <c r="G28" s="160"/>
      <c r="H28" s="159"/>
      <c r="I28" s="160"/>
      <c r="J28" s="370"/>
      <c r="K28" s="371"/>
    </row>
    <row r="29" spans="1:11" x14ac:dyDescent="0.25">
      <c r="A29" s="501" t="s">
        <v>104</v>
      </c>
      <c r="B29" s="502"/>
      <c r="C29" s="502"/>
      <c r="D29" s="572"/>
      <c r="E29" s="115"/>
      <c r="F29" s="159"/>
      <c r="G29" s="160"/>
      <c r="H29" s="159"/>
      <c r="I29" s="160"/>
      <c r="J29" s="370"/>
      <c r="K29" s="371"/>
    </row>
    <row r="30" spans="1:11" x14ac:dyDescent="0.25">
      <c r="A30" s="501" t="s">
        <v>105</v>
      </c>
      <c r="B30" s="502"/>
      <c r="C30" s="502"/>
      <c r="D30" s="572"/>
      <c r="E30" s="115"/>
      <c r="F30" s="159"/>
      <c r="G30" s="160"/>
      <c r="H30" s="159"/>
      <c r="I30" s="160"/>
      <c r="J30" s="370"/>
      <c r="K30" s="371"/>
    </row>
    <row r="31" spans="1:11" x14ac:dyDescent="0.25">
      <c r="A31" s="173"/>
      <c r="B31" s="174"/>
      <c r="C31" s="174"/>
      <c r="D31" s="250"/>
      <c r="E31" s="115"/>
      <c r="F31" s="159"/>
      <c r="G31" s="160"/>
      <c r="H31" s="159"/>
      <c r="I31" s="160"/>
      <c r="J31" s="370"/>
      <c r="K31" s="371"/>
    </row>
    <row r="32" spans="1:11" x14ac:dyDescent="0.25">
      <c r="A32" s="471" t="s">
        <v>23</v>
      </c>
      <c r="B32" s="472"/>
      <c r="C32" s="472"/>
      <c r="D32" s="473"/>
      <c r="E32" s="115"/>
      <c r="F32" s="159"/>
      <c r="G32" s="160"/>
      <c r="H32" s="159"/>
      <c r="I32" s="160"/>
      <c r="J32" s="370"/>
      <c r="K32" s="371"/>
    </row>
    <row r="33" spans="1:11" x14ac:dyDescent="0.25">
      <c r="A33" s="187" t="s">
        <v>24</v>
      </c>
      <c r="B33" s="178" t="s">
        <v>25</v>
      </c>
      <c r="C33" s="178" t="s">
        <v>26</v>
      </c>
      <c r="D33" s="231" t="s">
        <v>5</v>
      </c>
      <c r="E33" s="189" t="s">
        <v>5</v>
      </c>
      <c r="F33" s="197" t="s">
        <v>26</v>
      </c>
      <c r="G33" s="93" t="s">
        <v>5</v>
      </c>
      <c r="H33" s="245"/>
      <c r="I33" s="93" t="s">
        <v>5</v>
      </c>
      <c r="J33" s="245"/>
      <c r="K33" s="93" t="s">
        <v>5</v>
      </c>
    </row>
    <row r="34" spans="1:11" x14ac:dyDescent="0.25">
      <c r="A34" s="181" t="s">
        <v>6</v>
      </c>
      <c r="B34" s="182" t="s">
        <v>27</v>
      </c>
      <c r="C34" s="191">
        <v>0</v>
      </c>
      <c r="D34" s="232">
        <f>C34*($D$19+$D$27)</f>
        <v>0</v>
      </c>
      <c r="E34" s="87">
        <f t="shared" ref="E34:E41" si="4">$C34*(E$19+E$27)</f>
        <v>0</v>
      </c>
      <c r="F34" s="107">
        <v>0</v>
      </c>
      <c r="G34" s="101">
        <f>$C34*(G$19+G$27)</f>
        <v>0</v>
      </c>
      <c r="H34" s="241"/>
      <c r="I34" s="101">
        <f>$C34*(I$19+I$27)</f>
        <v>0</v>
      </c>
      <c r="J34" s="107">
        <v>0</v>
      </c>
      <c r="K34" s="101">
        <f>$J34*(K$19+K$27)</f>
        <v>0</v>
      </c>
    </row>
    <row r="35" spans="1:11" x14ac:dyDescent="0.25">
      <c r="A35" s="181" t="s">
        <v>8</v>
      </c>
      <c r="B35" s="182" t="s">
        <v>28</v>
      </c>
      <c r="C35" s="191">
        <v>2.5000000000000001E-2</v>
      </c>
      <c r="D35" s="232">
        <f>C35*($D$19+$D$27)</f>
        <v>185.2712121212121</v>
      </c>
      <c r="E35" s="87">
        <f t="shared" si="4"/>
        <v>192.86733181818181</v>
      </c>
      <c r="F35" s="107">
        <v>2.5000000000000001E-2</v>
      </c>
      <c r="G35" s="101">
        <f>$C35*(G$19+G$27)</f>
        <v>212.15406500000006</v>
      </c>
      <c r="H35" s="241"/>
      <c r="I35" s="101">
        <f>$C35*(I$19+I$27)</f>
        <v>212.15406500000006</v>
      </c>
      <c r="J35" s="107">
        <v>2.5000000000000001E-2</v>
      </c>
      <c r="K35" s="101">
        <f>$J35*(K$19+K$27)</f>
        <v>224.43778536350001</v>
      </c>
    </row>
    <row r="36" spans="1:11" x14ac:dyDescent="0.25">
      <c r="A36" s="181" t="s">
        <v>10</v>
      </c>
      <c r="B36" s="182" t="s">
        <v>106</v>
      </c>
      <c r="C36" s="191">
        <f>2%*1.2718</f>
        <v>2.5436E-2</v>
      </c>
      <c r="D36" s="232">
        <f>C36*($D$19+$D$27)</f>
        <v>188.50234206060605</v>
      </c>
      <c r="E36" s="87">
        <f t="shared" si="4"/>
        <v>196.23093808509091</v>
      </c>
      <c r="F36" s="107">
        <f>2%*1.0115</f>
        <v>2.0230000000000001E-2</v>
      </c>
      <c r="G36" s="101">
        <f>$F$36*(G$19+G$27)</f>
        <v>171.67506939800003</v>
      </c>
      <c r="H36" s="241"/>
      <c r="I36" s="101">
        <f>$F$36*(I$19+I$27)</f>
        <v>171.67506939800003</v>
      </c>
      <c r="J36" s="107">
        <f>2%*0.5</f>
        <v>0.01</v>
      </c>
      <c r="K36" s="101">
        <f>$J$36*(K$19+K$27)</f>
        <v>89.775114145400011</v>
      </c>
    </row>
    <row r="37" spans="1:11" x14ac:dyDescent="0.25">
      <c r="A37" s="181" t="s">
        <v>12</v>
      </c>
      <c r="B37" s="182" t="s">
        <v>29</v>
      </c>
      <c r="C37" s="191">
        <v>1.4999999999999999E-2</v>
      </c>
      <c r="D37" s="232">
        <f>ROUND(C37*($D$19+$D$27),2)</f>
        <v>111.16</v>
      </c>
      <c r="E37" s="87">
        <f t="shared" si="4"/>
        <v>115.72039909090908</v>
      </c>
      <c r="F37" s="107">
        <v>1.4999999999999999E-2</v>
      </c>
      <c r="G37" s="101">
        <f>$C37*(G$19+G$27)</f>
        <v>127.29243900000002</v>
      </c>
      <c r="H37" s="241"/>
      <c r="I37" s="101">
        <f>$C37*(I$19+I$27)</f>
        <v>127.29243900000002</v>
      </c>
      <c r="J37" s="107">
        <v>1.4999999999999999E-2</v>
      </c>
      <c r="K37" s="101">
        <f>$J37*(K$19+K$27)</f>
        <v>134.6626712181</v>
      </c>
    </row>
    <row r="38" spans="1:11" x14ac:dyDescent="0.25">
      <c r="A38" s="181" t="s">
        <v>14</v>
      </c>
      <c r="B38" s="182" t="s">
        <v>30</v>
      </c>
      <c r="C38" s="191">
        <v>0.01</v>
      </c>
      <c r="D38" s="232">
        <f>C38*($D$19+$D$27)</f>
        <v>74.108484848484849</v>
      </c>
      <c r="E38" s="87">
        <f t="shared" si="4"/>
        <v>77.146932727272727</v>
      </c>
      <c r="F38" s="107">
        <v>0.01</v>
      </c>
      <c r="G38" s="101">
        <f>$C38*(G$19+G$27)</f>
        <v>84.861626000000015</v>
      </c>
      <c r="H38" s="241"/>
      <c r="I38" s="101">
        <f>$C38*(I$19+I$27)</f>
        <v>84.861626000000015</v>
      </c>
      <c r="J38" s="107">
        <v>0.01</v>
      </c>
      <c r="K38" s="101">
        <f>$J38*(K$19+K$27)</f>
        <v>89.775114145400011</v>
      </c>
    </row>
    <row r="39" spans="1:11" x14ac:dyDescent="0.25">
      <c r="A39" s="181" t="s">
        <v>16</v>
      </c>
      <c r="B39" s="182" t="s">
        <v>31</v>
      </c>
      <c r="C39" s="191">
        <v>6.0000000000000001E-3</v>
      </c>
      <c r="D39" s="232">
        <f>C39*($D$19+$D$27)</f>
        <v>44.465090909090904</v>
      </c>
      <c r="E39" s="87">
        <f t="shared" si="4"/>
        <v>46.288159636363638</v>
      </c>
      <c r="F39" s="107">
        <v>6.0000000000000001E-3</v>
      </c>
      <c r="G39" s="101">
        <f>$C39*(G$19+G$27)</f>
        <v>50.916975600000008</v>
      </c>
      <c r="H39" s="241"/>
      <c r="I39" s="101">
        <f>$C39*(I$19+I$27)</f>
        <v>50.916975600000008</v>
      </c>
      <c r="J39" s="107">
        <v>6.0000000000000001E-3</v>
      </c>
      <c r="K39" s="101">
        <f>$J39*(K$19+K$27)</f>
        <v>53.865068487240002</v>
      </c>
    </row>
    <row r="40" spans="1:11" x14ac:dyDescent="0.25">
      <c r="A40" s="181" t="s">
        <v>32</v>
      </c>
      <c r="B40" s="182" t="s">
        <v>33</v>
      </c>
      <c r="C40" s="191">
        <v>2E-3</v>
      </c>
      <c r="D40" s="232">
        <f>C40*($D$19+$D$27)</f>
        <v>14.821696969696969</v>
      </c>
      <c r="E40" s="87">
        <f t="shared" si="4"/>
        <v>15.429386545454545</v>
      </c>
      <c r="F40" s="107">
        <v>2E-3</v>
      </c>
      <c r="G40" s="101">
        <f>$C40*(G$19+G$27)</f>
        <v>16.972325200000004</v>
      </c>
      <c r="H40" s="241"/>
      <c r="I40" s="101">
        <f>$C40*(I$19+I$27)</f>
        <v>16.972325200000004</v>
      </c>
      <c r="J40" s="107">
        <v>2E-3</v>
      </c>
      <c r="K40" s="101">
        <f>$J40*(K$19+K$27)</f>
        <v>17.955022829080001</v>
      </c>
    </row>
    <row r="41" spans="1:11" x14ac:dyDescent="0.25">
      <c r="A41" s="181" t="s">
        <v>34</v>
      </c>
      <c r="B41" s="182" t="s">
        <v>35</v>
      </c>
      <c r="C41" s="191">
        <v>0.08</v>
      </c>
      <c r="D41" s="232">
        <f>C41*($D$19+$D$27)</f>
        <v>592.86787878787879</v>
      </c>
      <c r="E41" s="87">
        <f t="shared" si="4"/>
        <v>617.17546181818182</v>
      </c>
      <c r="F41" s="107">
        <v>0.08</v>
      </c>
      <c r="G41" s="101">
        <f>$C41*(G$19+G$27)</f>
        <v>678.89300800000012</v>
      </c>
      <c r="H41" s="241"/>
      <c r="I41" s="101">
        <f>$C41*(I$19+I$27)</f>
        <v>678.89300800000012</v>
      </c>
      <c r="J41" s="107">
        <v>0.08</v>
      </c>
      <c r="K41" s="101">
        <f>$J41*(K$19+K$27)</f>
        <v>718.20091316320008</v>
      </c>
    </row>
    <row r="42" spans="1:11" x14ac:dyDescent="0.25">
      <c r="A42" s="499" t="s">
        <v>18</v>
      </c>
      <c r="B42" s="500"/>
      <c r="C42" s="193">
        <f>SUM(C34:C41)</f>
        <v>0.163436</v>
      </c>
      <c r="D42" s="232">
        <f>SUM(D34:D41)</f>
        <v>1211.1967056969697</v>
      </c>
      <c r="E42" s="87">
        <f>SUM(E34:E41)</f>
        <v>1260.8586097214545</v>
      </c>
      <c r="F42" s="194">
        <f t="shared" ref="F42" si="5">SUM(F34:F41)</f>
        <v>0.15823000000000001</v>
      </c>
      <c r="G42" s="101">
        <f>SUM(G34:G41)</f>
        <v>1342.7655081980001</v>
      </c>
      <c r="H42" s="241"/>
      <c r="I42" s="101">
        <f>SUM(I34:I41)</f>
        <v>1342.7655081980001</v>
      </c>
      <c r="J42" s="194">
        <f t="shared" ref="J42" si="6">SUM(J34:J41)</f>
        <v>0.14800000000000002</v>
      </c>
      <c r="K42" s="101">
        <f>SUM(K34:K41)</f>
        <v>1328.6716893519201</v>
      </c>
    </row>
    <row r="43" spans="1:11" x14ac:dyDescent="0.25">
      <c r="A43" s="501" t="s">
        <v>109</v>
      </c>
      <c r="B43" s="502"/>
      <c r="C43" s="502"/>
      <c r="D43" s="572"/>
      <c r="E43" s="115"/>
      <c r="F43" s="159"/>
      <c r="G43" s="160"/>
      <c r="H43" s="159"/>
      <c r="I43" s="160"/>
      <c r="J43" s="370"/>
      <c r="K43" s="371"/>
    </row>
    <row r="44" spans="1:11" x14ac:dyDescent="0.25">
      <c r="A44" s="501" t="s">
        <v>107</v>
      </c>
      <c r="B44" s="502"/>
      <c r="C44" s="502"/>
      <c r="D44" s="572"/>
      <c r="E44" s="115"/>
      <c r="F44" s="159"/>
      <c r="G44" s="160"/>
      <c r="H44" s="159"/>
      <c r="I44" s="160"/>
      <c r="J44" s="370"/>
      <c r="K44" s="371"/>
    </row>
    <row r="45" spans="1:11" x14ac:dyDescent="0.25">
      <c r="A45" s="501" t="s">
        <v>108</v>
      </c>
      <c r="B45" s="502"/>
      <c r="C45" s="502"/>
      <c r="D45" s="572"/>
      <c r="E45" s="115"/>
      <c r="F45" s="159"/>
      <c r="G45" s="160"/>
      <c r="H45" s="159"/>
      <c r="I45" s="160"/>
      <c r="J45" s="370"/>
      <c r="K45" s="371"/>
    </row>
    <row r="46" spans="1:11" x14ac:dyDescent="0.25">
      <c r="A46" s="501" t="s">
        <v>113</v>
      </c>
      <c r="B46" s="502"/>
      <c r="C46" s="502"/>
      <c r="D46" s="572"/>
      <c r="E46" s="115"/>
      <c r="F46" s="159"/>
      <c r="G46" s="160"/>
      <c r="H46" s="159"/>
      <c r="I46" s="160"/>
      <c r="J46" s="370"/>
      <c r="K46" s="371"/>
    </row>
    <row r="47" spans="1:11" x14ac:dyDescent="0.25">
      <c r="A47" s="501" t="s">
        <v>118</v>
      </c>
      <c r="B47" s="502"/>
      <c r="C47" s="502"/>
      <c r="D47" s="572"/>
      <c r="E47" s="115"/>
      <c r="F47" s="159"/>
      <c r="G47" s="160"/>
      <c r="H47" s="159"/>
      <c r="I47" s="160"/>
      <c r="J47" s="370"/>
      <c r="K47" s="371"/>
    </row>
    <row r="48" spans="1:11" x14ac:dyDescent="0.25">
      <c r="A48" s="173"/>
      <c r="B48" s="174"/>
      <c r="C48" s="174"/>
      <c r="D48" s="250"/>
      <c r="E48" s="115"/>
      <c r="F48" s="159"/>
      <c r="G48" s="160"/>
      <c r="H48" s="159"/>
      <c r="I48" s="160"/>
      <c r="J48" s="370"/>
      <c r="K48" s="371"/>
    </row>
    <row r="49" spans="1:11" x14ac:dyDescent="0.25">
      <c r="A49" s="471" t="s">
        <v>36</v>
      </c>
      <c r="B49" s="472"/>
      <c r="C49" s="472"/>
      <c r="D49" s="473"/>
      <c r="E49" s="115"/>
      <c r="F49" s="159"/>
      <c r="G49" s="160"/>
      <c r="H49" s="159"/>
      <c r="I49" s="160"/>
      <c r="J49" s="370"/>
      <c r="K49" s="371"/>
    </row>
    <row r="50" spans="1:11" x14ac:dyDescent="0.25">
      <c r="A50" s="187" t="s">
        <v>37</v>
      </c>
      <c r="B50" s="178" t="s">
        <v>38</v>
      </c>
      <c r="C50" s="167" t="s">
        <v>96</v>
      </c>
      <c r="D50" s="93" t="s">
        <v>5</v>
      </c>
      <c r="E50" s="189" t="s">
        <v>5</v>
      </c>
      <c r="F50" s="245"/>
      <c r="G50" s="93" t="s">
        <v>5</v>
      </c>
      <c r="H50" s="245"/>
      <c r="I50" s="93" t="s">
        <v>5</v>
      </c>
      <c r="J50" s="245"/>
      <c r="K50" s="93" t="s">
        <v>5</v>
      </c>
    </row>
    <row r="51" spans="1:11" x14ac:dyDescent="0.25">
      <c r="A51" s="181" t="s">
        <v>6</v>
      </c>
      <c r="B51" s="182" t="s">
        <v>39</v>
      </c>
      <c r="C51" s="195">
        <v>22</v>
      </c>
      <c r="D51" s="218">
        <f>IF(((5.5*2*C51)-D19*6%)&lt;0,0,((5.5*2*C51)-D19*6%))</f>
        <v>0</v>
      </c>
      <c r="E51" s="83">
        <f>IF(((5.5*2*$C51)-E$19*6%)&lt;0,0,((5.5*2*$C51)-E$19*6%))</f>
        <v>0</v>
      </c>
      <c r="F51" s="247"/>
      <c r="G51" s="92">
        <f>IF(((5.5*2*$C51)-G$19*6%)&lt;0,0,((5.5*2*$C51)-G$19*6%))</f>
        <v>0</v>
      </c>
      <c r="H51" s="247"/>
      <c r="I51" s="92">
        <f>IF(((5.5*2*$C51)-I$19*6%)&lt;0,0,((5.5*2*$C51)-I$19*6%))</f>
        <v>0</v>
      </c>
      <c r="J51" s="247"/>
      <c r="K51" s="92">
        <f>IF(((5.5*2*$C51)-K$19*6%)&lt;0,0,((5.5*2*$C51)-K$19*6%))</f>
        <v>0</v>
      </c>
    </row>
    <row r="52" spans="1:11" x14ac:dyDescent="0.25">
      <c r="A52" s="181" t="s">
        <v>8</v>
      </c>
      <c r="B52" s="182" t="s">
        <v>40</v>
      </c>
      <c r="C52" s="195">
        <v>22</v>
      </c>
      <c r="D52" s="218">
        <f>(C52*34.44)-(C52*0.3)</f>
        <v>751.07999999999993</v>
      </c>
      <c r="E52" s="83">
        <f>($C52*35.85)-($C52*0.3)</f>
        <v>782.1</v>
      </c>
      <c r="F52" s="247"/>
      <c r="G52" s="92">
        <f>($C52*38.72)-($C52*0.3)</f>
        <v>845.2399999999999</v>
      </c>
      <c r="H52" s="247"/>
      <c r="I52" s="92">
        <f>($C52*38.72)-($C52*0.3)</f>
        <v>845.2399999999999</v>
      </c>
      <c r="J52" s="247"/>
      <c r="K52" s="92">
        <f>($C52*40.96)-($C52*0.3)</f>
        <v>894.52</v>
      </c>
    </row>
    <row r="53" spans="1:11" x14ac:dyDescent="0.25">
      <c r="A53" s="181" t="s">
        <v>10</v>
      </c>
      <c r="B53" s="182" t="s">
        <v>41</v>
      </c>
      <c r="C53" s="195"/>
      <c r="D53" s="218">
        <v>221.88</v>
      </c>
      <c r="E53" s="83">
        <v>221.88</v>
      </c>
      <c r="F53" s="247"/>
      <c r="G53" s="92">
        <v>221.88</v>
      </c>
      <c r="H53" s="247"/>
      <c r="I53" s="92">
        <v>221.88</v>
      </c>
      <c r="J53" s="247"/>
      <c r="K53" s="92">
        <v>234.73</v>
      </c>
    </row>
    <row r="54" spans="1:11" x14ac:dyDescent="0.25">
      <c r="A54" s="181" t="s">
        <v>12</v>
      </c>
      <c r="B54" s="182" t="s">
        <v>97</v>
      </c>
      <c r="C54" s="195"/>
      <c r="D54" s="218">
        <v>0</v>
      </c>
      <c r="E54" s="83">
        <v>0</v>
      </c>
      <c r="F54" s="247"/>
      <c r="G54" s="92">
        <v>0</v>
      </c>
      <c r="H54" s="247"/>
      <c r="I54" s="92">
        <v>0</v>
      </c>
      <c r="J54" s="247"/>
      <c r="K54" s="92">
        <v>0</v>
      </c>
    </row>
    <row r="55" spans="1:11" x14ac:dyDescent="0.25">
      <c r="A55" s="181" t="s">
        <v>14</v>
      </c>
      <c r="B55" s="182" t="s">
        <v>158</v>
      </c>
      <c r="C55" s="195">
        <v>1</v>
      </c>
      <c r="D55" s="218">
        <v>1.41</v>
      </c>
      <c r="E55" s="83">
        <v>1.41</v>
      </c>
      <c r="F55" s="247"/>
      <c r="G55" s="92">
        <v>1.41</v>
      </c>
      <c r="H55" s="247"/>
      <c r="I55" s="92">
        <v>1.41</v>
      </c>
      <c r="J55" s="247"/>
      <c r="K55" s="92">
        <v>1.41</v>
      </c>
    </row>
    <row r="56" spans="1:11" x14ac:dyDescent="0.25">
      <c r="A56" s="466" t="s">
        <v>18</v>
      </c>
      <c r="B56" s="467"/>
      <c r="C56" s="467"/>
      <c r="D56" s="218">
        <f>SUM(D51:D55)</f>
        <v>974.36999999999989</v>
      </c>
      <c r="E56" s="83">
        <f t="shared" ref="E56" si="7">SUM(E51:E55)</f>
        <v>1005.39</v>
      </c>
      <c r="F56" s="247"/>
      <c r="G56" s="92">
        <f t="shared" ref="G56" si="8">SUM(G51:G55)</f>
        <v>1068.53</v>
      </c>
      <c r="H56" s="247"/>
      <c r="I56" s="92">
        <f t="shared" ref="I56" si="9">SUM(I51:I55)</f>
        <v>1068.53</v>
      </c>
      <c r="J56" s="247"/>
      <c r="K56" s="92">
        <f t="shared" ref="K56" si="10">SUM(K51:K55)</f>
        <v>1130.6600000000001</v>
      </c>
    </row>
    <row r="57" spans="1:11" x14ac:dyDescent="0.25">
      <c r="A57" s="501" t="s">
        <v>44</v>
      </c>
      <c r="B57" s="502"/>
      <c r="C57" s="502"/>
      <c r="D57" s="572"/>
      <c r="E57" s="115"/>
      <c r="F57" s="159"/>
      <c r="G57" s="160"/>
      <c r="H57" s="159"/>
      <c r="I57" s="160"/>
      <c r="J57" s="370"/>
      <c r="K57" s="371"/>
    </row>
    <row r="58" spans="1:11" x14ac:dyDescent="0.25">
      <c r="A58" s="501" t="s">
        <v>110</v>
      </c>
      <c r="B58" s="502"/>
      <c r="C58" s="502"/>
      <c r="D58" s="572"/>
      <c r="E58" s="115"/>
      <c r="F58" s="159"/>
      <c r="G58" s="160"/>
      <c r="H58" s="159"/>
      <c r="I58" s="160"/>
      <c r="J58" s="370"/>
      <c r="K58" s="371"/>
    </row>
    <row r="59" spans="1:11" x14ac:dyDescent="0.25">
      <c r="A59" s="173"/>
      <c r="B59" s="174"/>
      <c r="C59" s="174"/>
      <c r="D59" s="250"/>
      <c r="E59" s="115"/>
      <c r="F59" s="159"/>
      <c r="G59" s="160"/>
      <c r="H59" s="159"/>
      <c r="I59" s="160"/>
      <c r="J59" s="370"/>
      <c r="K59" s="371"/>
    </row>
    <row r="60" spans="1:11" x14ac:dyDescent="0.25">
      <c r="A60" s="471" t="s">
        <v>42</v>
      </c>
      <c r="B60" s="472"/>
      <c r="C60" s="472"/>
      <c r="D60" s="473"/>
      <c r="E60" s="115"/>
      <c r="F60" s="159"/>
      <c r="G60" s="160"/>
      <c r="H60" s="159"/>
      <c r="I60" s="160"/>
      <c r="J60" s="370"/>
      <c r="K60" s="371"/>
    </row>
    <row r="61" spans="1:11" x14ac:dyDescent="0.25">
      <c r="A61" s="197">
        <v>2</v>
      </c>
      <c r="B61" s="476" t="s">
        <v>43</v>
      </c>
      <c r="C61" s="476"/>
      <c r="D61" s="93" t="s">
        <v>5</v>
      </c>
      <c r="E61" s="189" t="s">
        <v>5</v>
      </c>
      <c r="F61" s="159"/>
      <c r="G61" s="93" t="s">
        <v>5</v>
      </c>
      <c r="H61" s="159"/>
      <c r="I61" s="93" t="s">
        <v>5</v>
      </c>
      <c r="J61" s="370"/>
      <c r="K61" s="93" t="s">
        <v>5</v>
      </c>
    </row>
    <row r="62" spans="1:11" x14ac:dyDescent="0.25">
      <c r="A62" s="161" t="s">
        <v>21</v>
      </c>
      <c r="B62" s="474" t="s">
        <v>163</v>
      </c>
      <c r="C62" s="474"/>
      <c r="D62" s="218">
        <f>D27</f>
        <v>1296.8984848484847</v>
      </c>
      <c r="E62" s="83">
        <f t="shared" ref="E62" si="11">E27</f>
        <v>1350.0713227272727</v>
      </c>
      <c r="F62" s="159"/>
      <c r="G62" s="92">
        <f t="shared" ref="G62" si="12">G27</f>
        <v>1485.0784550000003</v>
      </c>
      <c r="H62" s="159"/>
      <c r="I62" s="92">
        <f t="shared" ref="I62" si="13">I27</f>
        <v>1485.0784550000003</v>
      </c>
      <c r="J62" s="370"/>
      <c r="K62" s="92">
        <f t="shared" ref="K62" si="14">K27</f>
        <v>1571.0644975445002</v>
      </c>
    </row>
    <row r="63" spans="1:11" x14ac:dyDescent="0.25">
      <c r="A63" s="161" t="s">
        <v>24</v>
      </c>
      <c r="B63" s="475" t="s">
        <v>25</v>
      </c>
      <c r="C63" s="475"/>
      <c r="D63" s="218">
        <f>D42</f>
        <v>1211.1967056969697</v>
      </c>
      <c r="E63" s="83">
        <f t="shared" ref="E63" si="15">E42</f>
        <v>1260.8586097214545</v>
      </c>
      <c r="F63" s="159"/>
      <c r="G63" s="92">
        <f t="shared" ref="G63" si="16">G42</f>
        <v>1342.7655081980001</v>
      </c>
      <c r="H63" s="159"/>
      <c r="I63" s="92">
        <f t="shared" ref="I63" si="17">I42</f>
        <v>1342.7655081980001</v>
      </c>
      <c r="J63" s="370"/>
      <c r="K63" s="92">
        <f t="shared" ref="K63" si="18">K42</f>
        <v>1328.6716893519201</v>
      </c>
    </row>
    <row r="64" spans="1:11" x14ac:dyDescent="0.25">
      <c r="A64" s="161" t="s">
        <v>37</v>
      </c>
      <c r="B64" s="475" t="s">
        <v>38</v>
      </c>
      <c r="C64" s="475"/>
      <c r="D64" s="218">
        <f>D56</f>
        <v>974.36999999999989</v>
      </c>
      <c r="E64" s="83">
        <f t="shared" ref="E64" si="19">E56</f>
        <v>1005.39</v>
      </c>
      <c r="F64" s="159"/>
      <c r="G64" s="92">
        <f t="shared" ref="G64" si="20">G56</f>
        <v>1068.53</v>
      </c>
      <c r="H64" s="159"/>
      <c r="I64" s="92">
        <f t="shared" ref="I64" si="21">I56</f>
        <v>1068.53</v>
      </c>
      <c r="J64" s="370"/>
      <c r="K64" s="92">
        <f t="shared" ref="K64" si="22">K56</f>
        <v>1130.6600000000001</v>
      </c>
    </row>
    <row r="65" spans="1:11" x14ac:dyDescent="0.25">
      <c r="A65" s="499" t="s">
        <v>18</v>
      </c>
      <c r="B65" s="507"/>
      <c r="C65" s="500"/>
      <c r="D65" s="218">
        <f>SUM(D62:D64)</f>
        <v>3482.4651905454543</v>
      </c>
      <c r="E65" s="83">
        <f t="shared" ref="E65" si="23">SUM(E62:E64)</f>
        <v>3616.3199324487273</v>
      </c>
      <c r="F65" s="159"/>
      <c r="G65" s="92">
        <f t="shared" ref="G65" si="24">SUM(G62:G64)</f>
        <v>3896.3739631980006</v>
      </c>
      <c r="H65" s="159"/>
      <c r="I65" s="92">
        <f t="shared" ref="I65" si="25">SUM(I62:I64)</f>
        <v>3896.3739631980006</v>
      </c>
      <c r="J65" s="370"/>
      <c r="K65" s="92">
        <f t="shared" ref="K65" si="26">SUM(K62:K64)</f>
        <v>4030.3961868964207</v>
      </c>
    </row>
    <row r="66" spans="1:11" x14ac:dyDescent="0.25">
      <c r="A66" s="173"/>
      <c r="B66" s="174"/>
      <c r="C66" s="174"/>
      <c r="D66" s="250"/>
      <c r="E66" s="115"/>
      <c r="F66" s="159"/>
      <c r="G66" s="160"/>
      <c r="H66" s="159"/>
      <c r="I66" s="160"/>
      <c r="J66" s="370"/>
      <c r="K66" s="371"/>
    </row>
    <row r="67" spans="1:11" x14ac:dyDescent="0.25">
      <c r="A67" s="471" t="s">
        <v>77</v>
      </c>
      <c r="B67" s="472"/>
      <c r="C67" s="472"/>
      <c r="D67" s="473"/>
      <c r="E67" s="115"/>
      <c r="F67" s="159"/>
      <c r="G67" s="160"/>
      <c r="H67" s="159"/>
      <c r="I67" s="160"/>
      <c r="J67" s="370"/>
      <c r="K67" s="371"/>
    </row>
    <row r="68" spans="1:11" x14ac:dyDescent="0.25">
      <c r="A68" s="197">
        <v>3</v>
      </c>
      <c r="B68" s="178" t="s">
        <v>45</v>
      </c>
      <c r="C68" s="178" t="s">
        <v>26</v>
      </c>
      <c r="D68" s="93" t="s">
        <v>5</v>
      </c>
      <c r="E68" s="189" t="s">
        <v>5</v>
      </c>
      <c r="F68" s="197" t="s">
        <v>26</v>
      </c>
      <c r="G68" s="93" t="s">
        <v>5</v>
      </c>
      <c r="H68" s="197" t="s">
        <v>26</v>
      </c>
      <c r="I68" s="93" t="s">
        <v>5</v>
      </c>
      <c r="J68" s="197" t="s">
        <v>26</v>
      </c>
      <c r="K68" s="93" t="s">
        <v>5</v>
      </c>
    </row>
    <row r="69" spans="1:11" x14ac:dyDescent="0.25">
      <c r="A69" s="161" t="s">
        <v>6</v>
      </c>
      <c r="B69" s="163" t="s">
        <v>46</v>
      </c>
      <c r="C69" s="191">
        <f>(1/12)*5%</f>
        <v>4.1666666666666666E-3</v>
      </c>
      <c r="D69" s="233">
        <f t="shared" ref="D69:D75" si="27">C69*($D$19+$D$27)</f>
        <v>30.878535353535352</v>
      </c>
      <c r="E69" s="83">
        <f t="shared" ref="E69:E75" si="28">$C69*(E$19+E$27)</f>
        <v>32.144555303030302</v>
      </c>
      <c r="F69" s="107">
        <f>(1/12)*5%</f>
        <v>4.1666666666666666E-3</v>
      </c>
      <c r="G69" s="92">
        <f>F69*($G$19+$G$27)</f>
        <v>35.359010833333336</v>
      </c>
      <c r="H69" s="107">
        <f>(1/12)*5%</f>
        <v>4.1666666666666666E-3</v>
      </c>
      <c r="I69" s="92">
        <f>H69*($G$19+$G$27)</f>
        <v>35.359010833333336</v>
      </c>
      <c r="J69" s="107">
        <f>(1/12)*5%</f>
        <v>4.1666666666666666E-3</v>
      </c>
      <c r="K69" s="92">
        <f t="shared" ref="K69:K75" si="29">J69*(K$19+K$27)</f>
        <v>37.406297560583333</v>
      </c>
    </row>
    <row r="70" spans="1:11" ht="30" x14ac:dyDescent="0.25">
      <c r="A70" s="161" t="s">
        <v>8</v>
      </c>
      <c r="B70" s="163" t="s">
        <v>47</v>
      </c>
      <c r="C70" s="191">
        <f>C69*C41</f>
        <v>3.3333333333333332E-4</v>
      </c>
      <c r="D70" s="233">
        <f t="shared" si="27"/>
        <v>2.4702828282828277</v>
      </c>
      <c r="E70" s="83">
        <f t="shared" si="28"/>
        <v>2.5715644242424243</v>
      </c>
      <c r="F70" s="107">
        <f>F69*F41</f>
        <v>3.3333333333333332E-4</v>
      </c>
      <c r="G70" s="92">
        <f t="shared" ref="G70:G75" si="30">F70*($G$19+$G$27)</f>
        <v>2.828720866666667</v>
      </c>
      <c r="H70" s="107">
        <f>H69*F41</f>
        <v>3.3333333333333332E-4</v>
      </c>
      <c r="I70" s="92">
        <f t="shared" ref="I70:I75" si="31">H70*($G$19+$G$27)</f>
        <v>2.828720866666667</v>
      </c>
      <c r="J70" s="107">
        <f>J69*F41</f>
        <v>3.3333333333333332E-4</v>
      </c>
      <c r="K70" s="92">
        <f t="shared" si="29"/>
        <v>2.9925038048466668</v>
      </c>
    </row>
    <row r="71" spans="1:11" ht="30" x14ac:dyDescent="0.25">
      <c r="A71" s="161" t="s">
        <v>10</v>
      </c>
      <c r="B71" s="163" t="s">
        <v>48</v>
      </c>
      <c r="C71" s="191">
        <f>C69*8%*40%</f>
        <v>1.3333333333333334E-4</v>
      </c>
      <c r="D71" s="233">
        <f t="shared" si="27"/>
        <v>0.98811313131313128</v>
      </c>
      <c r="E71" s="83">
        <f t="shared" si="28"/>
        <v>1.0286257696969696</v>
      </c>
      <c r="F71" s="107">
        <f>F69*8%*40%</f>
        <v>1.3333333333333334E-4</v>
      </c>
      <c r="G71" s="92">
        <f t="shared" si="30"/>
        <v>1.131488346666667</v>
      </c>
      <c r="H71" s="107">
        <f>H69*8%*40%</f>
        <v>1.3333333333333334E-4</v>
      </c>
      <c r="I71" s="92">
        <f t="shared" si="31"/>
        <v>1.131488346666667</v>
      </c>
      <c r="J71" s="107">
        <f>J69*8%*40%</f>
        <v>1.3333333333333334E-4</v>
      </c>
      <c r="K71" s="92">
        <f t="shared" si="29"/>
        <v>1.1970015219386667</v>
      </c>
    </row>
    <row r="72" spans="1:11" x14ac:dyDescent="0.25">
      <c r="A72" s="161" t="s">
        <v>12</v>
      </c>
      <c r="B72" s="163" t="s">
        <v>49</v>
      </c>
      <c r="C72" s="191">
        <f>(7/30/12)*100%</f>
        <v>1.9444444444444445E-2</v>
      </c>
      <c r="D72" s="233">
        <f t="shared" si="27"/>
        <v>144.09983164983163</v>
      </c>
      <c r="E72" s="83">
        <f t="shared" si="28"/>
        <v>150.00792474747473</v>
      </c>
      <c r="F72" s="107">
        <f>(7/30/12)*100%</f>
        <v>1.9444444444444445E-2</v>
      </c>
      <c r="G72" s="92">
        <f t="shared" si="30"/>
        <v>165.00871722222226</v>
      </c>
      <c r="H72" s="107">
        <v>1.9400000000000001E-3</v>
      </c>
      <c r="I72" s="92">
        <f t="shared" si="31"/>
        <v>16.463155444000005</v>
      </c>
      <c r="J72" s="107">
        <v>1.9400000000000001E-3</v>
      </c>
      <c r="K72" s="92">
        <f t="shared" si="29"/>
        <v>17.416372144207603</v>
      </c>
    </row>
    <row r="73" spans="1:11" ht="30" x14ac:dyDescent="0.25">
      <c r="A73" s="161" t="s">
        <v>14</v>
      </c>
      <c r="B73" s="163" t="s">
        <v>50</v>
      </c>
      <c r="C73" s="191">
        <f>C72*C42</f>
        <v>3.1779222222222221E-3</v>
      </c>
      <c r="D73" s="233">
        <f t="shared" si="27"/>
        <v>23.551100085521881</v>
      </c>
      <c r="E73" s="83">
        <f t="shared" si="28"/>
        <v>24.51669518902828</v>
      </c>
      <c r="F73" s="107">
        <f t="shared" ref="F73" si="32">F72*F42</f>
        <v>3.0766944444444448E-3</v>
      </c>
      <c r="G73" s="92">
        <f t="shared" si="30"/>
        <v>26.109329326072231</v>
      </c>
      <c r="H73" s="107">
        <f>H72*F42</f>
        <v>3.0696620000000006E-4</v>
      </c>
      <c r="I73" s="92">
        <f t="shared" si="31"/>
        <v>2.6049650859041211</v>
      </c>
      <c r="J73" s="107">
        <f>J72*F42</f>
        <v>3.0696620000000006E-4</v>
      </c>
      <c r="K73" s="92">
        <f t="shared" si="29"/>
        <v>2.7557925643779693</v>
      </c>
    </row>
    <row r="74" spans="1:11" ht="30" x14ac:dyDescent="0.25">
      <c r="A74" s="161" t="s">
        <v>16</v>
      </c>
      <c r="B74" s="163" t="s">
        <v>51</v>
      </c>
      <c r="C74" s="191">
        <f>C72*8%*40%</f>
        <v>6.2222222222222236E-4</v>
      </c>
      <c r="D74" s="233">
        <f t="shared" si="27"/>
        <v>4.6111946127946135</v>
      </c>
      <c r="E74" s="83">
        <f t="shared" si="28"/>
        <v>4.8002535919191924</v>
      </c>
      <c r="F74" s="107">
        <f>F72*8%*40%</f>
        <v>6.2222222222222236E-4</v>
      </c>
      <c r="G74" s="92">
        <f t="shared" si="30"/>
        <v>5.2802789511111135</v>
      </c>
      <c r="H74" s="107">
        <f>H72*8%*40%</f>
        <v>6.2080000000000002E-5</v>
      </c>
      <c r="I74" s="92">
        <f t="shared" si="31"/>
        <v>0.52682097420800011</v>
      </c>
      <c r="J74" s="107">
        <f>J72*8%*40%</f>
        <v>6.2080000000000002E-5</v>
      </c>
      <c r="K74" s="92">
        <f t="shared" si="29"/>
        <v>0.5573239086146432</v>
      </c>
    </row>
    <row r="75" spans="1:11" x14ac:dyDescent="0.25">
      <c r="A75" s="161" t="s">
        <v>32</v>
      </c>
      <c r="B75" s="163" t="s">
        <v>133</v>
      </c>
      <c r="C75" s="191">
        <v>3.49E-2</v>
      </c>
      <c r="D75" s="233">
        <f t="shared" si="27"/>
        <v>258.63861212121208</v>
      </c>
      <c r="E75" s="83">
        <f t="shared" si="28"/>
        <v>269.24279521818181</v>
      </c>
      <c r="F75" s="107">
        <v>3.49E-2</v>
      </c>
      <c r="G75" s="92">
        <f t="shared" si="30"/>
        <v>296.16707474000003</v>
      </c>
      <c r="H75" s="107">
        <v>3.49E-2</v>
      </c>
      <c r="I75" s="92">
        <f t="shared" si="31"/>
        <v>296.16707474000003</v>
      </c>
      <c r="J75" s="107">
        <v>3.49E-2</v>
      </c>
      <c r="K75" s="92">
        <f t="shared" si="29"/>
        <v>313.315148367446</v>
      </c>
    </row>
    <row r="76" spans="1:11" x14ac:dyDescent="0.25">
      <c r="A76" s="499" t="s">
        <v>161</v>
      </c>
      <c r="B76" s="500"/>
      <c r="C76" s="186">
        <f>SUM(C69:C75)</f>
        <v>6.2777922222222227E-2</v>
      </c>
      <c r="D76" s="218">
        <f>SUM(D69:D75)</f>
        <v>465.23766978249148</v>
      </c>
      <c r="E76" s="83">
        <f t="shared" ref="E76:K76" si="33">SUM(E69:E75)</f>
        <v>484.3124142435737</v>
      </c>
      <c r="F76" s="108">
        <f t="shared" si="33"/>
        <v>6.2676694444444445E-2</v>
      </c>
      <c r="G76" s="92">
        <f t="shared" si="33"/>
        <v>531.88462028607228</v>
      </c>
      <c r="H76" s="108">
        <f t="shared" si="33"/>
        <v>4.1842379533333335E-2</v>
      </c>
      <c r="I76" s="92">
        <f t="shared" si="33"/>
        <v>355.0812362907788</v>
      </c>
      <c r="J76" s="108">
        <f t="shared" si="33"/>
        <v>4.1842379533333335E-2</v>
      </c>
      <c r="K76" s="92">
        <f t="shared" si="33"/>
        <v>375.64043987201489</v>
      </c>
    </row>
    <row r="77" spans="1:11" x14ac:dyDescent="0.25">
      <c r="A77" s="501" t="s">
        <v>111</v>
      </c>
      <c r="B77" s="502"/>
      <c r="C77" s="502"/>
      <c r="D77" s="572"/>
      <c r="E77" s="115"/>
      <c r="F77" s="159"/>
      <c r="G77" s="160"/>
      <c r="H77" s="170"/>
      <c r="I77" s="160"/>
      <c r="J77" s="170"/>
      <c r="K77" s="371"/>
    </row>
    <row r="78" spans="1:11" x14ac:dyDescent="0.25">
      <c r="A78" s="501" t="s">
        <v>119</v>
      </c>
      <c r="B78" s="502"/>
      <c r="C78" s="502"/>
      <c r="D78" s="572"/>
      <c r="E78" s="115"/>
      <c r="F78" s="159"/>
      <c r="G78" s="160"/>
      <c r="H78" s="159"/>
      <c r="I78" s="160"/>
      <c r="J78" s="370"/>
      <c r="K78" s="371"/>
    </row>
    <row r="79" spans="1:11" x14ac:dyDescent="0.25">
      <c r="A79" s="173"/>
      <c r="B79" s="174"/>
      <c r="C79" s="174"/>
      <c r="D79" s="250"/>
      <c r="E79" s="115"/>
      <c r="F79" s="159"/>
      <c r="G79" s="160"/>
      <c r="H79" s="159"/>
      <c r="I79" s="160"/>
      <c r="J79" s="370"/>
      <c r="K79" s="371"/>
    </row>
    <row r="80" spans="1:11" x14ac:dyDescent="0.25">
      <c r="A80" s="471" t="s">
        <v>52</v>
      </c>
      <c r="B80" s="472"/>
      <c r="C80" s="472"/>
      <c r="D80" s="473"/>
      <c r="E80" s="115"/>
      <c r="F80" s="159"/>
      <c r="G80" s="160"/>
      <c r="H80" s="159"/>
      <c r="I80" s="160"/>
      <c r="J80" s="370"/>
      <c r="K80" s="371"/>
    </row>
    <row r="81" spans="1:11" x14ac:dyDescent="0.25">
      <c r="A81" s="468" t="s">
        <v>112</v>
      </c>
      <c r="B81" s="469"/>
      <c r="C81" s="469"/>
      <c r="D81" s="470"/>
      <c r="E81" s="115"/>
      <c r="F81" s="159"/>
      <c r="G81" s="160"/>
      <c r="H81" s="159"/>
      <c r="I81" s="160"/>
      <c r="J81" s="370"/>
      <c r="K81" s="371"/>
    </row>
    <row r="82" spans="1:11" x14ac:dyDescent="0.25">
      <c r="A82" s="173"/>
      <c r="B82" s="174"/>
      <c r="C82" s="174"/>
      <c r="D82" s="250"/>
      <c r="E82" s="115"/>
      <c r="F82" s="159"/>
      <c r="G82" s="160"/>
      <c r="H82" s="159"/>
      <c r="I82" s="160"/>
      <c r="J82" s="370"/>
      <c r="K82" s="371"/>
    </row>
    <row r="83" spans="1:11" x14ac:dyDescent="0.25">
      <c r="A83" s="471" t="s">
        <v>114</v>
      </c>
      <c r="B83" s="472"/>
      <c r="C83" s="472"/>
      <c r="D83" s="473"/>
      <c r="E83" s="115"/>
      <c r="F83" s="159"/>
      <c r="G83" s="251"/>
      <c r="H83" s="164"/>
      <c r="I83" s="251"/>
      <c r="J83" s="164"/>
      <c r="K83" s="251"/>
    </row>
    <row r="84" spans="1:11" x14ac:dyDescent="0.25">
      <c r="A84" s="187" t="s">
        <v>53</v>
      </c>
      <c r="B84" s="178" t="s">
        <v>54</v>
      </c>
      <c r="C84" s="178" t="s">
        <v>26</v>
      </c>
      <c r="D84" s="93" t="s">
        <v>5</v>
      </c>
      <c r="E84" s="189" t="s">
        <v>5</v>
      </c>
      <c r="F84" s="197" t="s">
        <v>26</v>
      </c>
      <c r="G84" s="93" t="s">
        <v>5</v>
      </c>
      <c r="H84" s="245"/>
      <c r="I84" s="93" t="s">
        <v>5</v>
      </c>
      <c r="J84" s="245"/>
      <c r="K84" s="93" t="s">
        <v>5</v>
      </c>
    </row>
    <row r="85" spans="1:11" x14ac:dyDescent="0.25">
      <c r="A85" s="161" t="s">
        <v>6</v>
      </c>
      <c r="B85" s="163" t="s">
        <v>55</v>
      </c>
      <c r="C85" s="191">
        <v>6.8999999999999999E-3</v>
      </c>
      <c r="D85" s="233">
        <f t="shared" ref="D85:D90" si="34">C85*($D$19+$D$27)</f>
        <v>51.134854545454537</v>
      </c>
      <c r="E85" s="83">
        <f t="shared" ref="E85:E90" si="35">$C85*(E$19+E$27)</f>
        <v>53.231383581818179</v>
      </c>
      <c r="F85" s="107">
        <v>6.8999999999999999E-3</v>
      </c>
      <c r="G85" s="92">
        <f t="shared" ref="G85:G90" si="36">$C85*(G$19+G$27)</f>
        <v>58.554521940000008</v>
      </c>
      <c r="H85" s="106"/>
      <c r="I85" s="92">
        <f t="shared" ref="I85:I90" si="37">$C85*(I$19+I$27)</f>
        <v>58.554521940000008</v>
      </c>
      <c r="J85" s="106"/>
      <c r="K85" s="92">
        <f t="shared" ref="K85:K90" si="38">$C85*(K$19+K$27)</f>
        <v>61.944828760326004</v>
      </c>
    </row>
    <row r="86" spans="1:11" x14ac:dyDescent="0.25">
      <c r="A86" s="161" t="s">
        <v>8</v>
      </c>
      <c r="B86" s="163" t="s">
        <v>56</v>
      </c>
      <c r="C86" s="191">
        <f>(1/30)*(1/12)</f>
        <v>2.7777777777777775E-3</v>
      </c>
      <c r="D86" s="233">
        <f t="shared" si="34"/>
        <v>20.58569023569023</v>
      </c>
      <c r="E86" s="83">
        <f t="shared" si="35"/>
        <v>21.429703535353532</v>
      </c>
      <c r="F86" s="107">
        <f>(1/30)*(1/12)</f>
        <v>2.7777777777777775E-3</v>
      </c>
      <c r="G86" s="92">
        <f t="shared" si="36"/>
        <v>23.57267388888889</v>
      </c>
      <c r="H86" s="106"/>
      <c r="I86" s="92">
        <f t="shared" si="37"/>
        <v>23.57267388888889</v>
      </c>
      <c r="J86" s="106"/>
      <c r="K86" s="92">
        <f t="shared" si="38"/>
        <v>24.937531707055552</v>
      </c>
    </row>
    <row r="87" spans="1:11" x14ac:dyDescent="0.25">
      <c r="A87" s="161" t="s">
        <v>10</v>
      </c>
      <c r="B87" s="163" t="s">
        <v>57</v>
      </c>
      <c r="C87" s="191">
        <f>(5/30/12)*1.5%</f>
        <v>2.0833333333333332E-4</v>
      </c>
      <c r="D87" s="233">
        <f t="shared" si="34"/>
        <v>1.5439267676767674</v>
      </c>
      <c r="E87" s="83">
        <f t="shared" si="35"/>
        <v>1.607227765151515</v>
      </c>
      <c r="F87" s="107">
        <f>(5/30/12)*1.5%</f>
        <v>2.0833333333333332E-4</v>
      </c>
      <c r="G87" s="92">
        <f t="shared" si="36"/>
        <v>1.7679505416666668</v>
      </c>
      <c r="H87" s="106"/>
      <c r="I87" s="92">
        <f t="shared" si="37"/>
        <v>1.7679505416666668</v>
      </c>
      <c r="J87" s="106"/>
      <c r="K87" s="92">
        <f t="shared" si="38"/>
        <v>1.8703148780291665</v>
      </c>
    </row>
    <row r="88" spans="1:11" ht="30" x14ac:dyDescent="0.25">
      <c r="A88" s="161" t="s">
        <v>12</v>
      </c>
      <c r="B88" s="163" t="s">
        <v>58</v>
      </c>
      <c r="C88" s="191">
        <f>(15/30/12)*0.78%</f>
        <v>3.2499999999999999E-4</v>
      </c>
      <c r="D88" s="233">
        <f t="shared" si="34"/>
        <v>2.4085257575757573</v>
      </c>
      <c r="E88" s="83">
        <f t="shared" si="35"/>
        <v>2.5072753136363635</v>
      </c>
      <c r="F88" s="107">
        <f>(15/30/12)*0.78%</f>
        <v>3.2499999999999999E-4</v>
      </c>
      <c r="G88" s="92">
        <f t="shared" si="36"/>
        <v>2.7580028450000005</v>
      </c>
      <c r="H88" s="106"/>
      <c r="I88" s="92">
        <f t="shared" si="37"/>
        <v>2.7580028450000005</v>
      </c>
      <c r="J88" s="106"/>
      <c r="K88" s="92">
        <f t="shared" si="38"/>
        <v>2.9176912097255001</v>
      </c>
    </row>
    <row r="89" spans="1:11" ht="30" x14ac:dyDescent="0.25">
      <c r="A89" s="161" t="s">
        <v>14</v>
      </c>
      <c r="B89" s="163" t="s">
        <v>59</v>
      </c>
      <c r="C89" s="191">
        <f>(1.44%*10%*(C34+C36+C25+C41+C75)*6/12)</f>
        <v>1.6649646545454546E-4</v>
      </c>
      <c r="D89" s="233">
        <f t="shared" si="34"/>
        <v>1.2338800787464461</v>
      </c>
      <c r="E89" s="83">
        <f t="shared" si="35"/>
        <v>1.2844691619750506</v>
      </c>
      <c r="F89" s="107">
        <f>(1.44%*10%*(F34+F36+C25+F41+F75)*6/12)</f>
        <v>1.6274814545454546E-4</v>
      </c>
      <c r="G89" s="92">
        <f t="shared" si="36"/>
        <v>1.4129160781725558</v>
      </c>
      <c r="H89" s="106"/>
      <c r="I89" s="92">
        <f t="shared" si="37"/>
        <v>1.4129160781725558</v>
      </c>
      <c r="J89" s="106"/>
      <c r="K89" s="92">
        <f t="shared" si="38"/>
        <v>1.4947239190987467</v>
      </c>
    </row>
    <row r="90" spans="1:11" ht="30" x14ac:dyDescent="0.25">
      <c r="A90" s="161" t="s">
        <v>16</v>
      </c>
      <c r="B90" s="163" t="s">
        <v>60</v>
      </c>
      <c r="C90" s="191">
        <v>0</v>
      </c>
      <c r="D90" s="233">
        <f t="shared" si="34"/>
        <v>0</v>
      </c>
      <c r="E90" s="83">
        <f t="shared" si="35"/>
        <v>0</v>
      </c>
      <c r="F90" s="107">
        <v>0</v>
      </c>
      <c r="G90" s="92">
        <f t="shared" si="36"/>
        <v>0</v>
      </c>
      <c r="H90" s="106"/>
      <c r="I90" s="92">
        <f t="shared" si="37"/>
        <v>0</v>
      </c>
      <c r="J90" s="106"/>
      <c r="K90" s="92">
        <f t="shared" si="38"/>
        <v>0</v>
      </c>
    </row>
    <row r="91" spans="1:11" x14ac:dyDescent="0.25">
      <c r="A91" s="499" t="s">
        <v>18</v>
      </c>
      <c r="B91" s="500"/>
      <c r="C91" s="186">
        <f>SUM(C85:C90)</f>
        <v>1.0377607576565657E-2</v>
      </c>
      <c r="D91" s="218">
        <f>SUM(D85:D90)</f>
        <v>76.906877385143744</v>
      </c>
      <c r="E91" s="83">
        <f t="shared" ref="E91:I91" si="39">SUM(E85:E90)</f>
        <v>80.060059357934662</v>
      </c>
      <c r="F91" s="108">
        <f t="shared" si="39"/>
        <v>1.0373859256565657E-2</v>
      </c>
      <c r="G91" s="92">
        <f t="shared" si="39"/>
        <v>88.06606529372813</v>
      </c>
      <c r="H91" s="185"/>
      <c r="I91" s="92">
        <f t="shared" si="39"/>
        <v>88.06606529372813</v>
      </c>
      <c r="J91" s="185"/>
      <c r="K91" s="92">
        <f t="shared" ref="K91" si="40">SUM(K85:K90)</f>
        <v>93.165090474234972</v>
      </c>
    </row>
    <row r="92" spans="1:11" x14ac:dyDescent="0.25">
      <c r="A92" s="501" t="s">
        <v>120</v>
      </c>
      <c r="B92" s="502"/>
      <c r="C92" s="502"/>
      <c r="D92" s="572"/>
      <c r="E92" s="115"/>
      <c r="F92" s="159"/>
      <c r="G92" s="252"/>
      <c r="H92" s="253"/>
      <c r="I92" s="252"/>
      <c r="J92" s="253"/>
      <c r="K92" s="252"/>
    </row>
    <row r="93" spans="1:11" x14ac:dyDescent="0.25">
      <c r="A93" s="173"/>
      <c r="B93" s="174"/>
      <c r="C93" s="174"/>
      <c r="D93" s="250"/>
      <c r="E93" s="115"/>
      <c r="F93" s="159"/>
      <c r="G93" s="160"/>
      <c r="H93" s="159"/>
      <c r="I93" s="160"/>
      <c r="J93" s="370"/>
      <c r="K93" s="371"/>
    </row>
    <row r="94" spans="1:11" x14ac:dyDescent="0.25">
      <c r="A94" s="466" t="s">
        <v>115</v>
      </c>
      <c r="B94" s="467"/>
      <c r="C94" s="467"/>
      <c r="D94" s="484"/>
      <c r="E94" s="115"/>
      <c r="F94" s="159"/>
      <c r="G94" s="160"/>
      <c r="H94" s="159"/>
      <c r="I94" s="160"/>
      <c r="J94" s="370"/>
      <c r="K94" s="371"/>
    </row>
    <row r="95" spans="1:11" x14ac:dyDescent="0.25">
      <c r="A95" s="187" t="s">
        <v>61</v>
      </c>
      <c r="B95" s="178" t="s">
        <v>62</v>
      </c>
      <c r="C95" s="178" t="s">
        <v>5</v>
      </c>
      <c r="D95" s="231"/>
      <c r="E95" s="189"/>
      <c r="F95" s="197" t="s">
        <v>5</v>
      </c>
      <c r="G95" s="93"/>
      <c r="H95" s="197" t="s">
        <v>5</v>
      </c>
      <c r="I95" s="93"/>
      <c r="J95" s="197" t="s">
        <v>5</v>
      </c>
      <c r="K95" s="93"/>
    </row>
    <row r="96" spans="1:11" ht="30" x14ac:dyDescent="0.25">
      <c r="A96" s="161" t="s">
        <v>6</v>
      </c>
      <c r="B96" s="163" t="s">
        <v>63</v>
      </c>
      <c r="C96" s="203"/>
      <c r="D96" s="234"/>
      <c r="E96" s="254"/>
      <c r="F96" s="239"/>
      <c r="G96" s="255"/>
      <c r="H96" s="239"/>
      <c r="I96" s="255"/>
      <c r="J96" s="239"/>
      <c r="K96" s="255"/>
    </row>
    <row r="97" spans="1:11" x14ac:dyDescent="0.25">
      <c r="A97" s="499" t="s">
        <v>18</v>
      </c>
      <c r="B97" s="500"/>
      <c r="C97" s="205">
        <f>SUM(C96)</f>
        <v>0</v>
      </c>
      <c r="D97" s="234"/>
      <c r="E97" s="254"/>
      <c r="F97" s="238">
        <f t="shared" ref="F97" si="41">SUM(F96)</f>
        <v>0</v>
      </c>
      <c r="G97" s="255"/>
      <c r="H97" s="238">
        <f t="shared" ref="H97" si="42">SUM(H96)</f>
        <v>0</v>
      </c>
      <c r="I97" s="255"/>
      <c r="J97" s="238">
        <f t="shared" ref="J97" si="43">SUM(J96)</f>
        <v>0</v>
      </c>
      <c r="K97" s="255"/>
    </row>
    <row r="98" spans="1:11" x14ac:dyDescent="0.25">
      <c r="A98" s="173"/>
      <c r="B98" s="174"/>
      <c r="C98" s="174"/>
      <c r="D98" s="250"/>
      <c r="E98" s="115"/>
      <c r="F98" s="159"/>
      <c r="G98" s="160"/>
      <c r="H98" s="159"/>
      <c r="I98" s="160"/>
      <c r="J98" s="370"/>
      <c r="K98" s="371"/>
    </row>
    <row r="99" spans="1:11" x14ac:dyDescent="0.25">
      <c r="A99" s="415" t="s">
        <v>116</v>
      </c>
      <c r="B99" s="416"/>
      <c r="C99" s="416"/>
      <c r="D99" s="487"/>
      <c r="E99" s="115"/>
      <c r="F99" s="159"/>
      <c r="G99" s="160"/>
      <c r="H99" s="159"/>
      <c r="I99" s="160"/>
      <c r="J99" s="370"/>
      <c r="K99" s="371"/>
    </row>
    <row r="100" spans="1:11" x14ac:dyDescent="0.25">
      <c r="A100" s="187">
        <v>4</v>
      </c>
      <c r="B100" s="476" t="s">
        <v>64</v>
      </c>
      <c r="C100" s="476"/>
      <c r="D100" s="93" t="s">
        <v>5</v>
      </c>
      <c r="E100" s="189" t="s">
        <v>5</v>
      </c>
      <c r="F100" s="159"/>
      <c r="G100" s="93" t="s">
        <v>5</v>
      </c>
      <c r="H100" s="159"/>
      <c r="I100" s="93" t="s">
        <v>5</v>
      </c>
      <c r="J100" s="370"/>
      <c r="K100" s="93" t="s">
        <v>5</v>
      </c>
    </row>
    <row r="101" spans="1:11" x14ac:dyDescent="0.25">
      <c r="A101" s="181" t="s">
        <v>53</v>
      </c>
      <c r="B101" s="475" t="s">
        <v>54</v>
      </c>
      <c r="C101" s="475"/>
      <c r="D101" s="218">
        <f>D91</f>
        <v>76.906877385143744</v>
      </c>
      <c r="E101" s="83">
        <f>E91</f>
        <v>80.060059357934662</v>
      </c>
      <c r="F101" s="159"/>
      <c r="G101" s="92">
        <f>G91</f>
        <v>88.06606529372813</v>
      </c>
      <c r="H101" s="159"/>
      <c r="I101" s="92">
        <f>I91</f>
        <v>88.06606529372813</v>
      </c>
      <c r="J101" s="370"/>
      <c r="K101" s="92">
        <f>K91</f>
        <v>93.165090474234972</v>
      </c>
    </row>
    <row r="102" spans="1:11" x14ac:dyDescent="0.25">
      <c r="A102" s="181" t="s">
        <v>61</v>
      </c>
      <c r="B102" s="182" t="s">
        <v>65</v>
      </c>
      <c r="C102" s="182"/>
      <c r="D102" s="235">
        <f>C97</f>
        <v>0</v>
      </c>
      <c r="E102" s="207">
        <f>D97</f>
        <v>0</v>
      </c>
      <c r="F102" s="159"/>
      <c r="G102" s="97">
        <f>F97</f>
        <v>0</v>
      </c>
      <c r="H102" s="159"/>
      <c r="I102" s="97">
        <f>H97</f>
        <v>0</v>
      </c>
      <c r="J102" s="370"/>
      <c r="K102" s="97">
        <f>J97</f>
        <v>0</v>
      </c>
    </row>
    <row r="103" spans="1:11" x14ac:dyDescent="0.25">
      <c r="A103" s="466" t="s">
        <v>18</v>
      </c>
      <c r="B103" s="467"/>
      <c r="C103" s="467"/>
      <c r="D103" s="218">
        <f>SUM(D101:D102)</f>
        <v>76.906877385143744</v>
      </c>
      <c r="E103" s="83">
        <f>SUM(E101:E102)</f>
        <v>80.060059357934662</v>
      </c>
      <c r="F103" s="159"/>
      <c r="G103" s="92">
        <f>SUM(G101:G102)</f>
        <v>88.06606529372813</v>
      </c>
      <c r="H103" s="159"/>
      <c r="I103" s="92">
        <f>SUM(I101:I102)</f>
        <v>88.06606529372813</v>
      </c>
      <c r="J103" s="370"/>
      <c r="K103" s="92">
        <f>SUM(K101:K102)</f>
        <v>93.165090474234972</v>
      </c>
    </row>
    <row r="104" spans="1:11" x14ac:dyDescent="0.25">
      <c r="A104" s="173"/>
      <c r="B104" s="174"/>
      <c r="C104" s="174"/>
      <c r="D104" s="250"/>
      <c r="E104" s="115"/>
      <c r="F104" s="159"/>
      <c r="G104" s="160"/>
      <c r="H104" s="159"/>
      <c r="I104" s="160"/>
      <c r="J104" s="370"/>
      <c r="K104" s="371"/>
    </row>
    <row r="105" spans="1:11" x14ac:dyDescent="0.25">
      <c r="A105" s="481" t="s">
        <v>66</v>
      </c>
      <c r="B105" s="482"/>
      <c r="C105" s="482"/>
      <c r="D105" s="483"/>
      <c r="E105" s="115"/>
      <c r="F105" s="159"/>
      <c r="G105" s="160"/>
      <c r="H105" s="159"/>
      <c r="I105" s="160"/>
      <c r="J105" s="370"/>
      <c r="K105" s="371"/>
    </row>
    <row r="106" spans="1:11" x14ac:dyDescent="0.25">
      <c r="A106" s="187">
        <v>5</v>
      </c>
      <c r="B106" s="476" t="s">
        <v>67</v>
      </c>
      <c r="C106" s="476"/>
      <c r="D106" s="93" t="s">
        <v>5</v>
      </c>
      <c r="E106" s="189" t="s">
        <v>5</v>
      </c>
      <c r="F106" s="159"/>
      <c r="G106" s="93" t="s">
        <v>5</v>
      </c>
      <c r="H106" s="159"/>
      <c r="I106" s="93" t="s">
        <v>5</v>
      </c>
      <c r="J106" s="370"/>
      <c r="K106" s="93" t="s">
        <v>5</v>
      </c>
    </row>
    <row r="107" spans="1:11" x14ac:dyDescent="0.25">
      <c r="A107" s="181" t="s">
        <v>6</v>
      </c>
      <c r="B107" s="475" t="s">
        <v>68</v>
      </c>
      <c r="C107" s="475"/>
      <c r="D107" s="218">
        <v>0</v>
      </c>
      <c r="E107" s="83">
        <v>0</v>
      </c>
      <c r="F107" s="159"/>
      <c r="G107" s="92">
        <v>0</v>
      </c>
      <c r="H107" s="159"/>
      <c r="I107" s="92">
        <v>0</v>
      </c>
      <c r="J107" s="370"/>
      <c r="K107" s="92">
        <v>0</v>
      </c>
    </row>
    <row r="108" spans="1:11" x14ac:dyDescent="0.25">
      <c r="A108" s="181" t="s">
        <v>8</v>
      </c>
      <c r="B108" s="475" t="s">
        <v>69</v>
      </c>
      <c r="C108" s="475"/>
      <c r="D108" s="218">
        <v>0</v>
      </c>
      <c r="E108" s="83">
        <v>0</v>
      </c>
      <c r="F108" s="159"/>
      <c r="G108" s="92">
        <v>0</v>
      </c>
      <c r="H108" s="159"/>
      <c r="I108" s="92">
        <v>0</v>
      </c>
      <c r="J108" s="370"/>
      <c r="K108" s="92">
        <v>0</v>
      </c>
    </row>
    <row r="109" spans="1:11" x14ac:dyDescent="0.25">
      <c r="A109" s="181" t="s">
        <v>10</v>
      </c>
      <c r="B109" s="475" t="s">
        <v>70</v>
      </c>
      <c r="C109" s="475"/>
      <c r="D109" s="218">
        <v>0</v>
      </c>
      <c r="E109" s="83">
        <v>0</v>
      </c>
      <c r="F109" s="159"/>
      <c r="G109" s="92">
        <v>0</v>
      </c>
      <c r="H109" s="159"/>
      <c r="I109" s="92">
        <v>0</v>
      </c>
      <c r="J109" s="370"/>
      <c r="K109" s="92">
        <v>0</v>
      </c>
    </row>
    <row r="110" spans="1:11" x14ac:dyDescent="0.25">
      <c r="A110" s="181" t="s">
        <v>12</v>
      </c>
      <c r="B110" s="475" t="s">
        <v>17</v>
      </c>
      <c r="C110" s="475"/>
      <c r="D110" s="218">
        <v>0</v>
      </c>
      <c r="E110" s="83">
        <v>0</v>
      </c>
      <c r="F110" s="159"/>
      <c r="G110" s="92">
        <v>0</v>
      </c>
      <c r="H110" s="159"/>
      <c r="I110" s="92">
        <v>0</v>
      </c>
      <c r="J110" s="370"/>
      <c r="K110" s="92">
        <v>0</v>
      </c>
    </row>
    <row r="111" spans="1:11" x14ac:dyDescent="0.25">
      <c r="A111" s="466" t="s">
        <v>18</v>
      </c>
      <c r="B111" s="467"/>
      <c r="C111" s="467"/>
      <c r="D111" s="218">
        <f>SUM(D107:D110)</f>
        <v>0</v>
      </c>
      <c r="E111" s="83">
        <f t="shared" ref="E111" si="44">SUM(E107:E110)</f>
        <v>0</v>
      </c>
      <c r="F111" s="159"/>
      <c r="G111" s="92">
        <f t="shared" ref="G111" si="45">SUM(G107:G110)</f>
        <v>0</v>
      </c>
      <c r="H111" s="159"/>
      <c r="I111" s="92">
        <f t="shared" ref="I111" si="46">SUM(I107:I110)</f>
        <v>0</v>
      </c>
      <c r="J111" s="370"/>
      <c r="K111" s="92">
        <f t="shared" ref="K111" si="47">SUM(K107:K110)</f>
        <v>0</v>
      </c>
    </row>
    <row r="112" spans="1:11" x14ac:dyDescent="0.25">
      <c r="A112" s="501" t="s">
        <v>80</v>
      </c>
      <c r="B112" s="502"/>
      <c r="C112" s="502"/>
      <c r="D112" s="572"/>
      <c r="E112" s="115"/>
      <c r="F112" s="159"/>
      <c r="G112" s="160"/>
      <c r="H112" s="159"/>
      <c r="I112" s="160"/>
      <c r="J112" s="370"/>
      <c r="K112" s="371"/>
    </row>
    <row r="113" spans="1:11" x14ac:dyDescent="0.25">
      <c r="A113" s="173"/>
      <c r="B113" s="174"/>
      <c r="C113" s="174"/>
      <c r="D113" s="250"/>
      <c r="E113" s="115"/>
      <c r="F113" s="159"/>
      <c r="G113" s="160"/>
      <c r="H113" s="159"/>
      <c r="I113" s="160"/>
      <c r="J113" s="370"/>
      <c r="K113" s="371"/>
    </row>
    <row r="114" spans="1:11" x14ac:dyDescent="0.25">
      <c r="A114" s="481" t="s">
        <v>71</v>
      </c>
      <c r="B114" s="482"/>
      <c r="C114" s="482"/>
      <c r="D114" s="483"/>
      <c r="E114" s="115"/>
      <c r="F114" s="159"/>
      <c r="G114" s="160"/>
      <c r="H114" s="159"/>
      <c r="I114" s="160"/>
      <c r="J114" s="370"/>
      <c r="K114" s="371"/>
    </row>
    <row r="115" spans="1:11" x14ac:dyDescent="0.25">
      <c r="A115" s="477" t="s">
        <v>121</v>
      </c>
      <c r="B115" s="478"/>
      <c r="C115" s="479" t="s">
        <v>122</v>
      </c>
      <c r="D115" s="480"/>
      <c r="E115" s="208"/>
      <c r="F115" s="159"/>
      <c r="G115" s="210" t="s">
        <v>122</v>
      </c>
      <c r="H115" s="159"/>
      <c r="I115" s="210" t="s">
        <v>122</v>
      </c>
      <c r="J115" s="370"/>
      <c r="K115" s="377" t="s">
        <v>122</v>
      </c>
    </row>
    <row r="116" spans="1:11" x14ac:dyDescent="0.25">
      <c r="A116" s="187">
        <v>6</v>
      </c>
      <c r="B116" s="178" t="s">
        <v>72</v>
      </c>
      <c r="C116" s="178" t="s">
        <v>26</v>
      </c>
      <c r="D116" s="231" t="s">
        <v>5</v>
      </c>
      <c r="E116" s="189" t="s">
        <v>5</v>
      </c>
      <c r="F116" s="245"/>
      <c r="G116" s="93" t="s">
        <v>5</v>
      </c>
      <c r="H116" s="245"/>
      <c r="I116" s="93" t="s">
        <v>5</v>
      </c>
      <c r="J116" s="245"/>
      <c r="K116" s="93" t="s">
        <v>5</v>
      </c>
    </row>
    <row r="117" spans="1:11" x14ac:dyDescent="0.25">
      <c r="A117" s="181" t="s">
        <v>6</v>
      </c>
      <c r="B117" s="182" t="s">
        <v>73</v>
      </c>
      <c r="C117" s="191">
        <v>0.05</v>
      </c>
      <c r="D117" s="233">
        <f>C117*D135</f>
        <v>506.92798688565449</v>
      </c>
      <c r="E117" s="83">
        <f>$C117*E$135</f>
        <v>527.26571780251186</v>
      </c>
      <c r="F117" s="241"/>
      <c r="G117" s="92">
        <f>$C117*G$135</f>
        <v>575.87043968889009</v>
      </c>
      <c r="H117" s="241"/>
      <c r="I117" s="92">
        <f>$C117*I$135</f>
        <v>567.03027048912543</v>
      </c>
      <c r="J117" s="241"/>
      <c r="K117" s="92">
        <f>$C117*K$135</f>
        <v>595.28243171190866</v>
      </c>
    </row>
    <row r="118" spans="1:11" x14ac:dyDescent="0.25">
      <c r="A118" s="181" t="s">
        <v>8</v>
      </c>
      <c r="B118" s="182" t="s">
        <v>74</v>
      </c>
      <c r="C118" s="191">
        <v>1.5739184481186757E-2</v>
      </c>
      <c r="D118" s="233">
        <f>C118*D135</f>
        <v>159.57266208539872</v>
      </c>
      <c r="E118" s="83">
        <f>$C118*E$135</f>
        <v>165.97464806198178</v>
      </c>
      <c r="F118" s="241"/>
      <c r="G118" s="92">
        <f>$C118*G$135</f>
        <v>181.27462175051144</v>
      </c>
      <c r="H118" s="241"/>
      <c r="I118" s="92">
        <f>$C118*I$135</f>
        <v>178.49188067291141</v>
      </c>
      <c r="J118" s="241"/>
      <c r="K118" s="92">
        <f>$C118*K$135</f>
        <v>187.38520022246374</v>
      </c>
    </row>
    <row r="119" spans="1:11" x14ac:dyDescent="0.25">
      <c r="A119" s="181" t="s">
        <v>10</v>
      </c>
      <c r="B119" s="182" t="s">
        <v>130</v>
      </c>
      <c r="C119" s="193">
        <f>SUM(C120:C122)</f>
        <v>8.6499999999999994E-2</v>
      </c>
      <c r="D119" s="233">
        <f>(D135+D118+D117)*(C119/IF(C115="Lucro presumido",91.45%,85.75%))</f>
        <v>1022.0204739728575</v>
      </c>
      <c r="E119" s="83">
        <f>(E$135+E$118+E$117)*($C119/IF($C115="Lucro presumido",91.45%,85.75%))</f>
        <v>1063.0234920127107</v>
      </c>
      <c r="F119" s="241"/>
      <c r="G119" s="92">
        <f>(G$135+G$118+G$117)*($C119/IF($C115="Lucro presumido",91.45%,85.75%))</f>
        <v>1161.0157555782264</v>
      </c>
      <c r="H119" s="241"/>
      <c r="I119" s="92">
        <f>(I$135+I$118+I$117)*($C119/IF($C115="Lucro presumido",91.45%,85.75%))</f>
        <v>1143.1930388427591</v>
      </c>
      <c r="J119" s="241"/>
      <c r="K119" s="92">
        <f>(K$135+K$118+K$117)*($C119/IF($C115="Lucro presumido",91.45%,85.75%))</f>
        <v>1200.1523860294424</v>
      </c>
    </row>
    <row r="120" spans="1:11" x14ac:dyDescent="0.25">
      <c r="A120" s="181" t="s">
        <v>125</v>
      </c>
      <c r="B120" s="182" t="s">
        <v>124</v>
      </c>
      <c r="C120" s="193">
        <f>IF(C115="Lucro presumido",0.65%,1.65%)</f>
        <v>6.5000000000000006E-3</v>
      </c>
      <c r="D120" s="219" t="s">
        <v>123</v>
      </c>
      <c r="E120" s="83" t="s">
        <v>123</v>
      </c>
      <c r="F120" s="241"/>
      <c r="G120" s="92" t="s">
        <v>123</v>
      </c>
      <c r="H120" s="241"/>
      <c r="I120" s="92" t="s">
        <v>123</v>
      </c>
      <c r="J120" s="241"/>
      <c r="K120" s="92" t="s">
        <v>123</v>
      </c>
    </row>
    <row r="121" spans="1:11" x14ac:dyDescent="0.25">
      <c r="A121" s="181" t="s">
        <v>127</v>
      </c>
      <c r="B121" s="182" t="s">
        <v>126</v>
      </c>
      <c r="C121" s="193">
        <f>IF(C115="Lucro presumido",3%,7.6%)</f>
        <v>0.03</v>
      </c>
      <c r="D121" s="219" t="s">
        <v>123</v>
      </c>
      <c r="E121" s="83" t="s">
        <v>123</v>
      </c>
      <c r="F121" s="241"/>
      <c r="G121" s="92" t="s">
        <v>123</v>
      </c>
      <c r="H121" s="241"/>
      <c r="I121" s="92" t="s">
        <v>123</v>
      </c>
      <c r="J121" s="241"/>
      <c r="K121" s="92" t="s">
        <v>123</v>
      </c>
    </row>
    <row r="122" spans="1:11" x14ac:dyDescent="0.25">
      <c r="A122" s="181" t="s">
        <v>129</v>
      </c>
      <c r="B122" s="182" t="s">
        <v>128</v>
      </c>
      <c r="C122" s="193">
        <v>0.05</v>
      </c>
      <c r="D122" s="219" t="s">
        <v>123</v>
      </c>
      <c r="E122" s="83" t="s">
        <v>123</v>
      </c>
      <c r="F122" s="241"/>
      <c r="G122" s="92" t="s">
        <v>123</v>
      </c>
      <c r="H122" s="241"/>
      <c r="I122" s="92" t="s">
        <v>123</v>
      </c>
      <c r="J122" s="241"/>
      <c r="K122" s="92" t="s">
        <v>123</v>
      </c>
    </row>
    <row r="123" spans="1:11" ht="30" x14ac:dyDescent="0.25">
      <c r="A123" s="161" t="s">
        <v>12</v>
      </c>
      <c r="B123" s="163" t="s">
        <v>132</v>
      </c>
      <c r="C123" s="243">
        <v>4.4999999999999998E-2</v>
      </c>
      <c r="D123" s="244">
        <f>(D135+D118+D117)*(C123/IF(C115="Lucro presumido",91.45%,85.75%))</f>
        <v>531.68695177778716</v>
      </c>
      <c r="E123" s="83">
        <f>(E$135+E$118+E$117)*($C123/IF($C115="Lucro presumido",91.45%,85.75%))</f>
        <v>553.01800162510972</v>
      </c>
      <c r="F123" s="241"/>
      <c r="G123" s="92">
        <f>(G$135+G$118+G$117)*($C123/IF($C115="Lucro presumido",91.45%,85.75%))</f>
        <v>603.99663584994437</v>
      </c>
      <c r="H123" s="241"/>
      <c r="I123" s="92">
        <f>(I$135+I$118+I$117)*($C123/IF($C115="Lucro presumido",91.45%,85.75%))</f>
        <v>594.72470228814052</v>
      </c>
      <c r="J123" s="241"/>
      <c r="K123" s="92">
        <f>(K$135+K$118+K$117)*($C123/IF($C115="Lucro presumido",91.45%,85.75%))</f>
        <v>624.35673261647298</v>
      </c>
    </row>
    <row r="124" spans="1:11" x14ac:dyDescent="0.25">
      <c r="A124" s="466" t="s">
        <v>18</v>
      </c>
      <c r="B124" s="467"/>
      <c r="C124" s="193">
        <f>SUM(C117:C119)+(C123)</f>
        <v>0.19723918448118677</v>
      </c>
      <c r="D124" s="233">
        <f>SUM(D117:D119)+D123</f>
        <v>2220.2080747216978</v>
      </c>
      <c r="E124" s="83">
        <f t="shared" ref="E124" si="48">SUM(E117:E119)+E123</f>
        <v>2309.2818595023141</v>
      </c>
      <c r="F124" s="241"/>
      <c r="G124" s="92">
        <f t="shared" ref="G124" si="49">SUM(G117:G119)+G123</f>
        <v>2522.1574528675719</v>
      </c>
      <c r="H124" s="241"/>
      <c r="I124" s="92">
        <f t="shared" ref="I124" si="50">SUM(I117:I119)+I123</f>
        <v>2483.4398922929363</v>
      </c>
      <c r="J124" s="241"/>
      <c r="K124" s="92">
        <f t="shared" ref="K124" si="51">SUM(K117:K119)+K123</f>
        <v>2607.1767505802877</v>
      </c>
    </row>
    <row r="125" spans="1:11" x14ac:dyDescent="0.25">
      <c r="A125" s="501" t="s">
        <v>81</v>
      </c>
      <c r="B125" s="502"/>
      <c r="C125" s="502"/>
      <c r="D125" s="572"/>
      <c r="E125" s="115"/>
      <c r="F125" s="159"/>
      <c r="G125" s="160"/>
      <c r="H125" s="159"/>
      <c r="I125" s="160"/>
      <c r="J125" s="370"/>
      <c r="K125" s="371"/>
    </row>
    <row r="126" spans="1:11" x14ac:dyDescent="0.25">
      <c r="A126" s="501" t="s">
        <v>131</v>
      </c>
      <c r="B126" s="502"/>
      <c r="C126" s="502"/>
      <c r="D126" s="572"/>
      <c r="E126" s="115"/>
      <c r="F126" s="159"/>
      <c r="G126" s="160"/>
      <c r="H126" s="159"/>
      <c r="I126" s="160"/>
      <c r="J126" s="370"/>
      <c r="K126" s="371"/>
    </row>
    <row r="127" spans="1:11" x14ac:dyDescent="0.25">
      <c r="A127" s="173"/>
      <c r="B127" s="174"/>
      <c r="C127" s="174"/>
      <c r="D127" s="250"/>
      <c r="E127" s="115"/>
      <c r="F127" s="159"/>
      <c r="G127" s="160"/>
      <c r="H127" s="159"/>
      <c r="I127" s="160"/>
      <c r="J127" s="370"/>
      <c r="K127" s="371"/>
    </row>
    <row r="128" spans="1:11" x14ac:dyDescent="0.25">
      <c r="A128" s="481" t="s">
        <v>117</v>
      </c>
      <c r="B128" s="482"/>
      <c r="C128" s="482"/>
      <c r="D128" s="483"/>
      <c r="E128" s="115"/>
      <c r="F128" s="159"/>
      <c r="G128" s="160"/>
      <c r="H128" s="159"/>
      <c r="I128" s="160"/>
      <c r="J128" s="370"/>
      <c r="K128" s="371"/>
    </row>
    <row r="129" spans="1:11" ht="30" x14ac:dyDescent="0.25">
      <c r="A129" s="499" t="s">
        <v>82</v>
      </c>
      <c r="B129" s="507"/>
      <c r="C129" s="500"/>
      <c r="D129" s="93" t="s">
        <v>75</v>
      </c>
      <c r="E129" s="169" t="s">
        <v>171</v>
      </c>
      <c r="F129" s="159"/>
      <c r="G129" s="171" t="s">
        <v>210</v>
      </c>
      <c r="H129" s="159"/>
      <c r="I129" s="171" t="s">
        <v>215</v>
      </c>
      <c r="J129" s="370"/>
      <c r="K129" s="378" t="s">
        <v>215</v>
      </c>
    </row>
    <row r="130" spans="1:11" x14ac:dyDescent="0.25">
      <c r="A130" s="161" t="s">
        <v>6</v>
      </c>
      <c r="B130" s="474" t="s">
        <v>76</v>
      </c>
      <c r="C130" s="474"/>
      <c r="D130" s="218">
        <f>D19</f>
        <v>6113.95</v>
      </c>
      <c r="E130" s="83">
        <f t="shared" ref="E130" si="52">E19</f>
        <v>6364.6219499999997</v>
      </c>
      <c r="F130" s="159"/>
      <c r="G130" s="92">
        <f t="shared" ref="G130" si="53">G19</f>
        <v>7001.0841450000007</v>
      </c>
      <c r="H130" s="159"/>
      <c r="I130" s="92">
        <f t="shared" ref="I130" si="54">I19</f>
        <v>7001.0841450000007</v>
      </c>
      <c r="J130" s="370"/>
      <c r="K130" s="92">
        <f t="shared" ref="K130" si="55">K19</f>
        <v>7406.4469169955009</v>
      </c>
    </row>
    <row r="131" spans="1:11" x14ac:dyDescent="0.25">
      <c r="A131" s="161" t="s">
        <v>8</v>
      </c>
      <c r="B131" s="474" t="s">
        <v>20</v>
      </c>
      <c r="C131" s="474"/>
      <c r="D131" s="218">
        <f>D65</f>
        <v>3482.4651905454543</v>
      </c>
      <c r="E131" s="83">
        <f t="shared" ref="E131" si="56">E65</f>
        <v>3616.3199324487273</v>
      </c>
      <c r="F131" s="159"/>
      <c r="G131" s="92">
        <f t="shared" ref="G131" si="57">G65</f>
        <v>3896.3739631980006</v>
      </c>
      <c r="H131" s="159"/>
      <c r="I131" s="92">
        <f t="shared" ref="I131" si="58">I65</f>
        <v>3896.3739631980006</v>
      </c>
      <c r="J131" s="370"/>
      <c r="K131" s="92">
        <f t="shared" ref="K131" si="59">K65</f>
        <v>4030.3961868964207</v>
      </c>
    </row>
    <row r="132" spans="1:11" x14ac:dyDescent="0.25">
      <c r="A132" s="161" t="s">
        <v>10</v>
      </c>
      <c r="B132" s="474" t="s">
        <v>77</v>
      </c>
      <c r="C132" s="474"/>
      <c r="D132" s="218">
        <f>D76</f>
        <v>465.23766978249148</v>
      </c>
      <c r="E132" s="83">
        <f t="shared" ref="E132" si="60">E76</f>
        <v>484.3124142435737</v>
      </c>
      <c r="F132" s="159"/>
      <c r="G132" s="92">
        <f t="shared" ref="G132" si="61">G76</f>
        <v>531.88462028607228</v>
      </c>
      <c r="H132" s="159"/>
      <c r="I132" s="92">
        <f t="shared" ref="I132" si="62">I76</f>
        <v>355.0812362907788</v>
      </c>
      <c r="J132" s="370"/>
      <c r="K132" s="92">
        <f t="shared" ref="K132" si="63">K76</f>
        <v>375.64043987201489</v>
      </c>
    </row>
    <row r="133" spans="1:11" x14ac:dyDescent="0.25">
      <c r="A133" s="161" t="s">
        <v>12</v>
      </c>
      <c r="B133" s="474" t="s">
        <v>52</v>
      </c>
      <c r="C133" s="474"/>
      <c r="D133" s="218">
        <f>D103</f>
        <v>76.906877385143744</v>
      </c>
      <c r="E133" s="83">
        <f t="shared" ref="E133" si="64">E103</f>
        <v>80.060059357934662</v>
      </c>
      <c r="F133" s="159"/>
      <c r="G133" s="92">
        <f t="shared" ref="G133" si="65">G103</f>
        <v>88.06606529372813</v>
      </c>
      <c r="H133" s="159"/>
      <c r="I133" s="92">
        <f t="shared" ref="I133" si="66">I103</f>
        <v>88.06606529372813</v>
      </c>
      <c r="J133" s="370"/>
      <c r="K133" s="92">
        <f t="shared" ref="K133" si="67">K103</f>
        <v>93.165090474234972</v>
      </c>
    </row>
    <row r="134" spans="1:11" x14ac:dyDescent="0.25">
      <c r="A134" s="161" t="s">
        <v>14</v>
      </c>
      <c r="B134" s="474" t="s">
        <v>66</v>
      </c>
      <c r="C134" s="474"/>
      <c r="D134" s="218">
        <f>D111</f>
        <v>0</v>
      </c>
      <c r="E134" s="83">
        <f t="shared" ref="E134" si="68">E111</f>
        <v>0</v>
      </c>
      <c r="F134" s="159"/>
      <c r="G134" s="92">
        <f t="shared" ref="G134" si="69">G111</f>
        <v>0</v>
      </c>
      <c r="H134" s="159"/>
      <c r="I134" s="92">
        <f t="shared" ref="I134" si="70">I111</f>
        <v>0</v>
      </c>
      <c r="J134" s="370"/>
      <c r="K134" s="92">
        <f t="shared" ref="K134" si="71">K111</f>
        <v>0</v>
      </c>
    </row>
    <row r="135" spans="1:11" x14ac:dyDescent="0.25">
      <c r="A135" s="466" t="s">
        <v>78</v>
      </c>
      <c r="B135" s="467"/>
      <c r="C135" s="467"/>
      <c r="D135" s="218">
        <f>SUM(D130:D134)</f>
        <v>10138.559737713089</v>
      </c>
      <c r="E135" s="83">
        <f t="shared" ref="E135" si="72">SUM(E130:E134)</f>
        <v>10545.314356050236</v>
      </c>
      <c r="F135" s="159"/>
      <c r="G135" s="92">
        <f t="shared" ref="G135" si="73">SUM(G130:G134)</f>
        <v>11517.4087937778</v>
      </c>
      <c r="H135" s="159"/>
      <c r="I135" s="92">
        <f t="shared" ref="I135" si="74">SUM(I130:I134)</f>
        <v>11340.605409782507</v>
      </c>
      <c r="J135" s="370"/>
      <c r="K135" s="92">
        <f t="shared" ref="K135" si="75">SUM(K130:K134)</f>
        <v>11905.648634238172</v>
      </c>
    </row>
    <row r="136" spans="1:11" x14ac:dyDescent="0.25">
      <c r="A136" s="181" t="s">
        <v>16</v>
      </c>
      <c r="B136" s="475" t="s">
        <v>71</v>
      </c>
      <c r="C136" s="475"/>
      <c r="D136" s="218">
        <f>D124</f>
        <v>2220.2080747216978</v>
      </c>
      <c r="E136" s="83">
        <f t="shared" ref="E136" si="76">E124</f>
        <v>2309.2818595023141</v>
      </c>
      <c r="F136" s="159"/>
      <c r="G136" s="92">
        <f t="shared" ref="G136" si="77">G124</f>
        <v>2522.1574528675719</v>
      </c>
      <c r="H136" s="159"/>
      <c r="I136" s="92">
        <f t="shared" ref="I136" si="78">I124</f>
        <v>2483.4398922929363</v>
      </c>
      <c r="J136" s="370"/>
      <c r="K136" s="92">
        <f t="shared" ref="K136" si="79">K124</f>
        <v>2607.1767505802877</v>
      </c>
    </row>
    <row r="137" spans="1:11" ht="15.75" thickBot="1" x14ac:dyDescent="0.3">
      <c r="A137" s="485" t="s">
        <v>79</v>
      </c>
      <c r="B137" s="486"/>
      <c r="C137" s="486"/>
      <c r="D137" s="236">
        <f>SUM(D135:D136)</f>
        <v>12358.767812434788</v>
      </c>
      <c r="E137" s="213">
        <f t="shared" ref="E137" si="80">SUM(E135:E136)</f>
        <v>12854.59621555255</v>
      </c>
      <c r="F137" s="248"/>
      <c r="G137" s="215">
        <f t="shared" ref="G137" si="81">SUM(G135:G136)</f>
        <v>14039.566246645372</v>
      </c>
      <c r="H137" s="248"/>
      <c r="I137" s="215">
        <f t="shared" ref="I137" si="82">SUM(I135:I136)</f>
        <v>13824.045302075443</v>
      </c>
      <c r="J137" s="248"/>
      <c r="K137" s="215">
        <f t="shared" ref="K137" si="83">SUM(K135:K136)</f>
        <v>14512.825384818459</v>
      </c>
    </row>
    <row r="138" spans="1:11" x14ac:dyDescent="0.25">
      <c r="D138" s="264"/>
    </row>
  </sheetData>
  <mergeCells count="85">
    <mergeCell ref="J1:K3"/>
    <mergeCell ref="J4:K4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F4:G4"/>
    <mergeCell ref="H4:I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00000000-0002-0000-03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</vt:i4>
      </vt:variant>
    </vt:vector>
  </HeadingPairs>
  <TitlesOfParts>
    <vt:vector size="15" baseType="lpstr">
      <vt:lpstr>Quadro-Resumo</vt:lpstr>
      <vt:lpstr>Acréscimo</vt:lpstr>
      <vt:lpstr>Garantia</vt:lpstr>
      <vt:lpstr>Coordenador de Jornalismo</vt:lpstr>
      <vt:lpstr>Mídias Sociais</vt:lpstr>
      <vt:lpstr>Jornalista Produtor</vt:lpstr>
      <vt:lpstr>Repórter Fotográfico</vt:lpstr>
      <vt:lpstr>Editor de Pós-Produção</vt:lpstr>
      <vt:lpstr>Operador de Câmera UPE</vt:lpstr>
      <vt:lpstr>Auxiliar de Operador de Câmera </vt:lpstr>
      <vt:lpstr>Webdesigner</vt:lpstr>
      <vt:lpstr>Designer Gráfico</vt:lpstr>
      <vt:lpstr>Anexo Uniformes</vt:lpstr>
      <vt:lpstr>'Anexo Uniformes'!Area_de_impressao</vt:lpstr>
      <vt:lpstr>'Anexo Uniformes'!Print_Area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Fontoura Campos da Silva</dc:creator>
  <cp:lastModifiedBy>Fernanda Mateus Kawano</cp:lastModifiedBy>
  <cp:lastPrinted>2019-07-26T18:13:31Z</cp:lastPrinted>
  <dcterms:created xsi:type="dcterms:W3CDTF">2019-04-29T17:44:08Z</dcterms:created>
  <dcterms:modified xsi:type="dcterms:W3CDTF">2024-05-06T19:37:25Z</dcterms:modified>
</cp:coreProperties>
</file>