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a.kawano\Downloads\"/>
    </mc:Choice>
  </mc:AlternateContent>
  <xr:revisionPtr revIDLastSave="0" documentId="8_{A9238CC2-29E3-4592-AC4D-88D57C762C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Quadro-Resumo" sheetId="2" r:id="rId1"/>
    <sheet name="Garantia" sheetId="23" state="hidden" r:id="rId2"/>
    <sheet name="1" sheetId="6" r:id="rId3"/>
    <sheet name="2" sheetId="7" r:id="rId4"/>
    <sheet name="3" sheetId="8" r:id="rId5"/>
    <sheet name="4" sheetId="10" r:id="rId6"/>
    <sheet name="5" sheetId="22" r:id="rId7"/>
    <sheet name="Uniforme" sheetId="21" r:id="rId8"/>
  </sheets>
  <definedNames>
    <definedName name="_xlnm.Print_Area" localSheetId="2">'1'!$A$1:$D$119</definedName>
    <definedName name="_xlnm.Print_Area" localSheetId="3">'2'!$A$1:$D$119</definedName>
    <definedName name="_xlnm.Print_Area" localSheetId="4">'3'!$A$1:$D$119</definedName>
    <definedName name="_xlnm.Print_Area" localSheetId="5">'4'!$A$1:$D$119</definedName>
    <definedName name="_xlnm.Print_Area" localSheetId="6">'5'!$A$1:$D$119</definedName>
    <definedName name="_xlnm.Print_Area" localSheetId="0">'Quadro-Resumo'!$A$1:$G$11</definedName>
    <definedName name="_xlnm.Print_Area" localSheetId="7">Uniforme!$A$1:$G$14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3" i="2" l="1"/>
  <c r="G93" i="2" s="1"/>
  <c r="D93" i="2"/>
  <c r="E92" i="2"/>
  <c r="G92" i="2" s="1"/>
  <c r="D92" i="2"/>
  <c r="E91" i="2"/>
  <c r="G91" i="2" s="1"/>
  <c r="D91" i="2"/>
  <c r="E90" i="2"/>
  <c r="G90" i="2" s="1"/>
  <c r="D90" i="2"/>
  <c r="E89" i="2"/>
  <c r="G89" i="2" s="1"/>
  <c r="G94" i="2" s="1"/>
  <c r="G95" i="2" s="1"/>
  <c r="D89" i="2"/>
  <c r="C65" i="23"/>
  <c r="E52" i="23"/>
  <c r="T12" i="22"/>
  <c r="K39" i="23"/>
  <c r="T43" i="7"/>
  <c r="T43" i="6"/>
  <c r="T43" i="8"/>
  <c r="T43" i="10"/>
  <c r="T49" i="6"/>
  <c r="T25" i="6"/>
  <c r="D80" i="2"/>
  <c r="D79" i="2"/>
  <c r="D78" i="2"/>
  <c r="D77" i="2"/>
  <c r="G71" i="2"/>
  <c r="H64" i="23"/>
  <c r="C46" i="23"/>
  <c r="C45" i="23"/>
  <c r="E46" i="23"/>
  <c r="E44" i="23"/>
  <c r="E33" i="23"/>
  <c r="C33" i="23" s="1"/>
  <c r="K33" i="23" l="1"/>
  <c r="K40" i="23" s="1"/>
  <c r="K41" i="23" s="1"/>
  <c r="C66" i="23"/>
  <c r="C67" i="23" s="1"/>
  <c r="H65" i="23" s="1"/>
  <c r="T58" i="7"/>
  <c r="T35" i="7"/>
  <c r="T33" i="7"/>
  <c r="T58" i="6"/>
  <c r="T57" i="6"/>
  <c r="T34" i="6"/>
  <c r="P41" i="6"/>
  <c r="S43" i="22"/>
  <c r="T43" i="22" s="1"/>
  <c r="S106" i="22"/>
  <c r="S101" i="22"/>
  <c r="T90" i="22"/>
  <c r="T94" i="22" s="1"/>
  <c r="T116" i="22" s="1"/>
  <c r="T80" i="22"/>
  <c r="T85" i="22" s="1"/>
  <c r="S75" i="22"/>
  <c r="S58" i="22"/>
  <c r="S31" i="22"/>
  <c r="S37" i="22" s="1"/>
  <c r="S60" i="22" s="1"/>
  <c r="S25" i="22"/>
  <c r="T18" i="10"/>
  <c r="T42" i="10"/>
  <c r="T12" i="10"/>
  <c r="S106" i="10"/>
  <c r="S101" i="10"/>
  <c r="T90" i="10"/>
  <c r="T94" i="10" s="1"/>
  <c r="T116" i="10" s="1"/>
  <c r="T80" i="10"/>
  <c r="T85" i="10" s="1"/>
  <c r="S75" i="10"/>
  <c r="S58" i="10"/>
  <c r="S31" i="10"/>
  <c r="S25" i="10"/>
  <c r="T42" i="8"/>
  <c r="T42" i="7"/>
  <c r="T42" i="6"/>
  <c r="S62" i="22" l="1"/>
  <c r="S37" i="10"/>
  <c r="S60" i="10" s="1"/>
  <c r="T12" i="8"/>
  <c r="S106" i="8"/>
  <c r="S101" i="8"/>
  <c r="T90" i="8"/>
  <c r="T94" i="8" s="1"/>
  <c r="T116" i="8" s="1"/>
  <c r="T85" i="8"/>
  <c r="T80" i="8"/>
  <c r="S75" i="8"/>
  <c r="S58" i="8"/>
  <c r="S31" i="8"/>
  <c r="S37" i="8" s="1"/>
  <c r="S60" i="8" s="1"/>
  <c r="S25" i="8"/>
  <c r="T12" i="7"/>
  <c r="S106" i="7"/>
  <c r="S101" i="7"/>
  <c r="T90" i="7"/>
  <c r="T94" i="7" s="1"/>
  <c r="T116" i="7" s="1"/>
  <c r="T80" i="7"/>
  <c r="T85" i="7" s="1"/>
  <c r="S75" i="7"/>
  <c r="S58" i="7"/>
  <c r="S31" i="7"/>
  <c r="S37" i="7" s="1"/>
  <c r="S60" i="7" s="1"/>
  <c r="S25" i="7"/>
  <c r="S62" i="10" l="1"/>
  <c r="S62" i="8"/>
  <c r="S62" i="7"/>
  <c r="S101" i="6"/>
  <c r="S106" i="6" s="1"/>
  <c r="T90" i="6"/>
  <c r="T94" i="6" s="1"/>
  <c r="T116" i="6" s="1"/>
  <c r="T80" i="6"/>
  <c r="T85" i="6" s="1"/>
  <c r="S75" i="6"/>
  <c r="S58" i="6"/>
  <c r="S31" i="6"/>
  <c r="S37" i="6" s="1"/>
  <c r="S60" i="6" s="1"/>
  <c r="S25" i="6"/>
  <c r="R90" i="8"/>
  <c r="R94" i="8" s="1"/>
  <c r="R116" i="8" s="1"/>
  <c r="P90" i="8"/>
  <c r="R90" i="22"/>
  <c r="R94" i="22" s="1"/>
  <c r="R116" i="22" s="1"/>
  <c r="P90" i="22"/>
  <c r="P94" i="22" s="1"/>
  <c r="P116" i="22" s="1"/>
  <c r="N90" i="22"/>
  <c r="N94" i="22" s="1"/>
  <c r="N116" i="22" s="1"/>
  <c r="L90" i="22"/>
  <c r="L94" i="22" s="1"/>
  <c r="L116" i="22" s="1"/>
  <c r="J90" i="22"/>
  <c r="J94" i="22" s="1"/>
  <c r="J116" i="22" s="1"/>
  <c r="H90" i="22"/>
  <c r="H94" i="22" s="1"/>
  <c r="H116" i="22" s="1"/>
  <c r="F90" i="22"/>
  <c r="F94" i="22" s="1"/>
  <c r="F116" i="22" s="1"/>
  <c r="D90" i="22"/>
  <c r="N90" i="8"/>
  <c r="N94" i="8" s="1"/>
  <c r="N116" i="8" s="1"/>
  <c r="P94" i="8"/>
  <c r="P116" i="8" s="1"/>
  <c r="L90" i="8"/>
  <c r="J90" i="8"/>
  <c r="J94" i="8" s="1"/>
  <c r="J116" i="8" s="1"/>
  <c r="H90" i="8"/>
  <c r="F90" i="8"/>
  <c r="F94" i="8" s="1"/>
  <c r="F116" i="8" s="1"/>
  <c r="D90" i="8"/>
  <c r="H94" i="8"/>
  <c r="H116" i="8" s="1"/>
  <c r="R90" i="7"/>
  <c r="R94" i="7" s="1"/>
  <c r="R116" i="7" s="1"/>
  <c r="P90" i="7"/>
  <c r="N90" i="7"/>
  <c r="N94" i="7" s="1"/>
  <c r="N116" i="7" s="1"/>
  <c r="L90" i="7"/>
  <c r="L94" i="7" s="1"/>
  <c r="L116" i="7" s="1"/>
  <c r="J90" i="7"/>
  <c r="J94" i="7" s="1"/>
  <c r="J116" i="7" s="1"/>
  <c r="H90" i="7"/>
  <c r="H94" i="7" s="1"/>
  <c r="H116" i="7" s="1"/>
  <c r="F90" i="7"/>
  <c r="F94" i="7" s="1"/>
  <c r="F116" i="7" s="1"/>
  <c r="D90" i="7"/>
  <c r="Q101" i="22"/>
  <c r="Q106" i="22" s="1"/>
  <c r="O101" i="22"/>
  <c r="O106" i="22" s="1"/>
  <c r="M101" i="22"/>
  <c r="M106" i="22" s="1"/>
  <c r="K101" i="22"/>
  <c r="K106" i="22" s="1"/>
  <c r="I101" i="22"/>
  <c r="I106" i="22" s="1"/>
  <c r="G101" i="22"/>
  <c r="G106" i="22" s="1"/>
  <c r="E101" i="22"/>
  <c r="E106" i="22" s="1"/>
  <c r="F85" i="22"/>
  <c r="R80" i="22"/>
  <c r="R85" i="22" s="1"/>
  <c r="P80" i="22"/>
  <c r="P85" i="22" s="1"/>
  <c r="N80" i="22"/>
  <c r="N85" i="22" s="1"/>
  <c r="L80" i="22"/>
  <c r="L85" i="22" s="1"/>
  <c r="J80" i="22"/>
  <c r="J85" i="22" s="1"/>
  <c r="H80" i="22"/>
  <c r="H85" i="22" s="1"/>
  <c r="F80" i="22"/>
  <c r="Q75" i="22"/>
  <c r="O75" i="22"/>
  <c r="M75" i="22"/>
  <c r="K75" i="22"/>
  <c r="I75" i="22"/>
  <c r="G75" i="22"/>
  <c r="E75" i="22"/>
  <c r="Q58" i="22"/>
  <c r="O58" i="22"/>
  <c r="M58" i="22"/>
  <c r="K58" i="22"/>
  <c r="I58" i="22"/>
  <c r="G58" i="22"/>
  <c r="E58" i="22"/>
  <c r="Q31" i="22"/>
  <c r="Q37" i="22" s="1"/>
  <c r="Q60" i="22" s="1"/>
  <c r="O31" i="22"/>
  <c r="O37" i="22" s="1"/>
  <c r="O60" i="22" s="1"/>
  <c r="M31" i="22"/>
  <c r="M37" i="22" s="1"/>
  <c r="M60" i="22" s="1"/>
  <c r="K31" i="22"/>
  <c r="K37" i="22" s="1"/>
  <c r="K60" i="22" s="1"/>
  <c r="I31" i="22"/>
  <c r="I37" i="22" s="1"/>
  <c r="I60" i="22" s="1"/>
  <c r="G31" i="22"/>
  <c r="G37" i="22" s="1"/>
  <c r="G60" i="22" s="1"/>
  <c r="E31" i="22"/>
  <c r="E37" i="22" s="1"/>
  <c r="E60" i="22" s="1"/>
  <c r="Q25" i="22"/>
  <c r="O25" i="22"/>
  <c r="M25" i="22"/>
  <c r="K25" i="22"/>
  <c r="I25" i="22"/>
  <c r="G25" i="22"/>
  <c r="E25" i="22"/>
  <c r="F12" i="22"/>
  <c r="H12" i="22" s="1"/>
  <c r="G43" i="22" s="1"/>
  <c r="H43" i="22" s="1"/>
  <c r="O106" i="10"/>
  <c r="M106" i="10"/>
  <c r="K106" i="10"/>
  <c r="I106" i="10"/>
  <c r="G106" i="10"/>
  <c r="Q101" i="10"/>
  <c r="Q106" i="10" s="1"/>
  <c r="O101" i="10"/>
  <c r="M101" i="10"/>
  <c r="K101" i="10"/>
  <c r="I101" i="10"/>
  <c r="G101" i="10"/>
  <c r="E101" i="10"/>
  <c r="E106" i="10" s="1"/>
  <c r="L94" i="10"/>
  <c r="L116" i="10" s="1"/>
  <c r="H94" i="10"/>
  <c r="H116" i="10" s="1"/>
  <c r="F94" i="10"/>
  <c r="F116" i="10" s="1"/>
  <c r="R90" i="10"/>
  <c r="R94" i="10" s="1"/>
  <c r="R116" i="10" s="1"/>
  <c r="P90" i="10"/>
  <c r="P94" i="10" s="1"/>
  <c r="P116" i="10" s="1"/>
  <c r="N90" i="10"/>
  <c r="N94" i="10" s="1"/>
  <c r="N116" i="10" s="1"/>
  <c r="L90" i="10"/>
  <c r="J90" i="10"/>
  <c r="J94" i="10" s="1"/>
  <c r="J116" i="10" s="1"/>
  <c r="H90" i="10"/>
  <c r="F90" i="10"/>
  <c r="R80" i="10"/>
  <c r="R85" i="10" s="1"/>
  <c r="P80" i="10"/>
  <c r="P85" i="10" s="1"/>
  <c r="N80" i="10"/>
  <c r="N85" i="10" s="1"/>
  <c r="L80" i="10"/>
  <c r="L85" i="10" s="1"/>
  <c r="J80" i="10"/>
  <c r="J85" i="10" s="1"/>
  <c r="H80" i="10"/>
  <c r="H85" i="10" s="1"/>
  <c r="F80" i="10"/>
  <c r="F85" i="10" s="1"/>
  <c r="Q75" i="10"/>
  <c r="O75" i="10"/>
  <c r="M75" i="10"/>
  <c r="K75" i="10"/>
  <c r="I75" i="10"/>
  <c r="G75" i="10"/>
  <c r="E75" i="10"/>
  <c r="Q58" i="10"/>
  <c r="O58" i="10"/>
  <c r="M58" i="10"/>
  <c r="K58" i="10"/>
  <c r="K62" i="10" s="1"/>
  <c r="I58" i="10"/>
  <c r="G58" i="10"/>
  <c r="G62" i="10" s="1"/>
  <c r="E58" i="10"/>
  <c r="O37" i="10"/>
  <c r="O60" i="10" s="1"/>
  <c r="M37" i="10"/>
  <c r="M60" i="10" s="1"/>
  <c r="E37" i="10"/>
  <c r="E60" i="10" s="1"/>
  <c r="Q31" i="10"/>
  <c r="Q37" i="10" s="1"/>
  <c r="Q60" i="10" s="1"/>
  <c r="O31" i="10"/>
  <c r="M31" i="10"/>
  <c r="K31" i="10"/>
  <c r="K37" i="10" s="1"/>
  <c r="K60" i="10" s="1"/>
  <c r="I31" i="10"/>
  <c r="I37" i="10" s="1"/>
  <c r="I60" i="10" s="1"/>
  <c r="G31" i="10"/>
  <c r="G37" i="10" s="1"/>
  <c r="G60" i="10" s="1"/>
  <c r="E31" i="10"/>
  <c r="Q25" i="10"/>
  <c r="O25" i="10"/>
  <c r="M25" i="10"/>
  <c r="K25" i="10"/>
  <c r="I25" i="10"/>
  <c r="G25" i="10"/>
  <c r="E25" i="10"/>
  <c r="F12" i="10"/>
  <c r="F18" i="10" s="1"/>
  <c r="Q106" i="8"/>
  <c r="M106" i="8"/>
  <c r="K106" i="8"/>
  <c r="Q101" i="8"/>
  <c r="O101" i="8"/>
  <c r="O106" i="8" s="1"/>
  <c r="M101" i="8"/>
  <c r="K101" i="8"/>
  <c r="I101" i="8"/>
  <c r="I106" i="8" s="1"/>
  <c r="G101" i="8"/>
  <c r="G106" i="8" s="1"/>
  <c r="E101" i="8"/>
  <c r="E106" i="8" s="1"/>
  <c r="L94" i="8"/>
  <c r="L116" i="8" s="1"/>
  <c r="F85" i="8"/>
  <c r="R80" i="8"/>
  <c r="R85" i="8" s="1"/>
  <c r="P80" i="8"/>
  <c r="P85" i="8" s="1"/>
  <c r="N80" i="8"/>
  <c r="N85" i="8" s="1"/>
  <c r="L80" i="8"/>
  <c r="L85" i="8" s="1"/>
  <c r="J80" i="8"/>
  <c r="J85" i="8" s="1"/>
  <c r="H80" i="8"/>
  <c r="H85" i="8" s="1"/>
  <c r="F80" i="8"/>
  <c r="Q75" i="8"/>
  <c r="O75" i="8"/>
  <c r="M75" i="8"/>
  <c r="K75" i="8"/>
  <c r="I75" i="8"/>
  <c r="G75" i="8"/>
  <c r="E75" i="8"/>
  <c r="Q58" i="8"/>
  <c r="O58" i="8"/>
  <c r="M58" i="8"/>
  <c r="K58" i="8"/>
  <c r="I58" i="8"/>
  <c r="G58" i="8"/>
  <c r="E58" i="8"/>
  <c r="Q31" i="8"/>
  <c r="Q37" i="8" s="1"/>
  <c r="Q60" i="8" s="1"/>
  <c r="O31" i="8"/>
  <c r="O37" i="8" s="1"/>
  <c r="O60" i="8" s="1"/>
  <c r="M31" i="8"/>
  <c r="M37" i="8" s="1"/>
  <c r="M60" i="8" s="1"/>
  <c r="K31" i="8"/>
  <c r="K37" i="8" s="1"/>
  <c r="K60" i="8" s="1"/>
  <c r="I31" i="8"/>
  <c r="I37" i="8" s="1"/>
  <c r="I60" i="8" s="1"/>
  <c r="G31" i="8"/>
  <c r="G37" i="8" s="1"/>
  <c r="G60" i="8" s="1"/>
  <c r="E31" i="8"/>
  <c r="E37" i="8" s="1"/>
  <c r="E60" i="8" s="1"/>
  <c r="Q25" i="8"/>
  <c r="O25" i="8"/>
  <c r="M25" i="8"/>
  <c r="K25" i="8"/>
  <c r="I25" i="8"/>
  <c r="G25" i="8"/>
  <c r="E25" i="8"/>
  <c r="F18" i="8"/>
  <c r="F24" i="8" s="1"/>
  <c r="F12" i="8"/>
  <c r="H12" i="8" s="1"/>
  <c r="G43" i="8" s="1"/>
  <c r="H43" i="8" s="1"/>
  <c r="O106" i="7"/>
  <c r="Q101" i="7"/>
  <c r="Q106" i="7" s="1"/>
  <c r="O101" i="7"/>
  <c r="M101" i="7"/>
  <c r="M106" i="7" s="1"/>
  <c r="K101" i="7"/>
  <c r="K106" i="7" s="1"/>
  <c r="I101" i="7"/>
  <c r="I106" i="7" s="1"/>
  <c r="G101" i="7"/>
  <c r="G106" i="7" s="1"/>
  <c r="E101" i="7"/>
  <c r="E106" i="7" s="1"/>
  <c r="P94" i="7"/>
  <c r="P116" i="7" s="1"/>
  <c r="N85" i="7"/>
  <c r="L85" i="7"/>
  <c r="R80" i="7"/>
  <c r="R85" i="7" s="1"/>
  <c r="P80" i="7"/>
  <c r="P85" i="7" s="1"/>
  <c r="N80" i="7"/>
  <c r="L80" i="7"/>
  <c r="J80" i="7"/>
  <c r="J85" i="7" s="1"/>
  <c r="H80" i="7"/>
  <c r="H85" i="7" s="1"/>
  <c r="F80" i="7"/>
  <c r="F85" i="7" s="1"/>
  <c r="Q75" i="7"/>
  <c r="O75" i="7"/>
  <c r="M75" i="7"/>
  <c r="K75" i="7"/>
  <c r="I75" i="7"/>
  <c r="G75" i="7"/>
  <c r="E75" i="7"/>
  <c r="Q58" i="7"/>
  <c r="O58" i="7"/>
  <c r="O62" i="7" s="1"/>
  <c r="M58" i="7"/>
  <c r="K58" i="7"/>
  <c r="I58" i="7"/>
  <c r="G58" i="7"/>
  <c r="E58" i="7"/>
  <c r="M37" i="7"/>
  <c r="M60" i="7" s="1"/>
  <c r="E37" i="7"/>
  <c r="E60" i="7" s="1"/>
  <c r="Q31" i="7"/>
  <c r="Q37" i="7" s="1"/>
  <c r="Q60" i="7" s="1"/>
  <c r="O31" i="7"/>
  <c r="O37" i="7" s="1"/>
  <c r="O60" i="7" s="1"/>
  <c r="M31" i="7"/>
  <c r="K31" i="7"/>
  <c r="K37" i="7" s="1"/>
  <c r="K60" i="7" s="1"/>
  <c r="I31" i="7"/>
  <c r="I37" i="7" s="1"/>
  <c r="I60" i="7" s="1"/>
  <c r="G31" i="7"/>
  <c r="G37" i="7" s="1"/>
  <c r="G60" i="7" s="1"/>
  <c r="E31" i="7"/>
  <c r="Q25" i="7"/>
  <c r="O25" i="7"/>
  <c r="M25" i="7"/>
  <c r="K25" i="7"/>
  <c r="I25" i="7"/>
  <c r="G25" i="7"/>
  <c r="E25" i="7"/>
  <c r="F12" i="7"/>
  <c r="E42" i="7" s="1"/>
  <c r="F42" i="7" s="1"/>
  <c r="R90" i="6"/>
  <c r="R94" i="6" s="1"/>
  <c r="P90" i="6"/>
  <c r="P94" i="6" s="1"/>
  <c r="N90" i="6"/>
  <c r="F12" i="6"/>
  <c r="F22" i="21"/>
  <c r="C27" i="21"/>
  <c r="F27" i="21" s="1"/>
  <c r="G27" i="21" s="1"/>
  <c r="C26" i="21"/>
  <c r="F26" i="21" s="1"/>
  <c r="G26" i="21" s="1"/>
  <c r="C24" i="21"/>
  <c r="F24" i="21" s="1"/>
  <c r="G24" i="21" s="1"/>
  <c r="C23" i="21"/>
  <c r="D23" i="21" s="1"/>
  <c r="C22" i="21"/>
  <c r="C21" i="21"/>
  <c r="D21" i="21" s="1"/>
  <c r="G25" i="21"/>
  <c r="O62" i="22" l="1"/>
  <c r="E43" i="22"/>
  <c r="F43" i="22" s="1"/>
  <c r="K62" i="22"/>
  <c r="Q62" i="22"/>
  <c r="E42" i="10"/>
  <c r="F42" i="10" s="1"/>
  <c r="M62" i="10"/>
  <c r="E43" i="10"/>
  <c r="F43" i="10" s="1"/>
  <c r="H12" i="10"/>
  <c r="E43" i="8"/>
  <c r="F43" i="8" s="1"/>
  <c r="E43" i="7"/>
  <c r="F43" i="7" s="1"/>
  <c r="S62" i="6"/>
  <c r="G62" i="22"/>
  <c r="I62" i="22"/>
  <c r="J12" i="22"/>
  <c r="I43" i="22" s="1"/>
  <c r="J43" i="22" s="1"/>
  <c r="G42" i="22"/>
  <c r="H42" i="22" s="1"/>
  <c r="H18" i="22"/>
  <c r="E62" i="22"/>
  <c r="F18" i="22"/>
  <c r="M62" i="22"/>
  <c r="E42" i="22"/>
  <c r="F42" i="22" s="1"/>
  <c r="I62" i="10"/>
  <c r="F23" i="10"/>
  <c r="F112" i="10"/>
  <c r="D20" i="2"/>
  <c r="F41" i="10"/>
  <c r="F24" i="10"/>
  <c r="Q62" i="10"/>
  <c r="E62" i="10"/>
  <c r="O62" i="10"/>
  <c r="H18" i="10"/>
  <c r="F36" i="8"/>
  <c r="J12" i="8"/>
  <c r="I43" i="8" s="1"/>
  <c r="J43" i="8" s="1"/>
  <c r="G42" i="8"/>
  <c r="H42" i="8" s="1"/>
  <c r="H18" i="8"/>
  <c r="Q62" i="8"/>
  <c r="M62" i="8"/>
  <c r="O62" i="8"/>
  <c r="F60" i="8"/>
  <c r="E62" i="8"/>
  <c r="G62" i="8"/>
  <c r="F74" i="8"/>
  <c r="I62" i="8"/>
  <c r="F70" i="8"/>
  <c r="K62" i="8"/>
  <c r="F112" i="8"/>
  <c r="F33" i="8"/>
  <c r="F56" i="8"/>
  <c r="F41" i="8"/>
  <c r="D19" i="2"/>
  <c r="F23" i="8"/>
  <c r="F25" i="8" s="1"/>
  <c r="F59" i="8" s="1"/>
  <c r="E42" i="8"/>
  <c r="F42" i="8" s="1"/>
  <c r="F73" i="8"/>
  <c r="F30" i="8"/>
  <c r="G62" i="7"/>
  <c r="I62" i="7"/>
  <c r="M62" i="7"/>
  <c r="E62" i="7"/>
  <c r="Q62" i="7"/>
  <c r="H12" i="7"/>
  <c r="G43" i="7" s="1"/>
  <c r="H43" i="7" s="1"/>
  <c r="F18" i="7"/>
  <c r="K62" i="7"/>
  <c r="G22" i="21"/>
  <c r="G28" i="21" s="1"/>
  <c r="G29" i="21" s="1"/>
  <c r="D27" i="21"/>
  <c r="D26" i="21"/>
  <c r="D24" i="21"/>
  <c r="D22" i="21"/>
  <c r="D28" i="21" s="1"/>
  <c r="D29" i="21" s="1"/>
  <c r="Q31" i="6"/>
  <c r="O31" i="6"/>
  <c r="O37" i="6" s="1"/>
  <c r="O60" i="6" s="1"/>
  <c r="M31" i="6"/>
  <c r="M37" i="6" s="1"/>
  <c r="M60" i="6" s="1"/>
  <c r="K31" i="6"/>
  <c r="I31" i="6"/>
  <c r="G31" i="6"/>
  <c r="E31" i="6"/>
  <c r="E37" i="6" s="1"/>
  <c r="E60" i="6" s="1"/>
  <c r="G25" i="6"/>
  <c r="G58" i="6"/>
  <c r="G75" i="6"/>
  <c r="H80" i="6"/>
  <c r="H85" i="6" s="1"/>
  <c r="H90" i="6"/>
  <c r="H94" i="6" s="1"/>
  <c r="H116" i="6" s="1"/>
  <c r="G101" i="6"/>
  <c r="G106" i="6" s="1"/>
  <c r="C31" i="6"/>
  <c r="Q58" i="6"/>
  <c r="O58" i="6"/>
  <c r="M101" i="6"/>
  <c r="M106" i="6" s="1"/>
  <c r="N94" i="6"/>
  <c r="N116" i="6" s="1"/>
  <c r="N80" i="6"/>
  <c r="N85" i="6" s="1"/>
  <c r="M75" i="6"/>
  <c r="M58" i="6"/>
  <c r="M25" i="6"/>
  <c r="O101" i="6"/>
  <c r="O106" i="6" s="1"/>
  <c r="P116" i="6"/>
  <c r="P80" i="6"/>
  <c r="P85" i="6" s="1"/>
  <c r="O75" i="6"/>
  <c r="O25" i="6"/>
  <c r="R116" i="6"/>
  <c r="L90" i="6"/>
  <c r="L94" i="6" s="1"/>
  <c r="L116" i="6" s="1"/>
  <c r="J90" i="6"/>
  <c r="J94" i="6" s="1"/>
  <c r="J116" i="6" s="1"/>
  <c r="F90" i="6"/>
  <c r="F94" i="6" s="1"/>
  <c r="F116" i="6" s="1"/>
  <c r="D90" i="6"/>
  <c r="E42" i="6"/>
  <c r="F42" i="6" s="1"/>
  <c r="E101" i="6"/>
  <c r="E106" i="6" s="1"/>
  <c r="F80" i="6"/>
  <c r="F85" i="6" s="1"/>
  <c r="E75" i="6"/>
  <c r="E58" i="6"/>
  <c r="E25" i="6"/>
  <c r="I101" i="6"/>
  <c r="I106" i="6" s="1"/>
  <c r="J80" i="6"/>
  <c r="J85" i="6" s="1"/>
  <c r="I75" i="6"/>
  <c r="I58" i="6"/>
  <c r="I25" i="6"/>
  <c r="C42" i="6"/>
  <c r="D42" i="6" s="1"/>
  <c r="Q101" i="6"/>
  <c r="Q106" i="6" s="1"/>
  <c r="R80" i="6"/>
  <c r="R85" i="6" s="1"/>
  <c r="Q75" i="6"/>
  <c r="Q25" i="6"/>
  <c r="K101" i="6"/>
  <c r="K106" i="6" s="1"/>
  <c r="L80" i="6"/>
  <c r="L85" i="6" s="1"/>
  <c r="K75" i="6"/>
  <c r="K58" i="6"/>
  <c r="K25" i="6"/>
  <c r="D80" i="8"/>
  <c r="D80" i="7"/>
  <c r="C43" i="8"/>
  <c r="D43" i="8" s="1"/>
  <c r="C42" i="7"/>
  <c r="D42" i="7" s="1"/>
  <c r="F45" i="10" l="1"/>
  <c r="F51" i="10" s="1"/>
  <c r="G42" i="10"/>
  <c r="H42" i="10" s="1"/>
  <c r="J12" i="10"/>
  <c r="G43" i="10"/>
  <c r="H43" i="10" s="1"/>
  <c r="F29" i="8"/>
  <c r="F37" i="8" s="1"/>
  <c r="F50" i="8" s="1"/>
  <c r="I37" i="6"/>
  <c r="I60" i="6" s="1"/>
  <c r="I62" i="6" s="1"/>
  <c r="I42" i="22"/>
  <c r="J42" i="22" s="1"/>
  <c r="L12" i="22"/>
  <c r="J18" i="22"/>
  <c r="R12" i="22"/>
  <c r="Q43" i="22" s="1"/>
  <c r="R43" i="22" s="1"/>
  <c r="H23" i="22"/>
  <c r="H112" i="22"/>
  <c r="H41" i="22"/>
  <c r="H45" i="22" s="1"/>
  <c r="H51" i="22" s="1"/>
  <c r="H24" i="22"/>
  <c r="F23" i="22"/>
  <c r="F41" i="22"/>
  <c r="F45" i="22" s="1"/>
  <c r="F51" i="22" s="1"/>
  <c r="F112" i="22"/>
  <c r="D21" i="2"/>
  <c r="F24" i="22"/>
  <c r="F25" i="10"/>
  <c r="H23" i="10"/>
  <c r="H112" i="10"/>
  <c r="H41" i="10"/>
  <c r="H24" i="10"/>
  <c r="F61" i="8"/>
  <c r="F49" i="8"/>
  <c r="F57" i="8"/>
  <c r="F62" i="8" s="1"/>
  <c r="F114" i="8" s="1"/>
  <c r="F69" i="8"/>
  <c r="F34" i="8"/>
  <c r="F31" i="8"/>
  <c r="F45" i="8"/>
  <c r="F51" i="8" s="1"/>
  <c r="F72" i="8"/>
  <c r="H23" i="8"/>
  <c r="H25" i="8" s="1"/>
  <c r="H49" i="8" s="1"/>
  <c r="H112" i="8"/>
  <c r="H41" i="8"/>
  <c r="H45" i="8" s="1"/>
  <c r="H51" i="8" s="1"/>
  <c r="H24" i="8"/>
  <c r="F58" i="8"/>
  <c r="F32" i="8"/>
  <c r="I42" i="8"/>
  <c r="J42" i="8" s="1"/>
  <c r="L12" i="8"/>
  <c r="J18" i="8"/>
  <c r="R12" i="8"/>
  <c r="Q43" i="8" s="1"/>
  <c r="R43" i="8" s="1"/>
  <c r="F71" i="8"/>
  <c r="F35" i="8"/>
  <c r="J12" i="7"/>
  <c r="I43" i="7" s="1"/>
  <c r="J43" i="7" s="1"/>
  <c r="G42" i="7"/>
  <c r="H42" i="7" s="1"/>
  <c r="H18" i="7"/>
  <c r="F23" i="7"/>
  <c r="F25" i="7" s="1"/>
  <c r="F49" i="7" s="1"/>
  <c r="F33" i="7"/>
  <c r="F58" i="7"/>
  <c r="F29" i="7"/>
  <c r="F112" i="7"/>
  <c r="F41" i="7"/>
  <c r="F45" i="7" s="1"/>
  <c r="F51" i="7" s="1"/>
  <c r="F24" i="7"/>
  <c r="D18" i="2"/>
  <c r="F69" i="7"/>
  <c r="G37" i="6"/>
  <c r="G60" i="6" s="1"/>
  <c r="G62" i="6" s="1"/>
  <c r="Q37" i="6"/>
  <c r="Q60" i="6" s="1"/>
  <c r="Q62" i="6" s="1"/>
  <c r="H12" i="6"/>
  <c r="E43" i="6"/>
  <c r="F43" i="6" s="1"/>
  <c r="K37" i="6"/>
  <c r="K60" i="6" s="1"/>
  <c r="K62" i="6" s="1"/>
  <c r="M62" i="6"/>
  <c r="O62" i="6"/>
  <c r="E62" i="6"/>
  <c r="F18" i="6"/>
  <c r="C43" i="7"/>
  <c r="D43" i="7" s="1"/>
  <c r="C43" i="6"/>
  <c r="D43" i="6" s="1"/>
  <c r="C42" i="22"/>
  <c r="D42" i="22" s="1"/>
  <c r="C43" i="22"/>
  <c r="D43" i="22" s="1"/>
  <c r="C42" i="8"/>
  <c r="D42" i="8" s="1"/>
  <c r="C101" i="7"/>
  <c r="C101" i="8"/>
  <c r="C101" i="10"/>
  <c r="C101" i="22"/>
  <c r="C101" i="6"/>
  <c r="C106" i="6" s="1"/>
  <c r="C37" i="6"/>
  <c r="C60" i="6" s="1"/>
  <c r="C37" i="7"/>
  <c r="C60" i="7" s="1"/>
  <c r="C37" i="8"/>
  <c r="C60" i="8" s="1"/>
  <c r="C62" i="8" s="1"/>
  <c r="C37" i="10"/>
  <c r="C60" i="10" s="1"/>
  <c r="C37" i="22"/>
  <c r="C60" i="22" s="1"/>
  <c r="F12" i="21"/>
  <c r="F11" i="21"/>
  <c r="F9" i="21"/>
  <c r="F7" i="21"/>
  <c r="D6" i="21"/>
  <c r="D13" i="21" s="1"/>
  <c r="D14" i="21" s="1"/>
  <c r="D7" i="21"/>
  <c r="G7" i="21"/>
  <c r="G9" i="21"/>
  <c r="G13" i="21" s="1"/>
  <c r="G14" i="21" s="1"/>
  <c r="G11" i="21"/>
  <c r="G12" i="21"/>
  <c r="C58" i="7"/>
  <c r="C58" i="8"/>
  <c r="C58" i="10"/>
  <c r="C58" i="22"/>
  <c r="C58" i="6"/>
  <c r="D8" i="21"/>
  <c r="D9" i="21"/>
  <c r="D11" i="21"/>
  <c r="D12" i="21"/>
  <c r="G10" i="21"/>
  <c r="D18" i="7"/>
  <c r="D6" i="2" s="1"/>
  <c r="D85" i="7"/>
  <c r="D85" i="8"/>
  <c r="D18" i="8"/>
  <c r="D7" i="2" s="1"/>
  <c r="C80" i="10"/>
  <c r="D85" i="10" s="1"/>
  <c r="C80" i="22"/>
  <c r="D85" i="22" s="1"/>
  <c r="D18" i="22"/>
  <c r="D9" i="2" s="1"/>
  <c r="C75" i="22"/>
  <c r="C25" i="22"/>
  <c r="C75" i="10"/>
  <c r="C25" i="10"/>
  <c r="C75" i="8"/>
  <c r="C25" i="8"/>
  <c r="C75" i="7"/>
  <c r="C25" i="7"/>
  <c r="D80" i="6"/>
  <c r="D85" i="6" s="1"/>
  <c r="C75" i="6"/>
  <c r="C25" i="6"/>
  <c r="D18" i="6"/>
  <c r="D5" i="2" s="1"/>
  <c r="K43" i="22" l="1"/>
  <c r="L43" i="22" s="1"/>
  <c r="H25" i="22"/>
  <c r="H74" i="22" s="1"/>
  <c r="H33" i="22"/>
  <c r="H56" i="22"/>
  <c r="H32" i="22"/>
  <c r="H34" i="22"/>
  <c r="H57" i="22"/>
  <c r="H70" i="22"/>
  <c r="H35" i="22"/>
  <c r="H61" i="22"/>
  <c r="I42" i="10"/>
  <c r="J42" i="10" s="1"/>
  <c r="I43" i="10"/>
  <c r="J43" i="10" s="1"/>
  <c r="L12" i="10"/>
  <c r="R12" i="10"/>
  <c r="J18" i="10"/>
  <c r="H45" i="10"/>
  <c r="H51" i="10" s="1"/>
  <c r="H25" i="10"/>
  <c r="H61" i="10" s="1"/>
  <c r="H32" i="8"/>
  <c r="K43" i="8"/>
  <c r="L43" i="8" s="1"/>
  <c r="F75" i="8"/>
  <c r="F84" i="8" s="1"/>
  <c r="F86" i="8" s="1"/>
  <c r="F115" i="8" s="1"/>
  <c r="F56" i="7"/>
  <c r="D17" i="2"/>
  <c r="F41" i="6"/>
  <c r="H69" i="22"/>
  <c r="H49" i="22"/>
  <c r="H58" i="22"/>
  <c r="H73" i="22"/>
  <c r="H30" i="22"/>
  <c r="H72" i="22"/>
  <c r="H71" i="22"/>
  <c r="H59" i="22"/>
  <c r="R18" i="22"/>
  <c r="Q42" i="22"/>
  <c r="R42" i="22" s="1"/>
  <c r="H36" i="22"/>
  <c r="J23" i="22"/>
  <c r="J112" i="22"/>
  <c r="D33" i="2"/>
  <c r="J41" i="22"/>
  <c r="J45" i="22" s="1"/>
  <c r="J51" i="22" s="1"/>
  <c r="J24" i="22"/>
  <c r="H60" i="22"/>
  <c r="H29" i="22"/>
  <c r="L18" i="22"/>
  <c r="K42" i="22"/>
  <c r="L42" i="22" s="1"/>
  <c r="N12" i="22"/>
  <c r="M43" i="22" s="1"/>
  <c r="N43" i="22" s="1"/>
  <c r="F25" i="22"/>
  <c r="H31" i="22"/>
  <c r="H33" i="10"/>
  <c r="H34" i="10"/>
  <c r="H56" i="10"/>
  <c r="H73" i="10"/>
  <c r="H69" i="10"/>
  <c r="H29" i="10"/>
  <c r="F49" i="10"/>
  <c r="F70" i="10"/>
  <c r="F29" i="10"/>
  <c r="F36" i="10"/>
  <c r="F59" i="10"/>
  <c r="F72" i="10"/>
  <c r="F61" i="10"/>
  <c r="F71" i="10"/>
  <c r="F31" i="10"/>
  <c r="F60" i="10"/>
  <c r="F30" i="10"/>
  <c r="F34" i="10"/>
  <c r="F73" i="10"/>
  <c r="F74" i="10"/>
  <c r="F57" i="10"/>
  <c r="F56" i="10"/>
  <c r="F32" i="10"/>
  <c r="F58" i="10"/>
  <c r="F35" i="10"/>
  <c r="F69" i="10"/>
  <c r="F33" i="10"/>
  <c r="H34" i="8"/>
  <c r="H72" i="8"/>
  <c r="H30" i="8"/>
  <c r="H57" i="8"/>
  <c r="H71" i="8"/>
  <c r="H59" i="8"/>
  <c r="H29" i="8"/>
  <c r="H70" i="8"/>
  <c r="H60" i="8"/>
  <c r="R18" i="8"/>
  <c r="Q42" i="8"/>
  <c r="R42" i="8" s="1"/>
  <c r="H35" i="8"/>
  <c r="J23" i="8"/>
  <c r="D31" i="2"/>
  <c r="J112" i="8"/>
  <c r="J24" i="8"/>
  <c r="J41" i="8"/>
  <c r="J45" i="8" s="1"/>
  <c r="J51" i="8" s="1"/>
  <c r="H56" i="8"/>
  <c r="K42" i="8"/>
  <c r="L42" i="8" s="1"/>
  <c r="L18" i="8"/>
  <c r="N12" i="8"/>
  <c r="M43" i="8" s="1"/>
  <c r="N43" i="8" s="1"/>
  <c r="H33" i="8"/>
  <c r="H74" i="8"/>
  <c r="F52" i="8"/>
  <c r="F113" i="8" s="1"/>
  <c r="F117" i="8" s="1"/>
  <c r="H61" i="8"/>
  <c r="H73" i="8"/>
  <c r="H31" i="8"/>
  <c r="H69" i="8"/>
  <c r="H36" i="8"/>
  <c r="H58" i="8"/>
  <c r="F30" i="7"/>
  <c r="F31" i="7"/>
  <c r="F34" i="7"/>
  <c r="F57" i="7"/>
  <c r="F61" i="7"/>
  <c r="F73" i="7"/>
  <c r="F59" i="7"/>
  <c r="F32" i="7"/>
  <c r="F71" i="7"/>
  <c r="F74" i="7"/>
  <c r="F36" i="7"/>
  <c r="H23" i="7"/>
  <c r="H112" i="7"/>
  <c r="H41" i="7"/>
  <c r="H45" i="7" s="1"/>
  <c r="H51" i="7" s="1"/>
  <c r="H24" i="7"/>
  <c r="F72" i="7"/>
  <c r="F70" i="7"/>
  <c r="F35" i="7"/>
  <c r="I42" i="7"/>
  <c r="J42" i="7" s="1"/>
  <c r="R12" i="7"/>
  <c r="Q43" i="7" s="1"/>
  <c r="R43" i="7" s="1"/>
  <c r="J18" i="7"/>
  <c r="L12" i="7"/>
  <c r="F60" i="7"/>
  <c r="G42" i="6"/>
  <c r="H42" i="6" s="1"/>
  <c r="G43" i="6"/>
  <c r="H43" i="6" s="1"/>
  <c r="H18" i="6"/>
  <c r="J12" i="6"/>
  <c r="F112" i="6"/>
  <c r="F24" i="6"/>
  <c r="F23" i="6"/>
  <c r="F45" i="6"/>
  <c r="F51" i="6" s="1"/>
  <c r="D24" i="6"/>
  <c r="D23" i="6"/>
  <c r="D41" i="6"/>
  <c r="D45" i="6" s="1"/>
  <c r="D51" i="6" s="1"/>
  <c r="D23" i="22"/>
  <c r="C62" i="10"/>
  <c r="D24" i="8"/>
  <c r="D23" i="8"/>
  <c r="D112" i="7"/>
  <c r="D24" i="7"/>
  <c r="D23" i="7"/>
  <c r="C62" i="7"/>
  <c r="C62" i="22"/>
  <c r="D94" i="6"/>
  <c r="D116" i="6" s="1"/>
  <c r="D116" i="10"/>
  <c r="D90" i="10"/>
  <c r="D94" i="10" s="1"/>
  <c r="C62" i="6"/>
  <c r="D94" i="22"/>
  <c r="D116" i="22" s="1"/>
  <c r="D116" i="7"/>
  <c r="D94" i="7"/>
  <c r="D94" i="8"/>
  <c r="D116" i="8" s="1"/>
  <c r="C106" i="7"/>
  <c r="C106" i="10"/>
  <c r="C106" i="8"/>
  <c r="D112" i="6"/>
  <c r="D112" i="22"/>
  <c r="D41" i="7"/>
  <c r="D45" i="7" s="1"/>
  <c r="D51" i="7" s="1"/>
  <c r="D112" i="8"/>
  <c r="D24" i="22"/>
  <c r="D41" i="22"/>
  <c r="D45" i="22" s="1"/>
  <c r="D51" i="22" s="1"/>
  <c r="D41" i="8"/>
  <c r="D45" i="8" s="1"/>
  <c r="D51" i="8" s="1"/>
  <c r="C106" i="22"/>
  <c r="S42" i="22" l="1"/>
  <c r="T42" i="22" s="1"/>
  <c r="T18" i="22"/>
  <c r="D81" i="2" s="1"/>
  <c r="H62" i="22"/>
  <c r="H114" i="22" s="1"/>
  <c r="H71" i="10"/>
  <c r="H32" i="10"/>
  <c r="H30" i="10"/>
  <c r="H37" i="10" s="1"/>
  <c r="H50" i="10" s="1"/>
  <c r="H52" i="10" s="1"/>
  <c r="H113" i="10" s="1"/>
  <c r="H59" i="10"/>
  <c r="H74" i="10"/>
  <c r="H72" i="10"/>
  <c r="J41" i="10"/>
  <c r="J45" i="10" s="1"/>
  <c r="J51" i="10" s="1"/>
  <c r="J24" i="10"/>
  <c r="J23" i="10"/>
  <c r="J25" i="10" s="1"/>
  <c r="J36" i="10" s="1"/>
  <c r="D32" i="2"/>
  <c r="J112" i="10"/>
  <c r="H49" i="10"/>
  <c r="H58" i="10"/>
  <c r="H36" i="10"/>
  <c r="H57" i="10"/>
  <c r="H35" i="10"/>
  <c r="H70" i="10"/>
  <c r="H31" i="10"/>
  <c r="H60" i="10"/>
  <c r="H62" i="10" s="1"/>
  <c r="H114" i="10" s="1"/>
  <c r="Q43" i="10"/>
  <c r="R43" i="10" s="1"/>
  <c r="R18" i="10"/>
  <c r="Q42" i="10"/>
  <c r="R42" i="10" s="1"/>
  <c r="K43" i="10"/>
  <c r="L43" i="10" s="1"/>
  <c r="L18" i="10"/>
  <c r="K42" i="10"/>
  <c r="L42" i="10" s="1"/>
  <c r="N12" i="10"/>
  <c r="S43" i="8"/>
  <c r="T18" i="8"/>
  <c r="S42" i="8"/>
  <c r="F75" i="7"/>
  <c r="F84" i="7" s="1"/>
  <c r="F86" i="7" s="1"/>
  <c r="F115" i="7" s="1"/>
  <c r="F37" i="7"/>
  <c r="F50" i="7" s="1"/>
  <c r="F52" i="7" s="1"/>
  <c r="F113" i="7" s="1"/>
  <c r="F62" i="7"/>
  <c r="F114" i="7" s="1"/>
  <c r="K43" i="7"/>
  <c r="L43" i="7" s="1"/>
  <c r="R112" i="22"/>
  <c r="D69" i="2"/>
  <c r="R41" i="22"/>
  <c r="R45" i="22" s="1"/>
  <c r="R51" i="22" s="1"/>
  <c r="R23" i="22"/>
  <c r="R24" i="22"/>
  <c r="N18" i="22"/>
  <c r="M42" i="22"/>
  <c r="N42" i="22" s="1"/>
  <c r="P12" i="22"/>
  <c r="O43" i="22" s="1"/>
  <c r="P43" i="22" s="1"/>
  <c r="H37" i="22"/>
  <c r="H50" i="22" s="1"/>
  <c r="H52" i="22" s="1"/>
  <c r="H113" i="22" s="1"/>
  <c r="L23" i="22"/>
  <c r="D45" i="2"/>
  <c r="L112" i="22"/>
  <c r="L41" i="22"/>
  <c r="L45" i="22" s="1"/>
  <c r="L51" i="22" s="1"/>
  <c r="L24" i="22"/>
  <c r="J25" i="22"/>
  <c r="F49" i="22"/>
  <c r="F58" i="22"/>
  <c r="F57" i="22"/>
  <c r="F32" i="22"/>
  <c r="F56" i="22"/>
  <c r="F34" i="22"/>
  <c r="F33" i="22"/>
  <c r="F60" i="22"/>
  <c r="F73" i="22"/>
  <c r="F35" i="22"/>
  <c r="F70" i="22"/>
  <c r="F69" i="22"/>
  <c r="F29" i="22"/>
  <c r="F59" i="22"/>
  <c r="F36" i="22"/>
  <c r="F74" i="22"/>
  <c r="F31" i="22"/>
  <c r="F71" i="22"/>
  <c r="F72" i="22"/>
  <c r="F61" i="22"/>
  <c r="F30" i="22"/>
  <c r="H75" i="22"/>
  <c r="H84" i="22" s="1"/>
  <c r="H86" i="22" s="1"/>
  <c r="H115" i="22" s="1"/>
  <c r="F75" i="10"/>
  <c r="F84" i="10" s="1"/>
  <c r="F86" i="10" s="1"/>
  <c r="F115" i="10" s="1"/>
  <c r="F37" i="10"/>
  <c r="F50" i="10" s="1"/>
  <c r="F52" i="10" s="1"/>
  <c r="F113" i="10" s="1"/>
  <c r="J35" i="10"/>
  <c r="J72" i="10"/>
  <c r="J33" i="10"/>
  <c r="J69" i="10"/>
  <c r="J71" i="10"/>
  <c r="J73" i="10"/>
  <c r="J56" i="10"/>
  <c r="H75" i="10"/>
  <c r="H84" i="10" s="1"/>
  <c r="H86" i="10" s="1"/>
  <c r="H115" i="10" s="1"/>
  <c r="F62" i="10"/>
  <c r="F114" i="10" s="1"/>
  <c r="F99" i="8"/>
  <c r="F100" i="8"/>
  <c r="F103" i="8" s="1"/>
  <c r="F105" i="8"/>
  <c r="J25" i="8"/>
  <c r="L23" i="8"/>
  <c r="L112" i="8"/>
  <c r="L41" i="8"/>
  <c r="L45" i="8" s="1"/>
  <c r="L51" i="8" s="1"/>
  <c r="D43" i="2"/>
  <c r="L24" i="8"/>
  <c r="R112" i="8"/>
  <c r="R41" i="8"/>
  <c r="R45" i="8" s="1"/>
  <c r="R51" i="8" s="1"/>
  <c r="R24" i="8"/>
  <c r="R23" i="8"/>
  <c r="D67" i="2"/>
  <c r="H62" i="8"/>
  <c r="H114" i="8" s="1"/>
  <c r="H37" i="8"/>
  <c r="H50" i="8" s="1"/>
  <c r="H52" i="8" s="1"/>
  <c r="H113" i="8" s="1"/>
  <c r="P12" i="8"/>
  <c r="O43" i="8" s="1"/>
  <c r="P43" i="8" s="1"/>
  <c r="N18" i="8"/>
  <c r="M42" i="8"/>
  <c r="N42" i="8" s="1"/>
  <c r="H75" i="8"/>
  <c r="H84" i="8" s="1"/>
  <c r="H86" i="8" s="1"/>
  <c r="H115" i="8" s="1"/>
  <c r="L18" i="7"/>
  <c r="K42" i="7"/>
  <c r="L42" i="7" s="1"/>
  <c r="N12" i="7"/>
  <c r="M43" i="7" s="1"/>
  <c r="N43" i="7" s="1"/>
  <c r="R18" i="7"/>
  <c r="Q42" i="7"/>
  <c r="R42" i="7" s="1"/>
  <c r="J23" i="7"/>
  <c r="J112" i="7"/>
  <c r="D30" i="2"/>
  <c r="J41" i="7"/>
  <c r="J45" i="7" s="1"/>
  <c r="J51" i="7" s="1"/>
  <c r="J24" i="7"/>
  <c r="H25" i="7"/>
  <c r="F25" i="6"/>
  <c r="F74" i="6" s="1"/>
  <c r="H23" i="6"/>
  <c r="H24" i="6"/>
  <c r="H112" i="6"/>
  <c r="H41" i="6"/>
  <c r="H45" i="6" s="1"/>
  <c r="H51" i="6" s="1"/>
  <c r="I42" i="6"/>
  <c r="J42" i="6" s="1"/>
  <c r="L12" i="6"/>
  <c r="R12" i="6"/>
  <c r="T12" i="6" s="1"/>
  <c r="J18" i="6"/>
  <c r="D29" i="2" s="1"/>
  <c r="I43" i="6"/>
  <c r="J43" i="6" s="1"/>
  <c r="D25" i="22"/>
  <c r="D74" i="22" s="1"/>
  <c r="D25" i="7"/>
  <c r="D29" i="7" s="1"/>
  <c r="D25" i="6"/>
  <c r="D25" i="8"/>
  <c r="D29" i="8" s="1"/>
  <c r="T59" i="22" l="1"/>
  <c r="T41" i="22"/>
  <c r="T45" i="22" s="1"/>
  <c r="T51" i="22" s="1"/>
  <c r="T112" i="22"/>
  <c r="T71" i="22"/>
  <c r="T70" i="22"/>
  <c r="T24" i="22"/>
  <c r="T23" i="22"/>
  <c r="T25" i="22" s="1"/>
  <c r="T49" i="22" s="1"/>
  <c r="T60" i="22"/>
  <c r="T58" i="22"/>
  <c r="T31" i="22"/>
  <c r="L25" i="22"/>
  <c r="L74" i="22" s="1"/>
  <c r="F62" i="22"/>
  <c r="F114" i="22" s="1"/>
  <c r="L35" i="22"/>
  <c r="L73" i="22"/>
  <c r="H117" i="22"/>
  <c r="H100" i="22" s="1"/>
  <c r="J34" i="10"/>
  <c r="J37" i="10" s="1"/>
  <c r="J50" i="10" s="1"/>
  <c r="J31" i="10"/>
  <c r="J57" i="10"/>
  <c r="J60" i="10"/>
  <c r="J32" i="10"/>
  <c r="J58" i="10"/>
  <c r="J62" i="10" s="1"/>
  <c r="J114" i="10" s="1"/>
  <c r="L30" i="10"/>
  <c r="J61" i="10"/>
  <c r="J49" i="10"/>
  <c r="J74" i="10"/>
  <c r="M43" i="10"/>
  <c r="N43" i="10" s="1"/>
  <c r="N18" i="10"/>
  <c r="M42" i="10"/>
  <c r="N42" i="10" s="1"/>
  <c r="P12" i="10"/>
  <c r="J70" i="10"/>
  <c r="L23" i="10"/>
  <c r="L25" i="10" s="1"/>
  <c r="L29" i="10" s="1"/>
  <c r="D44" i="2"/>
  <c r="L112" i="10"/>
  <c r="L41" i="10"/>
  <c r="L45" i="10" s="1"/>
  <c r="L51" i="10" s="1"/>
  <c r="L24" i="10"/>
  <c r="J59" i="10"/>
  <c r="J29" i="10"/>
  <c r="S43" i="10"/>
  <c r="S42" i="10"/>
  <c r="J30" i="10"/>
  <c r="R24" i="10"/>
  <c r="D68" i="2"/>
  <c r="R23" i="10"/>
  <c r="R41" i="10"/>
  <c r="R45" i="10" s="1"/>
  <c r="R51" i="10" s="1"/>
  <c r="R112" i="10"/>
  <c r="T24" i="8"/>
  <c r="T23" i="8"/>
  <c r="T112" i="8"/>
  <c r="T41" i="8"/>
  <c r="T45" i="8" s="1"/>
  <c r="T51" i="8" s="1"/>
  <c r="S42" i="7"/>
  <c r="T18" i="7"/>
  <c r="S43" i="7"/>
  <c r="F117" i="7"/>
  <c r="F31" i="6"/>
  <c r="F32" i="6"/>
  <c r="F72" i="6"/>
  <c r="N12" i="6"/>
  <c r="M42" i="6" s="1"/>
  <c r="N42" i="6" s="1"/>
  <c r="F102" i="8"/>
  <c r="P18" i="22"/>
  <c r="O42" i="22"/>
  <c r="P42" i="22" s="1"/>
  <c r="R25" i="22"/>
  <c r="N23" i="22"/>
  <c r="D57" i="2"/>
  <c r="N112" i="22"/>
  <c r="N41" i="22"/>
  <c r="N45" i="22" s="1"/>
  <c r="N51" i="22" s="1"/>
  <c r="N24" i="22"/>
  <c r="F37" i="22"/>
  <c r="F50" i="22" s="1"/>
  <c r="F52" i="22" s="1"/>
  <c r="F113" i="22" s="1"/>
  <c r="F75" i="22"/>
  <c r="F84" i="22" s="1"/>
  <c r="F86" i="22" s="1"/>
  <c r="F115" i="22" s="1"/>
  <c r="J49" i="22"/>
  <c r="J58" i="22"/>
  <c r="J32" i="22"/>
  <c r="J61" i="22"/>
  <c r="J30" i="22"/>
  <c r="J59" i="22"/>
  <c r="J36" i="22"/>
  <c r="J74" i="22"/>
  <c r="J56" i="22"/>
  <c r="J72" i="22"/>
  <c r="J33" i="22"/>
  <c r="J57" i="22"/>
  <c r="J34" i="22"/>
  <c r="J73" i="22"/>
  <c r="J35" i="22"/>
  <c r="J69" i="22"/>
  <c r="J29" i="22"/>
  <c r="J31" i="22"/>
  <c r="J60" i="22"/>
  <c r="J71" i="22"/>
  <c r="J70" i="22"/>
  <c r="L56" i="22"/>
  <c r="L33" i="22"/>
  <c r="F117" i="10"/>
  <c r="J75" i="10"/>
  <c r="J84" i="10" s="1"/>
  <c r="J86" i="10" s="1"/>
  <c r="J115" i="10" s="1"/>
  <c r="H117" i="10"/>
  <c r="R25" i="8"/>
  <c r="N23" i="8"/>
  <c r="D55" i="2"/>
  <c r="N112" i="8"/>
  <c r="N41" i="8"/>
  <c r="N45" i="8" s="1"/>
  <c r="N51" i="8" s="1"/>
  <c r="N24" i="8"/>
  <c r="P18" i="8"/>
  <c r="O42" i="8"/>
  <c r="P42" i="8" s="1"/>
  <c r="H117" i="8"/>
  <c r="L25" i="8"/>
  <c r="J49" i="8"/>
  <c r="J69" i="8"/>
  <c r="J31" i="8"/>
  <c r="J33" i="8"/>
  <c r="J35" i="8"/>
  <c r="J58" i="8"/>
  <c r="J71" i="8"/>
  <c r="J60" i="8"/>
  <c r="J36" i="8"/>
  <c r="J70" i="8"/>
  <c r="J56" i="8"/>
  <c r="J29" i="8"/>
  <c r="J59" i="8"/>
  <c r="J72" i="8"/>
  <c r="J74" i="8"/>
  <c r="J57" i="8"/>
  <c r="J34" i="8"/>
  <c r="J73" i="8"/>
  <c r="J30" i="8"/>
  <c r="J61" i="8"/>
  <c r="J32" i="8"/>
  <c r="F104" i="8"/>
  <c r="N18" i="7"/>
  <c r="M42" i="7"/>
  <c r="N42" i="7" s="1"/>
  <c r="P12" i="7"/>
  <c r="O43" i="7" s="1"/>
  <c r="P43" i="7" s="1"/>
  <c r="L23" i="7"/>
  <c r="L25" i="7" s="1"/>
  <c r="L49" i="7" s="1"/>
  <c r="L112" i="7"/>
  <c r="L41" i="7"/>
  <c r="L45" i="7" s="1"/>
  <c r="L51" i="7" s="1"/>
  <c r="L24" i="7"/>
  <c r="D42" i="2"/>
  <c r="R112" i="7"/>
  <c r="R41" i="7"/>
  <c r="R45" i="7" s="1"/>
  <c r="R51" i="7" s="1"/>
  <c r="R24" i="7"/>
  <c r="R23" i="7"/>
  <c r="D66" i="2"/>
  <c r="H49" i="7"/>
  <c r="H72" i="7"/>
  <c r="H34" i="7"/>
  <c r="H73" i="7"/>
  <c r="H69" i="7"/>
  <c r="H61" i="7"/>
  <c r="H36" i="7"/>
  <c r="H30" i="7"/>
  <c r="H31" i="7"/>
  <c r="H59" i="7"/>
  <c r="H56" i="7"/>
  <c r="H60" i="7"/>
  <c r="H74" i="7"/>
  <c r="H71" i="7"/>
  <c r="H33" i="7"/>
  <c r="H58" i="7"/>
  <c r="H35" i="7"/>
  <c r="H70" i="7"/>
  <c r="H57" i="7"/>
  <c r="H29" i="7"/>
  <c r="H32" i="7"/>
  <c r="J25" i="7"/>
  <c r="F30" i="6"/>
  <c r="F70" i="6"/>
  <c r="F29" i="6"/>
  <c r="F69" i="6"/>
  <c r="F57" i="6"/>
  <c r="F58" i="6"/>
  <c r="F35" i="6"/>
  <c r="F36" i="6"/>
  <c r="F56" i="6"/>
  <c r="F34" i="6"/>
  <c r="F59" i="6"/>
  <c r="F33" i="6"/>
  <c r="F60" i="6"/>
  <c r="F61" i="6"/>
  <c r="F49" i="6"/>
  <c r="F73" i="6"/>
  <c r="F71" i="6"/>
  <c r="H25" i="6"/>
  <c r="J24" i="6"/>
  <c r="J112" i="6"/>
  <c r="J23" i="6"/>
  <c r="J41" i="6"/>
  <c r="J45" i="6" s="1"/>
  <c r="J51" i="6" s="1"/>
  <c r="Q43" i="6"/>
  <c r="R43" i="6" s="1"/>
  <c r="R18" i="6"/>
  <c r="D65" i="2" s="1"/>
  <c r="Q42" i="6"/>
  <c r="R42" i="6" s="1"/>
  <c r="K43" i="6"/>
  <c r="L43" i="6" s="1"/>
  <c r="K42" i="6"/>
  <c r="L42" i="6" s="1"/>
  <c r="L18" i="6"/>
  <c r="D41" i="2" s="1"/>
  <c r="D60" i="6"/>
  <c r="D71" i="6"/>
  <c r="D61" i="6"/>
  <c r="D57" i="6"/>
  <c r="D59" i="6"/>
  <c r="D70" i="6"/>
  <c r="D72" i="6"/>
  <c r="D56" i="6"/>
  <c r="D74" i="6"/>
  <c r="D69" i="6"/>
  <c r="D58" i="6"/>
  <c r="D73" i="6"/>
  <c r="D35" i="6"/>
  <c r="D33" i="6"/>
  <c r="D30" i="6"/>
  <c r="D34" i="6"/>
  <c r="D36" i="6"/>
  <c r="D29" i="6"/>
  <c r="D32" i="6"/>
  <c r="D31" i="6"/>
  <c r="D33" i="22"/>
  <c r="D36" i="22"/>
  <c r="D57" i="22"/>
  <c r="D49" i="22"/>
  <c r="D31" i="22"/>
  <c r="D73" i="22"/>
  <c r="D72" i="22"/>
  <c r="D71" i="22"/>
  <c r="D34" i="22"/>
  <c r="D35" i="22"/>
  <c r="D69" i="22"/>
  <c r="D58" i="22"/>
  <c r="D32" i="22"/>
  <c r="D29" i="22"/>
  <c r="D70" i="22"/>
  <c r="D61" i="22"/>
  <c r="D56" i="22"/>
  <c r="D30" i="22"/>
  <c r="D60" i="22"/>
  <c r="D59" i="22"/>
  <c r="D35" i="7"/>
  <c r="D59" i="7"/>
  <c r="D72" i="7"/>
  <c r="D58" i="7"/>
  <c r="D57" i="7"/>
  <c r="D31" i="7"/>
  <c r="D60" i="7"/>
  <c r="D69" i="7"/>
  <c r="D36" i="7"/>
  <c r="D70" i="7"/>
  <c r="D61" i="7"/>
  <c r="D34" i="7"/>
  <c r="D33" i="7"/>
  <c r="D30" i="7"/>
  <c r="D71" i="7"/>
  <c r="D56" i="7"/>
  <c r="D74" i="7"/>
  <c r="D49" i="7"/>
  <c r="D73" i="7"/>
  <c r="D32" i="7"/>
  <c r="D49" i="6"/>
  <c r="D59" i="8"/>
  <c r="D69" i="8"/>
  <c r="D30" i="8"/>
  <c r="D31" i="8"/>
  <c r="D72" i="8"/>
  <c r="D74" i="8"/>
  <c r="D57" i="8"/>
  <c r="D49" i="8"/>
  <c r="D32" i="8"/>
  <c r="D60" i="8"/>
  <c r="D36" i="8"/>
  <c r="D34" i="8"/>
  <c r="D35" i="8"/>
  <c r="D33" i="8"/>
  <c r="D56" i="8"/>
  <c r="D70" i="8"/>
  <c r="D61" i="8"/>
  <c r="D58" i="8"/>
  <c r="D71" i="8"/>
  <c r="D73" i="8"/>
  <c r="T29" i="22" l="1"/>
  <c r="T30" i="22"/>
  <c r="T73" i="22"/>
  <c r="T74" i="22"/>
  <c r="T33" i="22"/>
  <c r="T35" i="22"/>
  <c r="T72" i="22"/>
  <c r="L36" i="22"/>
  <c r="L71" i="22"/>
  <c r="L57" i="22"/>
  <c r="L72" i="22"/>
  <c r="L31" i="22"/>
  <c r="L60" i="22"/>
  <c r="T32" i="22"/>
  <c r="T56" i="22"/>
  <c r="T61" i="22"/>
  <c r="T34" i="22"/>
  <c r="T57" i="22"/>
  <c r="T69" i="22"/>
  <c r="T36" i="22"/>
  <c r="L49" i="22"/>
  <c r="L30" i="22"/>
  <c r="L61" i="22"/>
  <c r="L32" i="22"/>
  <c r="L34" i="22"/>
  <c r="L69" i="22"/>
  <c r="L58" i="22"/>
  <c r="L70" i="22"/>
  <c r="L29" i="22"/>
  <c r="L37" i="22" s="1"/>
  <c r="L50" i="22" s="1"/>
  <c r="L52" i="22" s="1"/>
  <c r="L113" i="22" s="1"/>
  <c r="L59" i="22"/>
  <c r="L62" i="22" s="1"/>
  <c r="L114" i="22" s="1"/>
  <c r="H99" i="22"/>
  <c r="H104" i="22" s="1"/>
  <c r="D75" i="22"/>
  <c r="D84" i="22" s="1"/>
  <c r="D86" i="22" s="1"/>
  <c r="D115" i="22" s="1"/>
  <c r="L37" i="10"/>
  <c r="L50" i="10" s="1"/>
  <c r="L52" i="10" s="1"/>
  <c r="L113" i="10" s="1"/>
  <c r="J52" i="10"/>
  <c r="J113" i="10" s="1"/>
  <c r="J117" i="10" s="1"/>
  <c r="L58" i="10"/>
  <c r="L32" i="10"/>
  <c r="L61" i="10"/>
  <c r="L60" i="10"/>
  <c r="L70" i="10"/>
  <c r="N23" i="10"/>
  <c r="N41" i="10"/>
  <c r="N45" i="10" s="1"/>
  <c r="N51" i="10" s="1"/>
  <c r="N24" i="10"/>
  <c r="D56" i="2"/>
  <c r="N112" i="10"/>
  <c r="R25" i="10"/>
  <c r="L59" i="10"/>
  <c r="L49" i="10"/>
  <c r="L31" i="10"/>
  <c r="L71" i="10"/>
  <c r="L35" i="10"/>
  <c r="L69" i="10"/>
  <c r="L73" i="10"/>
  <c r="L74" i="10"/>
  <c r="L33" i="10"/>
  <c r="L72" i="10"/>
  <c r="L36" i="10"/>
  <c r="O43" i="10"/>
  <c r="P43" i="10" s="1"/>
  <c r="P18" i="10"/>
  <c r="O42" i="10"/>
  <c r="P42" i="10" s="1"/>
  <c r="L57" i="10"/>
  <c r="T112" i="10"/>
  <c r="T24" i="10"/>
  <c r="T23" i="10"/>
  <c r="T41" i="10"/>
  <c r="T45" i="10" s="1"/>
  <c r="T51" i="10" s="1"/>
  <c r="L34" i="10"/>
  <c r="L56" i="10"/>
  <c r="T25" i="8"/>
  <c r="T23" i="7"/>
  <c r="T41" i="7"/>
  <c r="T45" i="7" s="1"/>
  <c r="T51" i="7" s="1"/>
  <c r="T112" i="7"/>
  <c r="T24" i="7"/>
  <c r="L72" i="7"/>
  <c r="L59" i="7"/>
  <c r="H75" i="7"/>
  <c r="H84" i="7" s="1"/>
  <c r="H86" i="7" s="1"/>
  <c r="H115" i="7" s="1"/>
  <c r="F100" i="7"/>
  <c r="F99" i="7"/>
  <c r="L33" i="7"/>
  <c r="J25" i="6"/>
  <c r="J61" i="6" s="1"/>
  <c r="P12" i="6"/>
  <c r="P18" i="6" s="1"/>
  <c r="M43" i="6"/>
  <c r="N43" i="6" s="1"/>
  <c r="N18" i="6"/>
  <c r="D53" i="2" s="1"/>
  <c r="F37" i="6"/>
  <c r="F50" i="6" s="1"/>
  <c r="F52" i="6" s="1"/>
  <c r="F113" i="6" s="1"/>
  <c r="F62" i="6"/>
  <c r="F114" i="6" s="1"/>
  <c r="F75" i="6"/>
  <c r="F84" i="6" s="1"/>
  <c r="F86" i="6" s="1"/>
  <c r="F115" i="6" s="1"/>
  <c r="S43" i="6"/>
  <c r="S42" i="6"/>
  <c r="T18" i="6"/>
  <c r="J36" i="6"/>
  <c r="F101" i="8"/>
  <c r="F106" i="8" s="1"/>
  <c r="F118" i="8" s="1"/>
  <c r="F119" i="8" s="1"/>
  <c r="E19" i="2" s="1"/>
  <c r="G19" i="2" s="1"/>
  <c r="N25" i="22"/>
  <c r="F117" i="22"/>
  <c r="R49" i="22"/>
  <c r="R35" i="22"/>
  <c r="R69" i="22"/>
  <c r="R33" i="22"/>
  <c r="R70" i="22"/>
  <c r="R56" i="22"/>
  <c r="R60" i="22"/>
  <c r="R36" i="22"/>
  <c r="R29" i="22"/>
  <c r="R61" i="22"/>
  <c r="R59" i="22"/>
  <c r="R73" i="22"/>
  <c r="R34" i="22"/>
  <c r="R72" i="22"/>
  <c r="R58" i="22"/>
  <c r="R57" i="22"/>
  <c r="R30" i="22"/>
  <c r="R31" i="22"/>
  <c r="R71" i="22"/>
  <c r="R74" i="22"/>
  <c r="R32" i="22"/>
  <c r="P112" i="22"/>
  <c r="P41" i="22"/>
  <c r="P45" i="22" s="1"/>
  <c r="P51" i="22" s="1"/>
  <c r="P23" i="22"/>
  <c r="P24" i="22"/>
  <c r="J37" i="22"/>
  <c r="J50" i="22" s="1"/>
  <c r="J52" i="22" s="1"/>
  <c r="J113" i="22" s="1"/>
  <c r="J75" i="22"/>
  <c r="J84" i="22" s="1"/>
  <c r="J86" i="22" s="1"/>
  <c r="J115" i="22" s="1"/>
  <c r="J62" i="22"/>
  <c r="J114" i="22" s="1"/>
  <c r="H100" i="10"/>
  <c r="H99" i="10"/>
  <c r="H103" i="10" s="1"/>
  <c r="J100" i="10"/>
  <c r="J99" i="10"/>
  <c r="F100" i="10"/>
  <c r="F99" i="10"/>
  <c r="N25" i="8"/>
  <c r="J75" i="8"/>
  <c r="J84" i="8" s="1"/>
  <c r="J86" i="8" s="1"/>
  <c r="J115" i="8" s="1"/>
  <c r="R49" i="8"/>
  <c r="R34" i="8"/>
  <c r="R70" i="8"/>
  <c r="R29" i="8"/>
  <c r="R59" i="8"/>
  <c r="R56" i="8"/>
  <c r="R35" i="8"/>
  <c r="R69" i="8"/>
  <c r="R36" i="8"/>
  <c r="R73" i="8"/>
  <c r="R61" i="8"/>
  <c r="R57" i="8"/>
  <c r="R30" i="8"/>
  <c r="R60" i="8"/>
  <c r="R72" i="8"/>
  <c r="R58" i="8"/>
  <c r="R71" i="8"/>
  <c r="R31" i="8"/>
  <c r="R33" i="8"/>
  <c r="R74" i="8"/>
  <c r="R32" i="8"/>
  <c r="L49" i="8"/>
  <c r="L70" i="8"/>
  <c r="L29" i="8"/>
  <c r="L59" i="8"/>
  <c r="L72" i="8"/>
  <c r="L36" i="8"/>
  <c r="L74" i="8"/>
  <c r="L73" i="8"/>
  <c r="L32" i="8"/>
  <c r="L61" i="8"/>
  <c r="L57" i="8"/>
  <c r="L34" i="8"/>
  <c r="L69" i="8"/>
  <c r="L75" i="8" s="1"/>
  <c r="L84" i="8" s="1"/>
  <c r="L86" i="8" s="1"/>
  <c r="L115" i="8" s="1"/>
  <c r="L56" i="8"/>
  <c r="L71" i="8"/>
  <c r="L33" i="8"/>
  <c r="L30" i="8"/>
  <c r="L58" i="8"/>
  <c r="L60" i="8"/>
  <c r="L35" i="8"/>
  <c r="L31" i="8"/>
  <c r="H100" i="8"/>
  <c r="H99" i="8"/>
  <c r="J62" i="8"/>
  <c r="J114" i="8" s="1"/>
  <c r="P112" i="8"/>
  <c r="P41" i="8"/>
  <c r="P45" i="8" s="1"/>
  <c r="P51" i="8" s="1"/>
  <c r="P24" i="8"/>
  <c r="P23" i="8"/>
  <c r="J37" i="8"/>
  <c r="J50" i="8" s="1"/>
  <c r="J52" i="8" s="1"/>
  <c r="J113" i="8" s="1"/>
  <c r="N23" i="7"/>
  <c r="N112" i="7"/>
  <c r="N41" i="7"/>
  <c r="N45" i="7" s="1"/>
  <c r="N51" i="7" s="1"/>
  <c r="D54" i="2"/>
  <c r="N24" i="7"/>
  <c r="L29" i="7"/>
  <c r="H37" i="7"/>
  <c r="H50" i="7" s="1"/>
  <c r="H52" i="7" s="1"/>
  <c r="H113" i="7" s="1"/>
  <c r="H117" i="7" s="1"/>
  <c r="L60" i="7"/>
  <c r="L70" i="7"/>
  <c r="L31" i="7"/>
  <c r="L35" i="7"/>
  <c r="L58" i="7"/>
  <c r="L30" i="7"/>
  <c r="L56" i="7"/>
  <c r="L36" i="7"/>
  <c r="L61" i="7"/>
  <c r="L74" i="7"/>
  <c r="L32" i="7"/>
  <c r="L71" i="7"/>
  <c r="H62" i="7"/>
  <c r="H114" i="7" s="1"/>
  <c r="L69" i="7"/>
  <c r="L73" i="7"/>
  <c r="J49" i="7"/>
  <c r="J61" i="7"/>
  <c r="J34" i="7"/>
  <c r="J69" i="7"/>
  <c r="J71" i="7"/>
  <c r="J56" i="7"/>
  <c r="J36" i="7"/>
  <c r="J33" i="7"/>
  <c r="J59" i="7"/>
  <c r="J57" i="7"/>
  <c r="J30" i="7"/>
  <c r="J35" i="7"/>
  <c r="J58" i="7"/>
  <c r="J74" i="7"/>
  <c r="J70" i="7"/>
  <c r="J31" i="7"/>
  <c r="J29" i="7"/>
  <c r="J60" i="7"/>
  <c r="J72" i="7"/>
  <c r="J32" i="7"/>
  <c r="J73" i="7"/>
  <c r="R25" i="7"/>
  <c r="L34" i="7"/>
  <c r="L57" i="7"/>
  <c r="P18" i="7"/>
  <c r="O42" i="7"/>
  <c r="P42" i="7" s="1"/>
  <c r="J35" i="6"/>
  <c r="J31" i="6"/>
  <c r="H49" i="6"/>
  <c r="H29" i="6"/>
  <c r="H59" i="6"/>
  <c r="H70" i="6"/>
  <c r="H74" i="6"/>
  <c r="H72" i="6"/>
  <c r="H31" i="6"/>
  <c r="H33" i="6"/>
  <c r="H32" i="6"/>
  <c r="H56" i="6"/>
  <c r="H34" i="6"/>
  <c r="H57" i="6"/>
  <c r="H61" i="6"/>
  <c r="H35" i="6"/>
  <c r="H69" i="6"/>
  <c r="H36" i="6"/>
  <c r="H30" i="6"/>
  <c r="H60" i="6"/>
  <c r="H71" i="6"/>
  <c r="H58" i="6"/>
  <c r="H73" i="6"/>
  <c r="J72" i="6"/>
  <c r="J73" i="6"/>
  <c r="J33" i="6"/>
  <c r="J34" i="6"/>
  <c r="N41" i="6"/>
  <c r="N112" i="6"/>
  <c r="L24" i="6"/>
  <c r="L112" i="6"/>
  <c r="L23" i="6"/>
  <c r="L41" i="6"/>
  <c r="L45" i="6" s="1"/>
  <c r="L51" i="6" s="1"/>
  <c r="R24" i="6"/>
  <c r="R112" i="6"/>
  <c r="R23" i="6"/>
  <c r="R41" i="6"/>
  <c r="R45" i="6" s="1"/>
  <c r="R51" i="6" s="1"/>
  <c r="D37" i="22"/>
  <c r="D50" i="22" s="1"/>
  <c r="D52" i="22" s="1"/>
  <c r="D113" i="22" s="1"/>
  <c r="D62" i="22"/>
  <c r="D114" i="22" s="1"/>
  <c r="D62" i="7"/>
  <c r="D114" i="7" s="1"/>
  <c r="D37" i="7"/>
  <c r="D50" i="7" s="1"/>
  <c r="D52" i="7" s="1"/>
  <c r="D113" i="7" s="1"/>
  <c r="D75" i="7"/>
  <c r="D84" i="7" s="1"/>
  <c r="D86" i="7" s="1"/>
  <c r="D115" i="7" s="1"/>
  <c r="D37" i="6"/>
  <c r="D50" i="6" s="1"/>
  <c r="D52" i="6" s="1"/>
  <c r="D113" i="6" s="1"/>
  <c r="D75" i="6"/>
  <c r="D84" i="6" s="1"/>
  <c r="D86" i="6" s="1"/>
  <c r="D115" i="6" s="1"/>
  <c r="D62" i="6"/>
  <c r="D114" i="6" s="1"/>
  <c r="D37" i="8"/>
  <c r="D50" i="8" s="1"/>
  <c r="D52" i="8" s="1"/>
  <c r="D113" i="8" s="1"/>
  <c r="D62" i="8"/>
  <c r="D114" i="8" s="1"/>
  <c r="D75" i="8"/>
  <c r="D84" i="8" s="1"/>
  <c r="D86" i="8" s="1"/>
  <c r="D115" i="8" s="1"/>
  <c r="T37" i="22" l="1"/>
  <c r="T50" i="22" s="1"/>
  <c r="T52" i="22" s="1"/>
  <c r="T113" i="22" s="1"/>
  <c r="T75" i="22"/>
  <c r="T84" i="22" s="1"/>
  <c r="T86" i="22" s="1"/>
  <c r="T115" i="22" s="1"/>
  <c r="T62" i="22"/>
  <c r="T114" i="22" s="1"/>
  <c r="H102" i="22"/>
  <c r="L75" i="22"/>
  <c r="L84" i="22" s="1"/>
  <c r="L86" i="22" s="1"/>
  <c r="L115" i="22" s="1"/>
  <c r="H103" i="22"/>
  <c r="J117" i="22"/>
  <c r="J99" i="22" s="1"/>
  <c r="D117" i="22"/>
  <c r="D99" i="22" s="1"/>
  <c r="H105" i="22"/>
  <c r="L117" i="22"/>
  <c r="P112" i="10"/>
  <c r="P41" i="10"/>
  <c r="P45" i="10" s="1"/>
  <c r="P51" i="10" s="1"/>
  <c r="P24" i="10"/>
  <c r="P23" i="10"/>
  <c r="P25" i="10" s="1"/>
  <c r="R33" i="10"/>
  <c r="R49" i="10"/>
  <c r="R56" i="10"/>
  <c r="R29" i="10"/>
  <c r="R73" i="10"/>
  <c r="R70" i="10"/>
  <c r="R31" i="10"/>
  <c r="R69" i="10"/>
  <c r="R75" i="10" s="1"/>
  <c r="R84" i="10" s="1"/>
  <c r="R86" i="10" s="1"/>
  <c r="R115" i="10" s="1"/>
  <c r="R32" i="10"/>
  <c r="R36" i="10"/>
  <c r="R61" i="10"/>
  <c r="R59" i="10"/>
  <c r="R60" i="10"/>
  <c r="R74" i="10"/>
  <c r="R72" i="10"/>
  <c r="R58" i="10"/>
  <c r="R57" i="10"/>
  <c r="R35" i="10"/>
  <c r="R71" i="10"/>
  <c r="R30" i="10"/>
  <c r="R34" i="10"/>
  <c r="P58" i="10"/>
  <c r="L62" i="10"/>
  <c r="L114" i="10" s="1"/>
  <c r="P35" i="10"/>
  <c r="N25" i="10"/>
  <c r="L117" i="10"/>
  <c r="L75" i="10"/>
  <c r="L84" i="10" s="1"/>
  <c r="L86" i="10" s="1"/>
  <c r="L115" i="10" s="1"/>
  <c r="P73" i="10"/>
  <c r="P72" i="10"/>
  <c r="P71" i="10"/>
  <c r="P60" i="10"/>
  <c r="J102" i="10"/>
  <c r="P36" i="10"/>
  <c r="T25" i="10"/>
  <c r="T49" i="8"/>
  <c r="T61" i="8"/>
  <c r="T69" i="8"/>
  <c r="T72" i="8"/>
  <c r="T56" i="8"/>
  <c r="T29" i="8"/>
  <c r="T36" i="8"/>
  <c r="T59" i="8"/>
  <c r="T60" i="8"/>
  <c r="T35" i="8"/>
  <c r="T31" i="8"/>
  <c r="T57" i="8"/>
  <c r="T58" i="8"/>
  <c r="T34" i="8"/>
  <c r="T33" i="8"/>
  <c r="T74" i="8"/>
  <c r="T30" i="8"/>
  <c r="T70" i="8"/>
  <c r="T32" i="8"/>
  <c r="T71" i="8"/>
  <c r="T73" i="8"/>
  <c r="F103" i="7"/>
  <c r="F104" i="7"/>
  <c r="F102" i="7"/>
  <c r="F105" i="7"/>
  <c r="L75" i="7"/>
  <c r="L84" i="7" s="1"/>
  <c r="L86" i="7" s="1"/>
  <c r="L115" i="7" s="1"/>
  <c r="T25" i="7"/>
  <c r="N23" i="6"/>
  <c r="N24" i="6"/>
  <c r="F117" i="6"/>
  <c r="F100" i="6" s="1"/>
  <c r="J58" i="6"/>
  <c r="J57" i="6"/>
  <c r="J29" i="6"/>
  <c r="J37" i="6" s="1"/>
  <c r="J50" i="6" s="1"/>
  <c r="J52" i="6" s="1"/>
  <c r="J113" i="6" s="1"/>
  <c r="J60" i="6"/>
  <c r="J71" i="6"/>
  <c r="J59" i="6"/>
  <c r="O43" i="6"/>
  <c r="P43" i="6" s="1"/>
  <c r="J56" i="6"/>
  <c r="J62" i="6" s="1"/>
  <c r="J114" i="6" s="1"/>
  <c r="N45" i="6"/>
  <c r="N51" i="6" s="1"/>
  <c r="O42" i="6"/>
  <c r="P42" i="6" s="1"/>
  <c r="J74" i="6"/>
  <c r="J49" i="6"/>
  <c r="J69" i="6"/>
  <c r="J30" i="6"/>
  <c r="J32" i="6"/>
  <c r="J70" i="6"/>
  <c r="T24" i="6"/>
  <c r="T23" i="6"/>
  <c r="T41" i="6"/>
  <c r="T45" i="6" s="1"/>
  <c r="T51" i="6" s="1"/>
  <c r="T112" i="6"/>
  <c r="F105" i="10"/>
  <c r="J104" i="10"/>
  <c r="F102" i="10"/>
  <c r="H104" i="10"/>
  <c r="F104" i="10"/>
  <c r="J100" i="22"/>
  <c r="P25" i="22"/>
  <c r="F100" i="22"/>
  <c r="F99" i="22"/>
  <c r="N49" i="22"/>
  <c r="N73" i="22"/>
  <c r="N30" i="22"/>
  <c r="N60" i="22"/>
  <c r="N35" i="22"/>
  <c r="N58" i="22"/>
  <c r="N70" i="22"/>
  <c r="N31" i="22"/>
  <c r="N29" i="22"/>
  <c r="N71" i="22"/>
  <c r="N59" i="22"/>
  <c r="N72" i="22"/>
  <c r="N74" i="22"/>
  <c r="N32" i="22"/>
  <c r="N61" i="22"/>
  <c r="N57" i="22"/>
  <c r="N56" i="22"/>
  <c r="N33" i="22"/>
  <c r="N34" i="22"/>
  <c r="N69" i="22"/>
  <c r="N36" i="22"/>
  <c r="R75" i="22"/>
  <c r="R84" i="22" s="1"/>
  <c r="R86" i="22" s="1"/>
  <c r="R115" i="22" s="1"/>
  <c r="R37" i="22"/>
  <c r="R50" i="22" s="1"/>
  <c r="R52" i="22" s="1"/>
  <c r="R113" i="22" s="1"/>
  <c r="R62" i="22"/>
  <c r="R114" i="22" s="1"/>
  <c r="J105" i="10"/>
  <c r="J103" i="10"/>
  <c r="H105" i="10"/>
  <c r="H102" i="10"/>
  <c r="F103" i="10"/>
  <c r="H102" i="8"/>
  <c r="H104" i="8"/>
  <c r="L37" i="8"/>
  <c r="L50" i="8" s="1"/>
  <c r="L52" i="8" s="1"/>
  <c r="L113" i="8" s="1"/>
  <c r="L117" i="8" s="1"/>
  <c r="P25" i="8"/>
  <c r="R75" i="8"/>
  <c r="R84" i="8" s="1"/>
  <c r="R86" i="8" s="1"/>
  <c r="R115" i="8" s="1"/>
  <c r="R62" i="8"/>
  <c r="R114" i="8" s="1"/>
  <c r="R37" i="8"/>
  <c r="R50" i="8" s="1"/>
  <c r="R52" i="8" s="1"/>
  <c r="R113" i="8" s="1"/>
  <c r="R117" i="8" s="1"/>
  <c r="L62" i="8"/>
  <c r="L114" i="8" s="1"/>
  <c r="H103" i="8"/>
  <c r="J117" i="8"/>
  <c r="H105" i="8"/>
  <c r="N49" i="8"/>
  <c r="N33" i="8"/>
  <c r="N57" i="8"/>
  <c r="N31" i="8"/>
  <c r="N34" i="8"/>
  <c r="N69" i="8"/>
  <c r="N36" i="8"/>
  <c r="N71" i="8"/>
  <c r="N73" i="8"/>
  <c r="N30" i="8"/>
  <c r="N58" i="8"/>
  <c r="N35" i="8"/>
  <c r="N32" i="8"/>
  <c r="N60" i="8"/>
  <c r="N70" i="8"/>
  <c r="N29" i="8"/>
  <c r="N59" i="8"/>
  <c r="N72" i="8"/>
  <c r="N61" i="8"/>
  <c r="N74" i="8"/>
  <c r="N56" i="8"/>
  <c r="J37" i="7"/>
  <c r="J50" i="7" s="1"/>
  <c r="J52" i="7" s="1"/>
  <c r="J113" i="7" s="1"/>
  <c r="H100" i="7"/>
  <c r="H99" i="7"/>
  <c r="P112" i="7"/>
  <c r="P41" i="7"/>
  <c r="P45" i="7" s="1"/>
  <c r="P51" i="7" s="1"/>
  <c r="P24" i="7"/>
  <c r="P23" i="7"/>
  <c r="L62" i="7"/>
  <c r="L114" i="7" s="1"/>
  <c r="L37" i="7"/>
  <c r="L50" i="7" s="1"/>
  <c r="L52" i="7" s="1"/>
  <c r="L113" i="7" s="1"/>
  <c r="L117" i="7" s="1"/>
  <c r="R49" i="7"/>
  <c r="R69" i="7"/>
  <c r="R73" i="7"/>
  <c r="R61" i="7"/>
  <c r="R31" i="7"/>
  <c r="R60" i="7"/>
  <c r="R35" i="7"/>
  <c r="R72" i="7"/>
  <c r="R36" i="7"/>
  <c r="R70" i="7"/>
  <c r="R56" i="7"/>
  <c r="R71" i="7"/>
  <c r="R29" i="7"/>
  <c r="R33" i="7"/>
  <c r="R30" i="7"/>
  <c r="R59" i="7"/>
  <c r="R34" i="7"/>
  <c r="R58" i="7"/>
  <c r="R74" i="7"/>
  <c r="R32" i="7"/>
  <c r="R57" i="7"/>
  <c r="J62" i="7"/>
  <c r="J114" i="7" s="1"/>
  <c r="N25" i="7"/>
  <c r="J75" i="7"/>
  <c r="J84" i="7" s="1"/>
  <c r="J86" i="7" s="1"/>
  <c r="J115" i="7" s="1"/>
  <c r="L25" i="6"/>
  <c r="L72" i="6" s="1"/>
  <c r="F99" i="6"/>
  <c r="F103" i="6" s="1"/>
  <c r="H37" i="6"/>
  <c r="H50" i="6" s="1"/>
  <c r="H52" i="6" s="1"/>
  <c r="H113" i="6" s="1"/>
  <c r="H75" i="6"/>
  <c r="H84" i="6" s="1"/>
  <c r="H86" i="6" s="1"/>
  <c r="H115" i="6" s="1"/>
  <c r="H62" i="6"/>
  <c r="H114" i="6" s="1"/>
  <c r="P23" i="6"/>
  <c r="P112" i="6"/>
  <c r="P24" i="6"/>
  <c r="R25" i="6"/>
  <c r="D117" i="8"/>
  <c r="D100" i="8" s="1"/>
  <c r="D117" i="7"/>
  <c r="D99" i="7" s="1"/>
  <c r="D117" i="6"/>
  <c r="D99" i="6" s="1"/>
  <c r="T117" i="22" l="1"/>
  <c r="T99" i="22" s="1"/>
  <c r="D100" i="22"/>
  <c r="D105" i="22" s="1"/>
  <c r="J105" i="22"/>
  <c r="H101" i="22"/>
  <c r="H106" i="22" s="1"/>
  <c r="H118" i="22" s="1"/>
  <c r="H119" i="22" s="1"/>
  <c r="L99" i="22"/>
  <c r="L100" i="22"/>
  <c r="R117" i="22"/>
  <c r="R37" i="10"/>
  <c r="R50" i="10" s="1"/>
  <c r="T49" i="10"/>
  <c r="T57" i="10"/>
  <c r="T34" i="10"/>
  <c r="T72" i="10"/>
  <c r="T59" i="10"/>
  <c r="T32" i="10"/>
  <c r="T70" i="10"/>
  <c r="T35" i="10"/>
  <c r="T56" i="10"/>
  <c r="T58" i="10"/>
  <c r="T61" i="10"/>
  <c r="T33" i="10"/>
  <c r="T31" i="10"/>
  <c r="T74" i="10"/>
  <c r="T60" i="10"/>
  <c r="T73" i="10"/>
  <c r="T30" i="10"/>
  <c r="T71" i="10"/>
  <c r="T29" i="10"/>
  <c r="T36" i="10"/>
  <c r="T69" i="10"/>
  <c r="R62" i="10"/>
  <c r="R114" i="10" s="1"/>
  <c r="L100" i="10"/>
  <c r="L99" i="10"/>
  <c r="L105" i="10" s="1"/>
  <c r="R52" i="10"/>
  <c r="R113" i="10" s="1"/>
  <c r="R117" i="10" s="1"/>
  <c r="N49" i="10"/>
  <c r="N72" i="10"/>
  <c r="N58" i="10"/>
  <c r="N61" i="10"/>
  <c r="N31" i="10"/>
  <c r="N71" i="10"/>
  <c r="N34" i="10"/>
  <c r="N70" i="10"/>
  <c r="N69" i="10"/>
  <c r="N57" i="10"/>
  <c r="N30" i="10"/>
  <c r="N56" i="10"/>
  <c r="N32" i="10"/>
  <c r="N36" i="10"/>
  <c r="N60" i="10"/>
  <c r="N73" i="10"/>
  <c r="N35" i="10"/>
  <c r="N33" i="10"/>
  <c r="N59" i="10"/>
  <c r="N29" i="10"/>
  <c r="N74" i="10"/>
  <c r="P30" i="10"/>
  <c r="P49" i="10"/>
  <c r="P70" i="10"/>
  <c r="P33" i="10"/>
  <c r="P32" i="10"/>
  <c r="P57" i="10"/>
  <c r="P34" i="10"/>
  <c r="P29" i="10"/>
  <c r="P61" i="10"/>
  <c r="P59" i="10"/>
  <c r="P56" i="10"/>
  <c r="P69" i="10"/>
  <c r="P74" i="10"/>
  <c r="L104" i="10"/>
  <c r="P31" i="10"/>
  <c r="T75" i="8"/>
  <c r="T84" i="8" s="1"/>
  <c r="T86" i="8" s="1"/>
  <c r="T115" i="8" s="1"/>
  <c r="T37" i="8"/>
  <c r="T50" i="8" s="1"/>
  <c r="T52" i="8" s="1"/>
  <c r="T113" i="8" s="1"/>
  <c r="T62" i="8"/>
  <c r="T114" i="8" s="1"/>
  <c r="P25" i="7"/>
  <c r="P60" i="7" s="1"/>
  <c r="R62" i="7"/>
  <c r="R114" i="7" s="1"/>
  <c r="H105" i="7"/>
  <c r="T49" i="7"/>
  <c r="T30" i="7"/>
  <c r="T70" i="7"/>
  <c r="T71" i="7"/>
  <c r="T69" i="7"/>
  <c r="T57" i="7"/>
  <c r="T59" i="7"/>
  <c r="T61" i="7"/>
  <c r="T36" i="7"/>
  <c r="T31" i="7"/>
  <c r="T60" i="7"/>
  <c r="T34" i="7"/>
  <c r="T56" i="7"/>
  <c r="T74" i="7"/>
  <c r="T32" i="7"/>
  <c r="T29" i="7"/>
  <c r="T73" i="7"/>
  <c r="T72" i="7"/>
  <c r="F101" i="7"/>
  <c r="F106" i="7" s="1"/>
  <c r="F118" i="7" s="1"/>
  <c r="F119" i="7" s="1"/>
  <c r="E18" i="2" s="1"/>
  <c r="G18" i="2" s="1"/>
  <c r="J75" i="6"/>
  <c r="J84" i="6" s="1"/>
  <c r="J86" i="6" s="1"/>
  <c r="J115" i="6" s="1"/>
  <c r="P45" i="6"/>
  <c r="P51" i="6" s="1"/>
  <c r="J117" i="6"/>
  <c r="J100" i="6" s="1"/>
  <c r="N25" i="6"/>
  <c r="L33" i="6"/>
  <c r="T73" i="6"/>
  <c r="T74" i="6"/>
  <c r="T29" i="6"/>
  <c r="T35" i="6"/>
  <c r="T30" i="6"/>
  <c r="J101" i="10"/>
  <c r="J106" i="10" s="1"/>
  <c r="J118" i="10" s="1"/>
  <c r="J119" i="10" s="1"/>
  <c r="E32" i="2" s="1"/>
  <c r="G32" i="2" s="1"/>
  <c r="F103" i="22"/>
  <c r="F101" i="10"/>
  <c r="F106" i="10" s="1"/>
  <c r="F118" i="10" s="1"/>
  <c r="F119" i="10" s="1"/>
  <c r="E20" i="2" s="1"/>
  <c r="G20" i="2" s="1"/>
  <c r="H101" i="10"/>
  <c r="H106" i="10" s="1"/>
  <c r="H118" i="10" s="1"/>
  <c r="H119" i="10" s="1"/>
  <c r="J102" i="22"/>
  <c r="J104" i="22"/>
  <c r="J103" i="22"/>
  <c r="F102" i="22"/>
  <c r="F105" i="22"/>
  <c r="H101" i="8"/>
  <c r="H106" i="8" s="1"/>
  <c r="H118" i="8" s="1"/>
  <c r="H119" i="8" s="1"/>
  <c r="R100" i="22"/>
  <c r="R99" i="22"/>
  <c r="R104" i="22" s="1"/>
  <c r="F104" i="22"/>
  <c r="N37" i="22"/>
  <c r="N50" i="22" s="1"/>
  <c r="N52" i="22" s="1"/>
  <c r="N113" i="22" s="1"/>
  <c r="N75" i="22"/>
  <c r="N84" i="22" s="1"/>
  <c r="N86" i="22" s="1"/>
  <c r="N115" i="22" s="1"/>
  <c r="P49" i="22"/>
  <c r="P33" i="22"/>
  <c r="P34" i="22"/>
  <c r="P69" i="22"/>
  <c r="P32" i="22"/>
  <c r="P35" i="22"/>
  <c r="P71" i="22"/>
  <c r="P70" i="22"/>
  <c r="P30" i="22"/>
  <c r="P57" i="22"/>
  <c r="P29" i="22"/>
  <c r="P73" i="22"/>
  <c r="P58" i="22"/>
  <c r="P61" i="22"/>
  <c r="P31" i="22"/>
  <c r="P60" i="22"/>
  <c r="P72" i="22"/>
  <c r="P56" i="22"/>
  <c r="P59" i="22"/>
  <c r="P36" i="22"/>
  <c r="P74" i="22"/>
  <c r="N62" i="22"/>
  <c r="N114" i="22" s="1"/>
  <c r="N37" i="8"/>
  <c r="N50" i="8" s="1"/>
  <c r="N52" i="8" s="1"/>
  <c r="N113" i="8" s="1"/>
  <c r="N117" i="8" s="1"/>
  <c r="J99" i="8"/>
  <c r="J100" i="8"/>
  <c r="L100" i="8"/>
  <c r="L99" i="8"/>
  <c r="L102" i="8" s="1"/>
  <c r="P49" i="8"/>
  <c r="P73" i="8"/>
  <c r="P74" i="8"/>
  <c r="P32" i="8"/>
  <c r="P56" i="8"/>
  <c r="P34" i="8"/>
  <c r="P33" i="8"/>
  <c r="P69" i="8"/>
  <c r="P36" i="8"/>
  <c r="P71" i="8"/>
  <c r="P31" i="8"/>
  <c r="P30" i="8"/>
  <c r="P35" i="8"/>
  <c r="P70" i="8"/>
  <c r="P58" i="8"/>
  <c r="P61" i="8"/>
  <c r="P57" i="8"/>
  <c r="P29" i="8"/>
  <c r="P37" i="8" s="1"/>
  <c r="P50" i="8" s="1"/>
  <c r="P60" i="8"/>
  <c r="P59" i="8"/>
  <c r="P72" i="8"/>
  <c r="N75" i="8"/>
  <c r="N84" i="8" s="1"/>
  <c r="N86" i="8" s="1"/>
  <c r="N115" i="8" s="1"/>
  <c r="N62" i="8"/>
  <c r="N114" i="8" s="1"/>
  <c r="R100" i="8"/>
  <c r="R99" i="8"/>
  <c r="R103" i="8" s="1"/>
  <c r="P61" i="7"/>
  <c r="N49" i="7"/>
  <c r="N61" i="7"/>
  <c r="N34" i="7"/>
  <c r="N72" i="7"/>
  <c r="N69" i="7"/>
  <c r="N32" i="7"/>
  <c r="N56" i="7"/>
  <c r="N36" i="7"/>
  <c r="N57" i="7"/>
  <c r="N31" i="7"/>
  <c r="N33" i="7"/>
  <c r="N71" i="7"/>
  <c r="N35" i="7"/>
  <c r="N30" i="7"/>
  <c r="N70" i="7"/>
  <c r="N58" i="7"/>
  <c r="N29" i="7"/>
  <c r="N73" i="7"/>
  <c r="N59" i="7"/>
  <c r="N60" i="7"/>
  <c r="N74" i="7"/>
  <c r="H103" i="7"/>
  <c r="R75" i="7"/>
  <c r="R84" i="7" s="1"/>
  <c r="R86" i="7" s="1"/>
  <c r="R115" i="7" s="1"/>
  <c r="P74" i="7"/>
  <c r="P31" i="7"/>
  <c r="L100" i="7"/>
  <c r="L99" i="7"/>
  <c r="L103" i="7" s="1"/>
  <c r="H104" i="7"/>
  <c r="H102" i="7"/>
  <c r="J117" i="7"/>
  <c r="R37" i="7"/>
  <c r="R50" i="7" s="1"/>
  <c r="R52" i="7" s="1"/>
  <c r="R113" i="7" s="1"/>
  <c r="L69" i="6"/>
  <c r="F105" i="6"/>
  <c r="F102" i="6"/>
  <c r="L49" i="6"/>
  <c r="L35" i="6"/>
  <c r="L30" i="6"/>
  <c r="L34" i="6"/>
  <c r="L36" i="6"/>
  <c r="L60" i="6"/>
  <c r="L59" i="6"/>
  <c r="L29" i="6"/>
  <c r="L57" i="6"/>
  <c r="L70" i="6"/>
  <c r="L31" i="6"/>
  <c r="L58" i="6"/>
  <c r="F104" i="6"/>
  <c r="L73" i="6"/>
  <c r="L61" i="6"/>
  <c r="L71" i="6"/>
  <c r="L74" i="6"/>
  <c r="L56" i="6"/>
  <c r="L32" i="6"/>
  <c r="H117" i="6"/>
  <c r="R49" i="6"/>
  <c r="R36" i="6"/>
  <c r="R57" i="6"/>
  <c r="R35" i="6"/>
  <c r="R34" i="6"/>
  <c r="R33" i="6"/>
  <c r="R30" i="6"/>
  <c r="R59" i="6"/>
  <c r="R70" i="6"/>
  <c r="R31" i="6"/>
  <c r="R29" i="6"/>
  <c r="R69" i="6"/>
  <c r="R56" i="6"/>
  <c r="R61" i="6"/>
  <c r="R32" i="6"/>
  <c r="R58" i="6"/>
  <c r="R73" i="6"/>
  <c r="R74" i="6"/>
  <c r="R60" i="6"/>
  <c r="R71" i="6"/>
  <c r="R72" i="6"/>
  <c r="P25" i="6"/>
  <c r="J99" i="6"/>
  <c r="J102" i="6" s="1"/>
  <c r="D100" i="6"/>
  <c r="D103" i="6" s="1"/>
  <c r="D100" i="7"/>
  <c r="D103" i="7" s="1"/>
  <c r="D99" i="8"/>
  <c r="D105" i="8" s="1"/>
  <c r="D104" i="22"/>
  <c r="D103" i="22"/>
  <c r="D102" i="22"/>
  <c r="T100" i="22" l="1"/>
  <c r="T103" i="22" s="1"/>
  <c r="T102" i="22"/>
  <c r="L104" i="22"/>
  <c r="N117" i="22"/>
  <c r="N100" i="22" s="1"/>
  <c r="L102" i="22"/>
  <c r="L103" i="22"/>
  <c r="L105" i="22"/>
  <c r="N37" i="10"/>
  <c r="N50" i="10" s="1"/>
  <c r="N52" i="10" s="1"/>
  <c r="N113" i="10" s="1"/>
  <c r="P75" i="10"/>
  <c r="P84" i="10" s="1"/>
  <c r="P86" i="10" s="1"/>
  <c r="P115" i="10" s="1"/>
  <c r="P62" i="10"/>
  <c r="P114" i="10" s="1"/>
  <c r="R99" i="10"/>
  <c r="R100" i="10"/>
  <c r="T62" i="10"/>
  <c r="T114" i="10" s="1"/>
  <c r="P37" i="10"/>
  <c r="P50" i="10" s="1"/>
  <c r="P52" i="10" s="1"/>
  <c r="P113" i="10" s="1"/>
  <c r="P117" i="10" s="1"/>
  <c r="T75" i="10"/>
  <c r="T84" i="10" s="1"/>
  <c r="T86" i="10" s="1"/>
  <c r="T115" i="10" s="1"/>
  <c r="N62" i="10"/>
  <c r="N114" i="10" s="1"/>
  <c r="T37" i="10"/>
  <c r="T50" i="10" s="1"/>
  <c r="N75" i="10"/>
  <c r="N84" i="10" s="1"/>
  <c r="N86" i="10" s="1"/>
  <c r="N115" i="10" s="1"/>
  <c r="T52" i="10"/>
  <c r="T113" i="10" s="1"/>
  <c r="R105" i="10"/>
  <c r="L103" i="10"/>
  <c r="L102" i="10"/>
  <c r="L101" i="10" s="1"/>
  <c r="L106" i="10" s="1"/>
  <c r="L118" i="10" s="1"/>
  <c r="L119" i="10" s="1"/>
  <c r="E44" i="2" s="1"/>
  <c r="G44" i="2" s="1"/>
  <c r="T117" i="8"/>
  <c r="T100" i="8" s="1"/>
  <c r="P29" i="7"/>
  <c r="P37" i="7" s="1"/>
  <c r="P50" i="7" s="1"/>
  <c r="P52" i="7" s="1"/>
  <c r="P113" i="7" s="1"/>
  <c r="P117" i="7" s="1"/>
  <c r="P59" i="7"/>
  <c r="P71" i="7"/>
  <c r="P56" i="7"/>
  <c r="R117" i="7"/>
  <c r="P72" i="7"/>
  <c r="P30" i="7"/>
  <c r="P49" i="7"/>
  <c r="P58" i="7"/>
  <c r="P33" i="7"/>
  <c r="P69" i="7"/>
  <c r="P75" i="7" s="1"/>
  <c r="P84" i="7" s="1"/>
  <c r="P86" i="7" s="1"/>
  <c r="P115" i="7" s="1"/>
  <c r="T75" i="7"/>
  <c r="T84" i="7" s="1"/>
  <c r="T86" i="7" s="1"/>
  <c r="T115" i="7" s="1"/>
  <c r="P35" i="7"/>
  <c r="P34" i="7"/>
  <c r="T37" i="7"/>
  <c r="T50" i="7" s="1"/>
  <c r="T52" i="7" s="1"/>
  <c r="T113" i="7" s="1"/>
  <c r="T117" i="7" s="1"/>
  <c r="P36" i="7"/>
  <c r="P70" i="7"/>
  <c r="P32" i="7"/>
  <c r="P57" i="7"/>
  <c r="P62" i="7" s="1"/>
  <c r="P114" i="7" s="1"/>
  <c r="P73" i="7"/>
  <c r="T62" i="7"/>
  <c r="T114" i="7" s="1"/>
  <c r="T36" i="6"/>
  <c r="T70" i="6"/>
  <c r="T32" i="6"/>
  <c r="T60" i="6"/>
  <c r="N49" i="6"/>
  <c r="N59" i="6"/>
  <c r="N33" i="6"/>
  <c r="N72" i="6"/>
  <c r="N70" i="6"/>
  <c r="N30" i="6"/>
  <c r="N58" i="6"/>
  <c r="N36" i="6"/>
  <c r="N57" i="6"/>
  <c r="N60" i="6"/>
  <c r="N32" i="6"/>
  <c r="N74" i="6"/>
  <c r="N69" i="6"/>
  <c r="N31" i="6"/>
  <c r="N35" i="6"/>
  <c r="N56" i="6"/>
  <c r="N73" i="6"/>
  <c r="N61" i="6"/>
  <c r="N71" i="6"/>
  <c r="N29" i="6"/>
  <c r="N34" i="6"/>
  <c r="T33" i="6"/>
  <c r="T61" i="6"/>
  <c r="T56" i="6"/>
  <c r="T62" i="6" s="1"/>
  <c r="T114" i="6" s="1"/>
  <c r="T71" i="6"/>
  <c r="T69" i="6"/>
  <c r="T75" i="6" s="1"/>
  <c r="T84" i="6" s="1"/>
  <c r="T86" i="6" s="1"/>
  <c r="T115" i="6" s="1"/>
  <c r="T59" i="6"/>
  <c r="T72" i="6"/>
  <c r="T31" i="6"/>
  <c r="L75" i="6"/>
  <c r="L84" i="6" s="1"/>
  <c r="L86" i="6" s="1"/>
  <c r="L115" i="6" s="1"/>
  <c r="L62" i="6"/>
  <c r="L114" i="6" s="1"/>
  <c r="R105" i="22"/>
  <c r="J101" i="22"/>
  <c r="J106" i="22" s="1"/>
  <c r="J118" i="22" s="1"/>
  <c r="J119" i="22" s="1"/>
  <c r="E33" i="2" s="1"/>
  <c r="G33" i="2" s="1"/>
  <c r="L102" i="7"/>
  <c r="J104" i="8"/>
  <c r="L105" i="7"/>
  <c r="F101" i="22"/>
  <c r="F106" i="22" s="1"/>
  <c r="F118" i="22" s="1"/>
  <c r="F119" i="22" s="1"/>
  <c r="E21" i="2" s="1"/>
  <c r="G21" i="2" s="1"/>
  <c r="L105" i="8"/>
  <c r="J103" i="8"/>
  <c r="J102" i="8"/>
  <c r="H101" i="7"/>
  <c r="H106" i="7" s="1"/>
  <c r="H118" i="7" s="1"/>
  <c r="H119" i="7" s="1"/>
  <c r="R103" i="22"/>
  <c r="P37" i="22"/>
  <c r="P50" i="22" s="1"/>
  <c r="P52" i="22" s="1"/>
  <c r="P113" i="22" s="1"/>
  <c r="R102" i="22"/>
  <c r="P62" i="22"/>
  <c r="P114" i="22" s="1"/>
  <c r="P75" i="22"/>
  <c r="P84" i="22" s="1"/>
  <c r="P86" i="22" s="1"/>
  <c r="P115" i="22" s="1"/>
  <c r="N100" i="8"/>
  <c r="N99" i="8"/>
  <c r="N103" i="8" s="1"/>
  <c r="R104" i="8"/>
  <c r="R105" i="8"/>
  <c r="P52" i="8"/>
  <c r="P113" i="8" s="1"/>
  <c r="R102" i="8"/>
  <c r="R101" i="8" s="1"/>
  <c r="R106" i="8" s="1"/>
  <c r="R118" i="8" s="1"/>
  <c r="R119" i="8" s="1"/>
  <c r="E67" i="2" s="1"/>
  <c r="G67" i="2" s="1"/>
  <c r="L104" i="8"/>
  <c r="L103" i="8"/>
  <c r="J105" i="8"/>
  <c r="P75" i="8"/>
  <c r="P84" i="8" s="1"/>
  <c r="P86" i="8" s="1"/>
  <c r="P115" i="8" s="1"/>
  <c r="P62" i="8"/>
  <c r="P114" i="8" s="1"/>
  <c r="R100" i="7"/>
  <c r="R99" i="7"/>
  <c r="N62" i="7"/>
  <c r="N114" i="7" s="1"/>
  <c r="N75" i="7"/>
  <c r="N84" i="7" s="1"/>
  <c r="N86" i="7" s="1"/>
  <c r="N115" i="7" s="1"/>
  <c r="N37" i="7"/>
  <c r="N50" i="7" s="1"/>
  <c r="N52" i="7" s="1"/>
  <c r="N113" i="7" s="1"/>
  <c r="N117" i="7" s="1"/>
  <c r="L104" i="7"/>
  <c r="J100" i="7"/>
  <c r="J99" i="7"/>
  <c r="F101" i="6"/>
  <c r="F106" i="6" s="1"/>
  <c r="F118" i="6" s="1"/>
  <c r="F119" i="6" s="1"/>
  <c r="E17" i="2" s="1"/>
  <c r="G17" i="2" s="1"/>
  <c r="L37" i="6"/>
  <c r="L50" i="6" s="1"/>
  <c r="L52" i="6" s="1"/>
  <c r="L113" i="6" s="1"/>
  <c r="R75" i="6"/>
  <c r="R84" i="6" s="1"/>
  <c r="R86" i="6" s="1"/>
  <c r="R115" i="6" s="1"/>
  <c r="H100" i="6"/>
  <c r="H99" i="6"/>
  <c r="R62" i="6"/>
  <c r="R114" i="6" s="1"/>
  <c r="P30" i="6"/>
  <c r="P33" i="6"/>
  <c r="P69" i="6"/>
  <c r="P49" i="6"/>
  <c r="P35" i="6"/>
  <c r="P57" i="6"/>
  <c r="P72" i="6"/>
  <c r="P59" i="6"/>
  <c r="P71" i="6"/>
  <c r="P31" i="6"/>
  <c r="P56" i="6"/>
  <c r="P29" i="6"/>
  <c r="P74" i="6"/>
  <c r="P60" i="6"/>
  <c r="P32" i="6"/>
  <c r="P36" i="6"/>
  <c r="P70" i="6"/>
  <c r="P61" i="6"/>
  <c r="P34" i="6"/>
  <c r="P73" i="6"/>
  <c r="P58" i="6"/>
  <c r="R37" i="6"/>
  <c r="R50" i="6" s="1"/>
  <c r="R52" i="6" s="1"/>
  <c r="R113" i="6" s="1"/>
  <c r="J104" i="6"/>
  <c r="J105" i="6"/>
  <c r="J103" i="6"/>
  <c r="D105" i="6"/>
  <c r="D104" i="6"/>
  <c r="D102" i="6"/>
  <c r="D104" i="7"/>
  <c r="D105" i="7"/>
  <c r="D102" i="7"/>
  <c r="D101" i="7" s="1"/>
  <c r="D106" i="7" s="1"/>
  <c r="D118" i="7" s="1"/>
  <c r="D119" i="7" s="1"/>
  <c r="E6" i="2" s="1"/>
  <c r="D104" i="8"/>
  <c r="D103" i="8"/>
  <c r="D102" i="8"/>
  <c r="D101" i="22"/>
  <c r="D106" i="22" s="1"/>
  <c r="D118" i="22" s="1"/>
  <c r="D119" i="22" s="1"/>
  <c r="T105" i="22" l="1"/>
  <c r="T104" i="22"/>
  <c r="T101" i="22" s="1"/>
  <c r="T106" i="22" s="1"/>
  <c r="T118" i="22" s="1"/>
  <c r="T119" i="22" s="1"/>
  <c r="E81" i="2" s="1"/>
  <c r="G81" i="2" s="1"/>
  <c r="N99" i="22"/>
  <c r="P117" i="22"/>
  <c r="P100" i="22" s="1"/>
  <c r="L101" i="22"/>
  <c r="L106" i="22" s="1"/>
  <c r="L118" i="22" s="1"/>
  <c r="L119" i="22" s="1"/>
  <c r="E45" i="2" s="1"/>
  <c r="G45" i="2" s="1"/>
  <c r="T117" i="10"/>
  <c r="T100" i="10" s="1"/>
  <c r="P100" i="10"/>
  <c r="P99" i="10"/>
  <c r="P102" i="10"/>
  <c r="R102" i="10"/>
  <c r="R104" i="10"/>
  <c r="R103" i="10"/>
  <c r="N117" i="10"/>
  <c r="T99" i="8"/>
  <c r="T103" i="8" s="1"/>
  <c r="T100" i="7"/>
  <c r="T99" i="7"/>
  <c r="R103" i="7"/>
  <c r="N37" i="6"/>
  <c r="N50" i="6" s="1"/>
  <c r="N52" i="6" s="1"/>
  <c r="N113" i="6" s="1"/>
  <c r="T37" i="6"/>
  <c r="T50" i="6" s="1"/>
  <c r="T52" i="6" s="1"/>
  <c r="T113" i="6" s="1"/>
  <c r="T117" i="6" s="1"/>
  <c r="T99" i="6" s="1"/>
  <c r="N62" i="6"/>
  <c r="N114" i="6" s="1"/>
  <c r="N75" i="6"/>
  <c r="N84" i="6" s="1"/>
  <c r="N86" i="6" s="1"/>
  <c r="N115" i="6" s="1"/>
  <c r="H104" i="6"/>
  <c r="L117" i="6"/>
  <c r="L100" i="6" s="1"/>
  <c r="G22" i="2"/>
  <c r="R101" i="22"/>
  <c r="R106" i="22" s="1"/>
  <c r="R118" i="22" s="1"/>
  <c r="R119" i="22" s="1"/>
  <c r="E69" i="2" s="1"/>
  <c r="G69" i="2" s="1"/>
  <c r="L101" i="8"/>
  <c r="L106" i="8" s="1"/>
  <c r="L118" i="8" s="1"/>
  <c r="L119" i="8" s="1"/>
  <c r="E43" i="2" s="1"/>
  <c r="G43" i="2" s="1"/>
  <c r="L101" i="7"/>
  <c r="L106" i="7" s="1"/>
  <c r="L118" i="7" s="1"/>
  <c r="L119" i="7" s="1"/>
  <c r="E42" i="2" s="1"/>
  <c r="G42" i="2" s="1"/>
  <c r="N104" i="22"/>
  <c r="N102" i="22"/>
  <c r="N102" i="8"/>
  <c r="J101" i="8"/>
  <c r="J106" i="8" s="1"/>
  <c r="J118" i="8" s="1"/>
  <c r="J119" i="8" s="1"/>
  <c r="E31" i="2" s="1"/>
  <c r="G31" i="2" s="1"/>
  <c r="J102" i="7"/>
  <c r="P99" i="22"/>
  <c r="N105" i="22"/>
  <c r="N103" i="22"/>
  <c r="P117" i="8"/>
  <c r="N105" i="8"/>
  <c r="N104" i="8"/>
  <c r="N100" i="7"/>
  <c r="N99" i="7"/>
  <c r="N103" i="7" s="1"/>
  <c r="P100" i="7"/>
  <c r="P99" i="7"/>
  <c r="R104" i="7"/>
  <c r="R102" i="7"/>
  <c r="J105" i="7"/>
  <c r="J104" i="7"/>
  <c r="R105" i="7"/>
  <c r="J103" i="7"/>
  <c r="H103" i="6"/>
  <c r="H102" i="6"/>
  <c r="H105" i="6"/>
  <c r="R117" i="6"/>
  <c r="R99" i="6" s="1"/>
  <c r="P37" i="6"/>
  <c r="P50" i="6" s="1"/>
  <c r="P52" i="6" s="1"/>
  <c r="P113" i="6" s="1"/>
  <c r="P75" i="6"/>
  <c r="P84" i="6" s="1"/>
  <c r="P86" i="6" s="1"/>
  <c r="P115" i="6" s="1"/>
  <c r="P62" i="6"/>
  <c r="P114" i="6" s="1"/>
  <c r="J101" i="6"/>
  <c r="J106" i="6" s="1"/>
  <c r="J118" i="6" s="1"/>
  <c r="J119" i="6" s="1"/>
  <c r="E29" i="2" s="1"/>
  <c r="G29" i="2" s="1"/>
  <c r="D101" i="6"/>
  <c r="D106" i="6" s="1"/>
  <c r="D118" i="6" s="1"/>
  <c r="D119" i="6" s="1"/>
  <c r="D101" i="8"/>
  <c r="D106" i="8" s="1"/>
  <c r="D118" i="8" s="1"/>
  <c r="D119" i="8" s="1"/>
  <c r="E9" i="2"/>
  <c r="G6" i="2"/>
  <c r="T99" i="10" l="1"/>
  <c r="P105" i="22"/>
  <c r="T105" i="10"/>
  <c r="N100" i="10"/>
  <c r="N99" i="10"/>
  <c r="N104" i="10" s="1"/>
  <c r="N103" i="10"/>
  <c r="N105" i="10"/>
  <c r="R101" i="10"/>
  <c r="R106" i="10" s="1"/>
  <c r="R118" i="10" s="1"/>
  <c r="R119" i="10" s="1"/>
  <c r="E68" i="2" s="1"/>
  <c r="G68" i="2" s="1"/>
  <c r="T102" i="10"/>
  <c r="T103" i="10"/>
  <c r="T104" i="10"/>
  <c r="P104" i="10"/>
  <c r="P105" i="10"/>
  <c r="P103" i="10"/>
  <c r="P101" i="10" s="1"/>
  <c r="P106" i="10" s="1"/>
  <c r="P118" i="10" s="1"/>
  <c r="P119" i="10" s="1"/>
  <c r="T105" i="8"/>
  <c r="T104" i="8"/>
  <c r="T102" i="8"/>
  <c r="T105" i="7"/>
  <c r="T102" i="7"/>
  <c r="T103" i="7"/>
  <c r="T104" i="7"/>
  <c r="T100" i="6"/>
  <c r="T104" i="6" s="1"/>
  <c r="N117" i="6"/>
  <c r="L99" i="6"/>
  <c r="L103" i="6" s="1"/>
  <c r="G23" i="2"/>
  <c r="C4" i="23" s="1"/>
  <c r="E4" i="23" s="1"/>
  <c r="G4" i="23" s="1"/>
  <c r="N104" i="7"/>
  <c r="P104" i="7"/>
  <c r="L104" i="6"/>
  <c r="H101" i="6"/>
  <c r="H106" i="6" s="1"/>
  <c r="H118" i="6" s="1"/>
  <c r="H119" i="6" s="1"/>
  <c r="P104" i="22"/>
  <c r="N101" i="22"/>
  <c r="N106" i="22" s="1"/>
  <c r="N118" i="22" s="1"/>
  <c r="N119" i="22" s="1"/>
  <c r="E57" i="2" s="1"/>
  <c r="G57" i="2" s="1"/>
  <c r="N101" i="8"/>
  <c r="N106" i="8" s="1"/>
  <c r="N118" i="8" s="1"/>
  <c r="N119" i="8" s="1"/>
  <c r="E55" i="2" s="1"/>
  <c r="G55" i="2" s="1"/>
  <c r="J101" i="7"/>
  <c r="J106" i="7" s="1"/>
  <c r="J118" i="7" s="1"/>
  <c r="J119" i="7" s="1"/>
  <c r="E30" i="2" s="1"/>
  <c r="G30" i="2" s="1"/>
  <c r="G34" i="2" s="1"/>
  <c r="P102" i="22"/>
  <c r="P103" i="22"/>
  <c r="P100" i="8"/>
  <c r="P99" i="8"/>
  <c r="P102" i="7"/>
  <c r="P105" i="7"/>
  <c r="P103" i="7"/>
  <c r="N102" i="7"/>
  <c r="N105" i="7"/>
  <c r="R101" i="7"/>
  <c r="R106" i="7" s="1"/>
  <c r="R118" i="7" s="1"/>
  <c r="R119" i="7" s="1"/>
  <c r="E66" i="2" s="1"/>
  <c r="G66" i="2" s="1"/>
  <c r="L102" i="6"/>
  <c r="L105" i="6"/>
  <c r="E5" i="2"/>
  <c r="G5" i="2" s="1"/>
  <c r="P117" i="6"/>
  <c r="P100" i="6" s="1"/>
  <c r="R100" i="6"/>
  <c r="R103" i="6" s="1"/>
  <c r="E7" i="2"/>
  <c r="G7" i="2" s="1"/>
  <c r="G9" i="2"/>
  <c r="D18" i="10"/>
  <c r="D8" i="2" s="1"/>
  <c r="C42" i="10"/>
  <c r="D42" i="10" s="1"/>
  <c r="C43" i="10"/>
  <c r="D43" i="10" s="1"/>
  <c r="T101" i="10" l="1"/>
  <c r="T106" i="10" s="1"/>
  <c r="T118" i="10" s="1"/>
  <c r="T119" i="10" s="1"/>
  <c r="E80" i="2" s="1"/>
  <c r="G80" i="2" s="1"/>
  <c r="N102" i="10"/>
  <c r="N101" i="10" s="1"/>
  <c r="N106" i="10" s="1"/>
  <c r="N118" i="10" s="1"/>
  <c r="N119" i="10" s="1"/>
  <c r="E56" i="2" s="1"/>
  <c r="G56" i="2" s="1"/>
  <c r="T101" i="8"/>
  <c r="T106" i="8" s="1"/>
  <c r="T118" i="8" s="1"/>
  <c r="T119" i="8" s="1"/>
  <c r="E79" i="2" s="1"/>
  <c r="G79" i="2" s="1"/>
  <c r="T101" i="7"/>
  <c r="T106" i="7" s="1"/>
  <c r="T118" i="7" s="1"/>
  <c r="T119" i="7" s="1"/>
  <c r="E78" i="2" s="1"/>
  <c r="G78" i="2" s="1"/>
  <c r="T105" i="6"/>
  <c r="T102" i="6"/>
  <c r="T103" i="6"/>
  <c r="N99" i="6"/>
  <c r="N100" i="6"/>
  <c r="N4" i="23"/>
  <c r="H4" i="23"/>
  <c r="N5" i="23"/>
  <c r="N6" i="23"/>
  <c r="L2" i="23"/>
  <c r="N3" i="23"/>
  <c r="N2" i="23"/>
  <c r="G35" i="2"/>
  <c r="C5" i="23" s="1"/>
  <c r="E5" i="23" s="1"/>
  <c r="L101" i="6"/>
  <c r="L106" i="6" s="1"/>
  <c r="L118" i="6" s="1"/>
  <c r="L119" i="6" s="1"/>
  <c r="E41" i="2" s="1"/>
  <c r="G41" i="2" s="1"/>
  <c r="G46" i="2" s="1"/>
  <c r="P104" i="8"/>
  <c r="N101" i="7"/>
  <c r="N106" i="7" s="1"/>
  <c r="N118" i="7" s="1"/>
  <c r="N119" i="7" s="1"/>
  <c r="E54" i="2" s="1"/>
  <c r="G54" i="2" s="1"/>
  <c r="P101" i="7"/>
  <c r="P106" i="7" s="1"/>
  <c r="P118" i="7" s="1"/>
  <c r="P119" i="7" s="1"/>
  <c r="P101" i="22"/>
  <c r="P106" i="22" s="1"/>
  <c r="P118" i="22" s="1"/>
  <c r="P119" i="22" s="1"/>
  <c r="P102" i="8"/>
  <c r="P105" i="8"/>
  <c r="P103" i="8"/>
  <c r="P99" i="6"/>
  <c r="P105" i="6" s="1"/>
  <c r="R104" i="6"/>
  <c r="R102" i="6"/>
  <c r="R105" i="6"/>
  <c r="D112" i="10"/>
  <c r="D24" i="10"/>
  <c r="D23" i="10"/>
  <c r="D41" i="10"/>
  <c r="D45" i="10" s="1"/>
  <c r="D51" i="10" s="1"/>
  <c r="T101" i="6" l="1"/>
  <c r="T106" i="6" s="1"/>
  <c r="T118" i="6" s="1"/>
  <c r="T119" i="6" s="1"/>
  <c r="E77" i="2" s="1"/>
  <c r="G77" i="2" s="1"/>
  <c r="G82" i="2" s="1"/>
  <c r="G83" i="2" s="1"/>
  <c r="N105" i="6"/>
  <c r="N102" i="6"/>
  <c r="N101" i="6" s="1"/>
  <c r="N106" i="6" s="1"/>
  <c r="N118" i="6" s="1"/>
  <c r="N119" i="6" s="1"/>
  <c r="E53" i="2" s="1"/>
  <c r="G53" i="2" s="1"/>
  <c r="G58" i="2" s="1"/>
  <c r="N103" i="6"/>
  <c r="N104" i="6"/>
  <c r="F4" i="23"/>
  <c r="G5" i="23" s="1"/>
  <c r="G47" i="2"/>
  <c r="C6" i="23" s="1"/>
  <c r="E6" i="23" s="1"/>
  <c r="P101" i="8"/>
  <c r="P106" i="8" s="1"/>
  <c r="P118" i="8" s="1"/>
  <c r="P119" i="8" s="1"/>
  <c r="P104" i="6"/>
  <c r="P102" i="6"/>
  <c r="P103" i="6"/>
  <c r="R101" i="6"/>
  <c r="R106" i="6" s="1"/>
  <c r="R118" i="6" s="1"/>
  <c r="R119" i="6" s="1"/>
  <c r="E65" i="2" s="1"/>
  <c r="G65" i="2" s="1"/>
  <c r="G70" i="2" s="1"/>
  <c r="D25" i="10"/>
  <c r="D74" i="10" s="1"/>
  <c r="N10" i="23" l="1"/>
  <c r="N8" i="23"/>
  <c r="N11" i="23"/>
  <c r="N7" i="23"/>
  <c r="H5" i="23"/>
  <c r="N9" i="23"/>
  <c r="C8" i="23"/>
  <c r="E8" i="23" s="1"/>
  <c r="G59" i="2"/>
  <c r="C7" i="23" s="1"/>
  <c r="E7" i="23" s="1"/>
  <c r="P101" i="6"/>
  <c r="P106" i="6" s="1"/>
  <c r="P118" i="6" s="1"/>
  <c r="P119" i="6" s="1"/>
  <c r="D31" i="10"/>
  <c r="D29" i="10"/>
  <c r="D70" i="10"/>
  <c r="D32" i="10"/>
  <c r="D49" i="10"/>
  <c r="D72" i="10"/>
  <c r="D59" i="10"/>
  <c r="D57" i="10"/>
  <c r="D61" i="10"/>
  <c r="D36" i="10"/>
  <c r="D30" i="10"/>
  <c r="D69" i="10"/>
  <c r="D58" i="10"/>
  <c r="D71" i="10"/>
  <c r="D60" i="10"/>
  <c r="D35" i="10"/>
  <c r="D33" i="10"/>
  <c r="D34" i="10"/>
  <c r="D73" i="10"/>
  <c r="D56" i="10"/>
  <c r="F5" i="23" l="1"/>
  <c r="G6" i="23" s="1"/>
  <c r="N12" i="23" s="1"/>
  <c r="F6" i="23" s="1"/>
  <c r="H6" i="23"/>
  <c r="D62" i="10"/>
  <c r="D114" i="10" s="1"/>
  <c r="D75" i="10"/>
  <c r="D84" i="10" s="1"/>
  <c r="D86" i="10" s="1"/>
  <c r="D115" i="10" s="1"/>
  <c r="D37" i="10"/>
  <c r="D50" i="10" s="1"/>
  <c r="D52" i="10" s="1"/>
  <c r="D113" i="10" s="1"/>
  <c r="D117" i="10" l="1"/>
  <c r="D100" i="10" s="1"/>
  <c r="D99" i="10"/>
  <c r="D102" i="10" s="1"/>
  <c r="D104" i="10" l="1"/>
  <c r="D103" i="10"/>
  <c r="D105" i="10"/>
  <c r="D101" i="10" l="1"/>
  <c r="D106" i="10" s="1"/>
  <c r="D118" i="10" s="1"/>
  <c r="D119" i="10" s="1"/>
  <c r="E8" i="2" s="1"/>
  <c r="G8" i="2" s="1"/>
  <c r="G10" i="2" s="1"/>
  <c r="G11" i="2" s="1"/>
  <c r="C3" i="23" s="1"/>
  <c r="E3" i="23" s="1"/>
  <c r="G7" i="23"/>
  <c r="P2" i="23" l="1"/>
  <c r="N13" i="23"/>
  <c r="H7" i="23"/>
  <c r="P3" i="23"/>
  <c r="F7" i="23" l="1"/>
  <c r="G8" i="23" s="1"/>
  <c r="H8" i="23" l="1"/>
  <c r="P6" i="23"/>
  <c r="P8" i="23"/>
  <c r="P12" i="23"/>
  <c r="P7" i="23"/>
  <c r="P9" i="23"/>
  <c r="P10" i="23"/>
  <c r="P11" i="23"/>
  <c r="P13" i="23"/>
  <c r="P4" i="23"/>
  <c r="R6" i="23"/>
  <c r="R5" i="23"/>
  <c r="R4" i="23"/>
  <c r="R3" i="23"/>
  <c r="R2" i="23"/>
  <c r="P5" i="23"/>
  <c r="I8" i="23" l="1"/>
  <c r="F8" i="23"/>
</calcChain>
</file>

<file path=xl/sharedStrings.xml><?xml version="1.0" encoding="utf-8"?>
<sst xmlns="http://schemas.openxmlformats.org/spreadsheetml/2006/main" count="2273" uniqueCount="200">
  <si>
    <t>QUADRO-RESUMO DO VALOR MENSAL DOS SERVIÇOS</t>
  </si>
  <si>
    <t>Planilha de Formação de Preços - Contrato</t>
  </si>
  <si>
    <t>Tipo de Serviço</t>
  </si>
  <si>
    <t>CBO</t>
  </si>
  <si>
    <t>Salário</t>
  </si>
  <si>
    <t>Valor Proposto por Empregado </t>
  </si>
  <si>
    <t>Qtde. de Empregados por Posto</t>
  </si>
  <si>
    <t>Valor Total do Serviço</t>
  </si>
  <si>
    <t>(A)</t>
  </si>
  <si>
    <t>(B)</t>
  </si>
  <si>
    <t>(C) = (A x B)</t>
  </si>
  <si>
    <t>Serviço de supervisão das equipes de atendimento remoto e presencial - Responsável Técnico) (item 1)</t>
  </si>
  <si>
    <t>1425-30</t>
  </si>
  <si>
    <t>Gestão de incidentes, requisições de serviço e documentação técnica (item 2)</t>
  </si>
  <si>
    <t>3172-10</t>
  </si>
  <si>
    <t>Atendimento Remoto (Item 3)</t>
  </si>
  <si>
    <t>3132-20</t>
  </si>
  <si>
    <t>Atendimento Presencial (Item 4)</t>
  </si>
  <si>
    <t>Sustentação da Central de Serviços (Item 5)</t>
  </si>
  <si>
    <t>Valor Mensal do Contrato</t>
  </si>
  <si>
    <t>Valor Total do Contrato (30 meses)</t>
  </si>
  <si>
    <t>Planilha de Formação de Preços - I TA - Repactuação - a partir de 22/11/2021 - reajuste salarial e da assistência médico-hospitalar de 6,76%; e reajuste do auxílio-alimentação.</t>
  </si>
  <si>
    <t>Planilha de Formação de Preços - I TA - Repactuação - a partir de 01/05/2022 - reajuste do auxílio-alimentação.</t>
  </si>
  <si>
    <t>Planilha de Formação de Preços - I TA - Repactuação - a partir de 01/11/2022 - reajuste salarial e da assistência médico-hospitalar de 9,7%.</t>
  </si>
  <si>
    <t>Planilha de Formação de Preços - I TA - Repactuação - a partir de 22/11/2022 - redução da alíquota do aviso prévio trabalhado.</t>
  </si>
  <si>
    <t>Planilha de Formação de Preços - I TA - Repactuação - a partir de 01/02/2023 - reajuste salarial e da assistência médico-hospitalar de 12,13%.</t>
  </si>
  <si>
    <t>Planilha de Formação de Preços - I TA - Repactuação - a partir de 01/05/2023 - reajuste salarial e da assistência médico-hospitalar de 4,18%.</t>
  </si>
  <si>
    <t>Planilha de Formação de Preços - I TA - Prorrogação - a partir de 07/06/2024</t>
  </si>
  <si>
    <t>Demonstrativo proporcional - I TA</t>
  </si>
  <si>
    <t>Data-base</t>
  </si>
  <si>
    <t>Valor</t>
  </si>
  <si>
    <t>Garantia</t>
  </si>
  <si>
    <t>Total</t>
  </si>
  <si>
    <t>Executado</t>
  </si>
  <si>
    <t>Diferença</t>
  </si>
  <si>
    <t>Valor mensal</t>
  </si>
  <si>
    <t>Complemento</t>
  </si>
  <si>
    <t>Contrato</t>
  </si>
  <si>
    <t>-</t>
  </si>
  <si>
    <t>I TA</t>
  </si>
  <si>
    <t>A garantia é feita para cobrir toda a vigência do instrumento, que tem 30 meses. Dessa forma, pega-se o valor total da garantia e o divide por 30.
Cada mês possui um valor proporcional dessa garantia. Assim, à medida em que ocorrem os fatos geradores que alteram o valor contratual, faz-se ncessásio alterar a garantia, tirando do cálculo a garantia que "já foi executada".
Então, conforme se observa na célula L2, pegou-se o valor total da garantia e dividiu-se por 30, para obter o valor referente ao período de 22/11/2021 a 22/12/2021.
O fato gerador seguinte (alteração do valor do auxílio-alimentação) ocorrido em 1/55/2022, alterou o valor total do contrato, alterando portanto o valor da garantia. Dessa forma, calculou-se o valor da garantia devida e dividiu-se pelos 24 meses restantes do contrato, obtendo-se o valor constante da célula N7.
O procedimento foi repetido e a cada fato gerador, obteve-se um novo valor para a garantia contratual.
Ao final, somou-se todos os 30 valores e a diferença dessa soma, subtraiu-se o valor anteriormente coletado para a garantia, obtendo o valor complementar indicado na célula I8.</t>
  </si>
  <si>
    <t>garantia 5%</t>
  </si>
  <si>
    <t>garantia ctr</t>
  </si>
  <si>
    <t>garantia I TA</t>
  </si>
  <si>
    <t>garantia complementar</t>
  </si>
  <si>
    <t>PLANILHA DE CUSTOS E FORMAÇÃO DE PREÇOS - CONTRATO</t>
  </si>
  <si>
    <t>I T.A.</t>
  </si>
  <si>
    <t>Dados para composição dos custos referentes a mão de obra</t>
  </si>
  <si>
    <t>Tipo de Serviço (mesmo serviço com características distintas)</t>
  </si>
  <si>
    <t>Serviço de supervisão das equipes de atendimento remoto e presencial (Responsável Técnico)</t>
  </si>
  <si>
    <t>Classificação Brasileira de Ocupações (CBO)</t>
  </si>
  <si>
    <t>Salário da Categoria Profissional</t>
  </si>
  <si>
    <t>Sindicato da Categoria Profissional (vinculada à execução contratual)</t>
  </si>
  <si>
    <t>SINDPD-DF e SINDESEI-DF</t>
  </si>
  <si>
    <t>Data-Base da Categoria (dia/mês/ano)</t>
  </si>
  <si>
    <t>Nº da Convenção Coletiva de trabalho (CCT)</t>
  </si>
  <si>
    <t>DF000608/2021</t>
  </si>
  <si>
    <t>DF000660/2022</t>
  </si>
  <si>
    <t>DF000552/2023</t>
  </si>
  <si>
    <t>a partir de 22/11/2021 - reajuste salarial de 6,76% sobre D12;  reajuste do auxílio-alimentação; e da assistência médico-hospitalar de 6,76%</t>
  </si>
  <si>
    <t>a partir de 01/01/2022 - alteração do FAP</t>
  </si>
  <si>
    <t>a partir de 01/05/2022 - reajuste do auxílio-alimentação.</t>
  </si>
  <si>
    <t>a partir de 01/11/2022 - reajuste salarial de 9,7% sobre J12; e da assistência médico-hospitalar de 9,7%</t>
  </si>
  <si>
    <t>a partir de 22/11/2022 - redução da alíquota do aviso prévio trabalhado; reajuste de 7,800890% nos valores dos uniformes</t>
  </si>
  <si>
    <t>a partir de 01/01/2023 - alteração do FAP.</t>
  </si>
  <si>
    <t>a partir de 01/02/2023 - reajuste salarial de 12,13% sobre J12; e da assistência médico-hospitalar de 12,13% sobre J43.</t>
  </si>
  <si>
    <t>a partir de 01/05/2023 - reajuste salarial de 4,18% sobre R12; e da assistência médico-hospitalar de 4,18% sobre J43.</t>
  </si>
  <si>
    <t>Módulo 1 - Composição da Remuneração</t>
  </si>
  <si>
    <t>Composição da Remuneração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</si>
  <si>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</si>
  <si>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</si>
  <si>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</si>
  <si>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</si>
  <si>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</si>
  <si>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</si>
  <si>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</si>
  <si>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</si>
  <si>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</si>
  <si>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</si>
  <si>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F</t>
  </si>
  <si>
    <t>Outros (especificar)</t>
  </si>
  <si>
    <t>Módulo 2 - Encargos e Benefícios Anuais, Mensais e Diários</t>
  </si>
  <si>
    <t> Submódulo 2.1 - 13º (décimo terceiro) Salário, Férias e Adicional de Férias</t>
  </si>
  <si>
    <t>2.1</t>
  </si>
  <si>
    <t>13º (décimo terceiro) Salário, Férias e Adicional de Férias</t>
  </si>
  <si>
    <t>Percentual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</si>
  <si>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</si>
  <si>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</si>
  <si>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</si>
  <si>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</si>
  <si>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</si>
  <si>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INSS</t>
  </si>
  <si>
    <t>Salário Educação</t>
  </si>
  <si>
    <t>RAT Ajustado (RAT x FAP) - (2 x 0,5)</t>
  </si>
  <si>
    <t>SESC ou SESI</t>
  </si>
  <si>
    <t>SENAI - SENAC</t>
  </si>
  <si>
    <t>SEBRAE</t>
  </si>
  <si>
    <t>G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</si>
  <si>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</si>
  <si>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</si>
  <si>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</si>
  <si>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</si>
  <si>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</si>
  <si>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</si>
  <si>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Transporte (2 x 2,80 + 2 x 5,50 = 16,60 por dia) - 22 dias úteis</t>
  </si>
  <si>
    <t>Auxílio-Refeição/Alimentação (R$ 33,51) por dia com desconto de 10% = R$ 30,16 ) - 22 dias úteis</t>
  </si>
  <si>
    <t>Assistência Médica e Familiar (R$ 254,95 por mês com desconto de 50%: R$ 127,47)</t>
  </si>
  <si>
    <t>Assistência Odontológica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</si>
  <si>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</si>
  <si>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</si>
  <si>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</si>
  <si>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</si>
  <si>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</si>
  <si>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</si>
  <si>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</si>
  <si>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</si>
  <si>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</si>
  <si>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 xml:space="preserve">Multa do FGTS </t>
  </si>
  <si>
    <t>Módulo 4 - Custo de Reposição do Profissional Ausente</t>
  </si>
  <si>
    <t>Nota 1: Os itens que contemplam o módulo 4 se referem ao custo dos dias trabalhados pelo repositor/substituto, quando o empregado alocado na prestação de serviço estiver ausente, conforme as previsões estabelecidas na legislação.</t>
  </si>
  <si>
    <t>Submódulo 4.1 - Substituto nas Ausências Legais</t>
  </si>
  <si>
    <t>4.1</t>
  </si>
  <si>
    <t>Substituto nas 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</si>
  <si>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</si>
  <si>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</si>
  <si>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</si>
  <si>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</si>
  <si>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</si>
  <si>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</si>
  <si>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4.2 - Substituto na Intrajornada</t>
  </si>
  <si>
    <t>4.2</t>
  </si>
  <si>
    <t>Substituto na Intrajornada </t>
  </si>
  <si>
    <t>Substituto na cobertura de Intervalo para repouso ou alimentação</t>
  </si>
  <si>
    <t>Quadro-Resumo do Módulo 4 - Custo de Reposição do Profissional Ausente</t>
  </si>
  <si>
    <t>Custo de Reposição do Profissional Ausente</t>
  </si>
  <si>
    <t>Substituto na Intrajornada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</si>
  <si>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</si>
  <si>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</si>
  <si>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</si>
  <si>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</si>
  <si>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</si>
  <si>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</si>
  <si>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Regime de tributação:</t>
  </si>
  <si>
    <t>Lucro Real</t>
  </si>
  <si>
    <t>Custos Indiretos, Tributos e Lucro</t>
  </si>
  <si>
    <t>Custos Indiretos</t>
  </si>
  <si>
    <t>Lucro</t>
  </si>
  <si>
    <t>Tributos (C.1 + C.2 + C.3)</t>
  </si>
  <si>
    <t xml:space="preserve">C.1. </t>
  </si>
  <si>
    <t>Tributos Federais (PIS)</t>
  </si>
  <si>
    <t>C.2.</t>
  </si>
  <si>
    <t>Tributos Federais (COFINS)</t>
  </si>
  <si>
    <t>C.3.</t>
  </si>
  <si>
    <t>Tributos Estaduais/Municipais (ISS)</t>
  </si>
  <si>
    <t>Contribuição Previdenciária sobre a Receita Bruta - CPRB</t>
  </si>
  <si>
    <t>Nota 1: Custos Indiretos, Tributos e Lucro por empregado.</t>
  </si>
  <si>
    <t>Nota 2: A empresa que indicar "desoneração" do Submódulo 2.2 deverá incluir uma rubrica para tributação da Contribuição Previdenciária sobre a Receita Bruta - CPRB.</t>
  </si>
  <si>
    <t>QUADRO-RESUMO DO CUSTO POR EMPREGADO</t>
  </si>
  <si>
    <t>Mão de obra vinculada à execução contratual (valor por empregado)</t>
  </si>
  <si>
    <t>Subtotal (A + B +C+ D+E)</t>
  </si>
  <si>
    <t>Valor Total por Empregado</t>
  </si>
  <si>
    <t>PLANILHA DE CUSTOS E FORMAÇÃO DE PREÇOS</t>
  </si>
  <si>
    <t>SINDPD-DF</t>
  </si>
  <si>
    <t>DF000616/2020</t>
  </si>
  <si>
    <t>a partir de 01/02/2023 - reajuste salarial de 12,13% sobre D12; e da assistência médico-hospitalar de 12,13%</t>
  </si>
  <si>
    <t>a partir de 01/05/2023 - reajuste salarial de 4,18% sobre D12; e da assistência médico-hospitalar de 4,18%</t>
  </si>
  <si>
    <t>RAT Ajustado (RAT x FAP)</t>
  </si>
  <si>
    <t>Auxílio-Refeição/Alimentação (R$ 33,51) por dia com desconto de 7,5% = R$ 31 ) - 22 dias úteis</t>
  </si>
  <si>
    <t>Multa do FGTS</t>
  </si>
  <si>
    <t>Auxílio-Refeição/Alimentação (R$ 33,51) por dia com desconto de 5% = R$ 31,83 ) - 22 dias úteis</t>
  </si>
  <si>
    <t>Assistência Médica e Familiar</t>
  </si>
  <si>
    <t>Valor (R$)</t>
  </si>
  <si>
    <t>Percentual (%)</t>
  </si>
  <si>
    <t>Auxílio-Refeição/Alimentação (R$33,51 por dia com desconto de 5%: R$ 31,83) - 22 dias úteis</t>
  </si>
  <si>
    <t>Valor(R$)</t>
  </si>
  <si>
    <t>Sustentação Central de Serviços (Item 5)</t>
  </si>
  <si>
    <t>DF000556/2023</t>
  </si>
  <si>
    <t>Porcentagem</t>
  </si>
  <si>
    <t>Auxílio-Refeição/Alimentação (R$33,51 por dia com desconto de 7,5%: R$ 31,00 ) - 22 dias úteis</t>
  </si>
  <si>
    <t>PLANILHA DE CÁLCULO UNIFORMES - Contrato</t>
  </si>
  <si>
    <t>MÓDULO 5 - UNIFORMES ( quantidade para 30 meses)</t>
  </si>
  <si>
    <t>Serviços</t>
  </si>
  <si>
    <t xml:space="preserve">Serviço de Supervisão das Equipes de Atendimento Remoto e Presencial (Responsável Técnico) 
Serviço de Atendimento Presencial </t>
  </si>
  <si>
    <t xml:space="preserve">Serviço de Gestão de incidentes, Requisições de Serviço e Documentação Técnica, Serviço de Sustentação da Central de Serviços, Serviço de Atendimento Remoto </t>
  </si>
  <si>
    <t>UNIFORME</t>
  </si>
  <si>
    <t xml:space="preserve"> MASCULINO/FEMININO</t>
  </si>
  <si>
    <t>MASCULINO/FEMININO</t>
  </si>
  <si>
    <t>Peça</t>
  </si>
  <si>
    <t>Qtd</t>
  </si>
  <si>
    <t>Unitário</t>
  </si>
  <si>
    <t>Paletó e calça social pretos para profissional do sexo
masculino ou blazer e calça social para profissional do sexo feminino</t>
  </si>
  <si>
    <t>Camisa estilo social, manga comprida, na cor branca</t>
  </si>
  <si>
    <t xml:space="preserve">Gravata social, vertical na cor preta, ou lenço feminino para uso no pescoço em tom cinza </t>
  </si>
  <si>
    <t>Sapatos tipo social, de couro, na cor preta, modelo masculino ou feminino</t>
  </si>
  <si>
    <t>calça social masculina ou feminina, na cor preta</t>
  </si>
  <si>
    <t>meias masculina na cor preta</t>
  </si>
  <si>
    <t>cinto masculino ou feminino</t>
  </si>
  <si>
    <t>TOTAL</t>
  </si>
  <si>
    <t>VALOR MENSAL POR PROFISSIONAL</t>
  </si>
  <si>
    <t>PLANILHA DE CÁLCULO UNIFORMES - I TA (reajuste IPCA de 7,800890%)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</si>
</sst>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\ #,##0.00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0" fontId="4" fillId="0" borderId="1" xfId="3" applyNumberFormat="1" applyFont="1" applyFill="1" applyBorder="1" applyAlignment="1">
      <alignment vertical="center"/>
    </xf>
    <xf numFmtId="164" fontId="4" fillId="0" borderId="1" xfId="2" applyFont="1" applyFill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43" fontId="4" fillId="0" borderId="1" xfId="1" applyFont="1" applyFill="1" applyBorder="1" applyAlignment="1">
      <alignment vertical="center"/>
    </xf>
    <xf numFmtId="10" fontId="4" fillId="0" borderId="1" xfId="3" applyNumberFormat="1" applyFont="1" applyFill="1" applyBorder="1" applyAlignment="1">
      <alignment horizontal="center" vertical="center"/>
    </xf>
    <xf numFmtId="164" fontId="5" fillId="0" borderId="1" xfId="2" applyFont="1" applyFill="1" applyBorder="1" applyAlignment="1">
      <alignment vertical="center"/>
    </xf>
    <xf numFmtId="10" fontId="4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64" fontId="4" fillId="5" borderId="1" xfId="2" applyFont="1" applyFill="1" applyBorder="1" applyAlignment="1">
      <alignment horizontal="center" vertical="center"/>
    </xf>
    <xf numFmtId="164" fontId="4" fillId="5" borderId="1" xfId="2" applyFont="1" applyFill="1" applyBorder="1" applyAlignment="1">
      <alignment vertical="center"/>
    </xf>
    <xf numFmtId="43" fontId="4" fillId="5" borderId="1" xfId="1" applyFont="1" applyFill="1" applyBorder="1" applyAlignment="1">
      <alignment vertical="center"/>
    </xf>
    <xf numFmtId="164" fontId="5" fillId="5" borderId="1" xfId="2" applyFont="1" applyFill="1" applyBorder="1" applyAlignment="1">
      <alignment vertical="center"/>
    </xf>
    <xf numFmtId="10" fontId="4" fillId="5" borderId="1" xfId="0" applyNumberFormat="1" applyFont="1" applyFill="1" applyBorder="1" applyAlignment="1">
      <alignment horizontal="center" vertical="center"/>
    </xf>
    <xf numFmtId="10" fontId="5" fillId="5" borderId="1" xfId="3" applyNumberFormat="1" applyFont="1" applyFill="1" applyBorder="1" applyAlignment="1">
      <alignment horizontal="center" vertical="center"/>
    </xf>
    <xf numFmtId="10" fontId="5" fillId="5" borderId="1" xfId="0" applyNumberFormat="1" applyFont="1" applyFill="1" applyBorder="1" applyAlignment="1">
      <alignment vertical="center"/>
    </xf>
    <xf numFmtId="10" fontId="5" fillId="5" borderId="1" xfId="3" applyNumberFormat="1" applyFont="1" applyFill="1" applyBorder="1" applyAlignment="1">
      <alignment vertical="center"/>
    </xf>
    <xf numFmtId="164" fontId="5" fillId="5" borderId="1" xfId="2" applyFont="1" applyFill="1" applyBorder="1" applyAlignment="1">
      <alignment horizontal="center" vertical="center"/>
    </xf>
    <xf numFmtId="10" fontId="5" fillId="5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12" xfId="2" applyFont="1" applyBorder="1" applyAlignment="1">
      <alignment vertical="center" wrapText="1"/>
    </xf>
    <xf numFmtId="164" fontId="2" fillId="5" borderId="12" xfId="2" applyFont="1" applyFill="1" applyBorder="1" applyAlignment="1">
      <alignment vertical="center" wrapText="1"/>
    </xf>
    <xf numFmtId="164" fontId="2" fillId="5" borderId="15" xfId="2" applyFont="1" applyFill="1" applyBorder="1" applyAlignment="1">
      <alignment vertical="center" wrapText="1"/>
    </xf>
    <xf numFmtId="0" fontId="7" fillId="6" borderId="11" xfId="0" applyFont="1" applyFill="1" applyBorder="1" applyAlignment="1">
      <alignment horizontal="center" vertical="center" wrapText="1"/>
    </xf>
    <xf numFmtId="10" fontId="4" fillId="0" borderId="3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164" fontId="4" fillId="0" borderId="12" xfId="2" applyFont="1" applyFill="1" applyBorder="1" applyAlignment="1">
      <alignment vertical="center"/>
    </xf>
    <xf numFmtId="164" fontId="4" fillId="5" borderId="12" xfId="2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43" fontId="4" fillId="0" borderId="12" xfId="1" applyFont="1" applyFill="1" applyBorder="1" applyAlignment="1">
      <alignment vertical="center"/>
    </xf>
    <xf numFmtId="10" fontId="4" fillId="0" borderId="11" xfId="3" applyNumberFormat="1" applyFont="1" applyFill="1" applyBorder="1" applyAlignment="1">
      <alignment vertical="center"/>
    </xf>
    <xf numFmtId="10" fontId="5" fillId="5" borderId="11" xfId="3" applyNumberFormat="1" applyFont="1" applyFill="1" applyBorder="1" applyAlignment="1">
      <alignment vertical="center"/>
    </xf>
    <xf numFmtId="10" fontId="4" fillId="0" borderId="11" xfId="0" applyNumberFormat="1" applyFont="1" applyBorder="1" applyAlignment="1">
      <alignment vertical="center"/>
    </xf>
    <xf numFmtId="10" fontId="5" fillId="5" borderId="1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10" fontId="4" fillId="0" borderId="11" xfId="3" applyNumberFormat="1" applyFont="1" applyFill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10" fontId="5" fillId="5" borderId="11" xfId="3" applyNumberFormat="1" applyFont="1" applyFill="1" applyBorder="1" applyAlignment="1">
      <alignment horizontal="center" vertical="center"/>
    </xf>
    <xf numFmtId="43" fontId="4" fillId="0" borderId="11" xfId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10" fontId="4" fillId="5" borderId="11" xfId="0" applyNumberFormat="1" applyFont="1" applyFill="1" applyBorder="1" applyAlignment="1">
      <alignment horizontal="center" vertical="center"/>
    </xf>
    <xf numFmtId="10" fontId="5" fillId="5" borderId="11" xfId="0" applyNumberFormat="1" applyFont="1" applyFill="1" applyBorder="1" applyAlignment="1">
      <alignment horizontal="center" vertical="center"/>
    </xf>
    <xf numFmtId="164" fontId="4" fillId="5" borderId="2" xfId="2" applyFont="1" applyFill="1" applyBorder="1" applyAlignment="1">
      <alignment horizontal="center" vertical="center"/>
    </xf>
    <xf numFmtId="164" fontId="4" fillId="0" borderId="2" xfId="2" applyFont="1" applyFill="1" applyBorder="1" applyAlignment="1">
      <alignment vertical="center"/>
    </xf>
    <xf numFmtId="164" fontId="5" fillId="5" borderId="2" xfId="2" applyFont="1" applyFill="1" applyBorder="1" applyAlignment="1">
      <alignment vertical="center"/>
    </xf>
    <xf numFmtId="43" fontId="4" fillId="5" borderId="2" xfId="1" applyFont="1" applyFill="1" applyBorder="1" applyAlignment="1">
      <alignment vertical="center"/>
    </xf>
    <xf numFmtId="164" fontId="4" fillId="5" borderId="2" xfId="2" applyFont="1" applyFill="1" applyBorder="1" applyAlignment="1">
      <alignment vertical="center"/>
    </xf>
    <xf numFmtId="43" fontId="4" fillId="0" borderId="2" xfId="1" applyFont="1" applyFill="1" applyBorder="1" applyAlignment="1">
      <alignment vertical="center"/>
    </xf>
    <xf numFmtId="164" fontId="5" fillId="5" borderId="23" xfId="2" applyFont="1" applyFill="1" applyBorder="1" applyAlignment="1">
      <alignment vertical="center"/>
    </xf>
    <xf numFmtId="4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4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5" fillId="5" borderId="14" xfId="2" applyFont="1" applyFill="1" applyBorder="1" applyAlignment="1">
      <alignment vertical="center"/>
    </xf>
    <xf numFmtId="165" fontId="4" fillId="5" borderId="2" xfId="2" applyNumberFormat="1" applyFont="1" applyFill="1" applyBorder="1" applyAlignment="1">
      <alignment horizontal="center" vertical="center"/>
    </xf>
    <xf numFmtId="165" fontId="5" fillId="5" borderId="2" xfId="2" applyNumberFormat="1" applyFont="1" applyFill="1" applyBorder="1" applyAlignment="1">
      <alignment horizontal="center" vertical="center"/>
    </xf>
    <xf numFmtId="165" fontId="4" fillId="5" borderId="1" xfId="2" applyNumberFormat="1" applyFont="1" applyFill="1" applyBorder="1" applyAlignment="1">
      <alignment horizontal="center" vertical="center"/>
    </xf>
    <xf numFmtId="165" fontId="5" fillId="5" borderId="1" xfId="2" applyNumberFormat="1" applyFont="1" applyFill="1" applyBorder="1" applyAlignment="1">
      <alignment horizontal="center" vertical="center"/>
    </xf>
    <xf numFmtId="165" fontId="4" fillId="5" borderId="12" xfId="2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64" fontId="4" fillId="0" borderId="1" xfId="2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165" fontId="8" fillId="5" borderId="12" xfId="0" applyNumberFormat="1" applyFont="1" applyFill="1" applyBorder="1" applyAlignment="1">
      <alignment horizontal="center" vertical="center" wrapText="1"/>
    </xf>
    <xf numFmtId="44" fontId="8" fillId="4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4" fontId="8" fillId="6" borderId="1" xfId="0" applyNumberFormat="1" applyFont="1" applyFill="1" applyBorder="1" applyAlignment="1">
      <alignment horizontal="center" vertical="center" wrapText="1"/>
    </xf>
    <xf numFmtId="44" fontId="8" fillId="5" borderId="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44" fontId="8" fillId="0" borderId="1" xfId="0" applyNumberFormat="1" applyFont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165" fontId="8" fillId="0" borderId="12" xfId="0" applyNumberFormat="1" applyFont="1" applyBorder="1" applyAlignment="1">
      <alignment vertical="center" wrapText="1"/>
    </xf>
    <xf numFmtId="0" fontId="6" fillId="5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44" fontId="8" fillId="0" borderId="14" xfId="0" applyNumberFormat="1" applyFont="1" applyBorder="1" applyAlignment="1">
      <alignment vertical="center" wrapText="1"/>
    </xf>
    <xf numFmtId="0" fontId="8" fillId="6" borderId="14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165" fontId="8" fillId="0" borderId="15" xfId="0" applyNumberFormat="1" applyFont="1" applyBorder="1" applyAlignment="1">
      <alignment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65" fontId="2" fillId="3" borderId="20" xfId="0" applyNumberFormat="1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0" fillId="9" borderId="1" xfId="0" applyNumberFormat="1" applyFill="1" applyBorder="1" applyAlignment="1">
      <alignment horizontal="center" vertical="center"/>
    </xf>
    <xf numFmtId="165" fontId="0" fillId="10" borderId="1" xfId="0" applyNumberForma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165" fontId="0" fillId="10" borderId="12" xfId="0" applyNumberFormat="1" applyFill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65" fontId="0" fillId="9" borderId="14" xfId="0" applyNumberFormat="1" applyFill="1" applyBorder="1" applyAlignment="1">
      <alignment horizontal="center" vertical="center"/>
    </xf>
    <xf numFmtId="165" fontId="0" fillId="10" borderId="14" xfId="0" applyNumberFormat="1" applyFill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65" fontId="0" fillId="7" borderId="5" xfId="0" applyNumberFormat="1" applyFill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65" fontId="0" fillId="9" borderId="5" xfId="0" applyNumberFormat="1" applyFill="1" applyBorder="1" applyAlignment="1">
      <alignment horizontal="center" vertical="center"/>
    </xf>
    <xf numFmtId="165" fontId="0" fillId="10" borderId="33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4" fillId="0" borderId="19" xfId="0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164" fontId="4" fillId="0" borderId="0" xfId="2" applyFont="1" applyFill="1" applyAlignment="1">
      <alignment vertical="center"/>
    </xf>
    <xf numFmtId="10" fontId="4" fillId="0" borderId="12" xfId="3" applyNumberFormat="1" applyFont="1" applyFill="1" applyBorder="1" applyAlignment="1">
      <alignment vertical="center"/>
    </xf>
    <xf numFmtId="10" fontId="4" fillId="0" borderId="0" xfId="0" applyNumberFormat="1" applyFont="1" applyAlignment="1">
      <alignment vertical="center"/>
    </xf>
    <xf numFmtId="9" fontId="4" fillId="0" borderId="0" xfId="3" applyFont="1" applyFill="1" applyAlignment="1">
      <alignment vertical="center"/>
    </xf>
    <xf numFmtId="44" fontId="4" fillId="0" borderId="2" xfId="0" applyNumberFormat="1" applyFont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4" fillId="0" borderId="11" xfId="2" applyFont="1" applyFill="1" applyBorder="1" applyAlignment="1">
      <alignment vertical="center"/>
    </xf>
    <xf numFmtId="164" fontId="4" fillId="0" borderId="13" xfId="2" applyFont="1" applyFill="1" applyBorder="1" applyAlignment="1">
      <alignment vertical="center"/>
    </xf>
    <xf numFmtId="164" fontId="4" fillId="0" borderId="14" xfId="2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5" fillId="5" borderId="12" xfId="2" applyFont="1" applyFill="1" applyBorder="1" applyAlignment="1">
      <alignment vertical="center"/>
    </xf>
    <xf numFmtId="43" fontId="4" fillId="5" borderId="12" xfId="1" applyFont="1" applyFill="1" applyBorder="1" applyAlignment="1">
      <alignment vertical="center"/>
    </xf>
    <xf numFmtId="14" fontId="4" fillId="0" borderId="1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165" fontId="5" fillId="5" borderId="12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4" fillId="5" borderId="12" xfId="2" applyFont="1" applyFill="1" applyBorder="1" applyAlignment="1">
      <alignment horizontal="center" vertical="center"/>
    </xf>
    <xf numFmtId="44" fontId="4" fillId="0" borderId="12" xfId="0" applyNumberFormat="1" applyFont="1" applyBorder="1" applyAlignment="1">
      <alignment vertical="center"/>
    </xf>
    <xf numFmtId="164" fontId="5" fillId="5" borderId="15" xfId="2" applyFont="1" applyFill="1" applyBorder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4" fontId="0" fillId="0" borderId="11" xfId="0" applyNumberForma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5" borderId="12" xfId="0" applyFont="1" applyFill="1" applyBorder="1" applyAlignment="1">
      <alignment horizontal="center" vertical="center"/>
    </xf>
    <xf numFmtId="164" fontId="0" fillId="5" borderId="1" xfId="2" applyFont="1" applyFill="1" applyBorder="1" applyAlignment="1">
      <alignment horizontal="center" vertical="center"/>
    </xf>
    <xf numFmtId="165" fontId="0" fillId="5" borderId="1" xfId="2" applyNumberFormat="1" applyFont="1" applyFill="1" applyBorder="1" applyAlignment="1">
      <alignment horizontal="center" vertical="center"/>
    </xf>
    <xf numFmtId="165" fontId="0" fillId="5" borderId="12" xfId="2" applyNumberFormat="1" applyFont="1" applyFill="1" applyBorder="1" applyAlignment="1">
      <alignment horizontal="center" vertical="center"/>
    </xf>
    <xf numFmtId="164" fontId="2" fillId="5" borderId="1" xfId="2" applyFont="1" applyFill="1" applyBorder="1" applyAlignment="1">
      <alignment horizontal="center" vertical="center"/>
    </xf>
    <xf numFmtId="165" fontId="2" fillId="5" borderId="1" xfId="2" applyNumberFormat="1" applyFont="1" applyFill="1" applyBorder="1" applyAlignment="1">
      <alignment horizontal="center" vertical="center"/>
    </xf>
    <xf numFmtId="165" fontId="2" fillId="5" borderId="12" xfId="2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0" fontId="0" fillId="0" borderId="1" xfId="3" applyNumberFormat="1" applyFont="1" applyFill="1" applyBorder="1" applyAlignment="1">
      <alignment vertical="center"/>
    </xf>
    <xf numFmtId="164" fontId="0" fillId="0" borderId="1" xfId="2" applyFont="1" applyFill="1" applyBorder="1" applyAlignment="1">
      <alignment vertical="center"/>
    </xf>
    <xf numFmtId="10" fontId="0" fillId="0" borderId="11" xfId="3" applyNumberFormat="1" applyFont="1" applyFill="1" applyBorder="1" applyAlignment="1">
      <alignment vertical="center"/>
    </xf>
    <xf numFmtId="164" fontId="0" fillId="0" borderId="12" xfId="2" applyFont="1" applyFill="1" applyBorder="1" applyAlignment="1">
      <alignment vertical="center"/>
    </xf>
    <xf numFmtId="10" fontId="2" fillId="5" borderId="1" xfId="3" applyNumberFormat="1" applyFont="1" applyFill="1" applyBorder="1" applyAlignment="1">
      <alignment vertical="center"/>
    </xf>
    <xf numFmtId="164" fontId="2" fillId="5" borderId="1" xfId="2" applyFont="1" applyFill="1" applyBorder="1" applyAlignment="1">
      <alignment vertical="center"/>
    </xf>
    <xf numFmtId="10" fontId="2" fillId="5" borderId="11" xfId="3" applyNumberFormat="1" applyFont="1" applyFill="1" applyBorder="1" applyAlignment="1">
      <alignment vertical="center"/>
    </xf>
    <xf numFmtId="164" fontId="2" fillId="5" borderId="12" xfId="2" applyFont="1" applyFill="1" applyBorder="1" applyAlignment="1">
      <alignment vertical="center"/>
    </xf>
    <xf numFmtId="10" fontId="0" fillId="0" borderId="1" xfId="0" applyNumberFormat="1" applyBorder="1" applyAlignment="1">
      <alignment vertical="center"/>
    </xf>
    <xf numFmtId="164" fontId="0" fillId="5" borderId="1" xfId="2" applyFont="1" applyFill="1" applyBorder="1" applyAlignment="1">
      <alignment vertical="center"/>
    </xf>
    <xf numFmtId="10" fontId="0" fillId="0" borderId="11" xfId="0" applyNumberFormat="1" applyBorder="1" applyAlignment="1">
      <alignment vertical="center"/>
    </xf>
    <xf numFmtId="164" fontId="0" fillId="5" borderId="12" xfId="2" applyFont="1" applyFill="1" applyBorder="1" applyAlignment="1">
      <alignment vertical="center"/>
    </xf>
    <xf numFmtId="10" fontId="2" fillId="5" borderId="1" xfId="0" applyNumberFormat="1" applyFont="1" applyFill="1" applyBorder="1" applyAlignment="1">
      <alignment vertical="center"/>
    </xf>
    <xf numFmtId="10" fontId="2" fillId="5" borderId="11" xfId="0" applyNumberFormat="1" applyFont="1" applyFill="1" applyBorder="1" applyAlignment="1">
      <alignment vertical="center"/>
    </xf>
    <xf numFmtId="43" fontId="0" fillId="5" borderId="1" xfId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3" fontId="0" fillId="5" borderId="12" xfId="1" applyFont="1" applyFill="1" applyBorder="1" applyAlignment="1">
      <alignment vertical="center"/>
    </xf>
    <xf numFmtId="10" fontId="0" fillId="0" borderId="1" xfId="3" applyNumberFormat="1" applyFont="1" applyFill="1" applyBorder="1" applyAlignment="1">
      <alignment horizontal="center" vertical="center"/>
    </xf>
    <xf numFmtId="10" fontId="0" fillId="0" borderId="11" xfId="3" applyNumberFormat="1" applyFont="1" applyFill="1" applyBorder="1" applyAlignment="1">
      <alignment horizontal="center" vertical="center"/>
    </xf>
    <xf numFmtId="10" fontId="0" fillId="0" borderId="12" xfId="3" applyNumberFormat="1" applyFont="1" applyFill="1" applyBorder="1" applyAlignment="1">
      <alignment vertical="center"/>
    </xf>
    <xf numFmtId="10" fontId="0" fillId="0" borderId="1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0" fillId="5" borderId="12" xfId="2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44" fontId="0" fillId="0" borderId="1" xfId="0" applyNumberFormat="1" applyBorder="1" applyAlignment="1">
      <alignment vertical="center"/>
    </xf>
    <xf numFmtId="44" fontId="0" fillId="0" borderId="12" xfId="0" applyNumberFormat="1" applyBorder="1" applyAlignment="1">
      <alignment vertical="center"/>
    </xf>
    <xf numFmtId="10" fontId="2" fillId="5" borderId="1" xfId="3" applyNumberFormat="1" applyFont="1" applyFill="1" applyBorder="1" applyAlignment="1">
      <alignment horizontal="center" vertical="center"/>
    </xf>
    <xf numFmtId="10" fontId="2" fillId="5" borderId="11" xfId="3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0" fillId="5" borderId="1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164" fontId="2" fillId="0" borderId="1" xfId="2" applyFont="1" applyFill="1" applyBorder="1" applyAlignment="1">
      <alignment vertical="center"/>
    </xf>
    <xf numFmtId="164" fontId="2" fillId="5" borderId="2" xfId="2" applyFont="1" applyFill="1" applyBorder="1" applyAlignment="1">
      <alignment vertical="center"/>
    </xf>
    <xf numFmtId="10" fontId="0" fillId="5" borderId="1" xfId="0" applyNumberFormat="1" applyFill="1" applyBorder="1" applyAlignment="1">
      <alignment horizontal="center" vertical="center"/>
    </xf>
    <xf numFmtId="10" fontId="0" fillId="5" borderId="11" xfId="0" applyNumberFormat="1" applyFill="1" applyBorder="1" applyAlignment="1">
      <alignment horizontal="center" vertical="center"/>
    </xf>
    <xf numFmtId="10" fontId="2" fillId="5" borderId="1" xfId="0" applyNumberFormat="1" applyFont="1" applyFill="1" applyBorder="1" applyAlignment="1">
      <alignment horizontal="center" vertical="center"/>
    </xf>
    <xf numFmtId="10" fontId="2" fillId="5" borderId="11" xfId="0" applyNumberFormat="1" applyFont="1" applyFill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1" xfId="2" applyFont="1" applyFill="1" applyBorder="1" applyAlignment="1">
      <alignment vertical="center"/>
    </xf>
    <xf numFmtId="164" fontId="0" fillId="0" borderId="13" xfId="2" applyFont="1" applyFill="1" applyBorder="1" applyAlignment="1">
      <alignment vertical="center"/>
    </xf>
    <xf numFmtId="164" fontId="2" fillId="5" borderId="14" xfId="2" applyFont="1" applyFill="1" applyBorder="1" applyAlignment="1">
      <alignment vertical="center"/>
    </xf>
    <xf numFmtId="164" fontId="0" fillId="0" borderId="14" xfId="2" applyFont="1" applyFill="1" applyBorder="1" applyAlignment="1">
      <alignment vertical="center"/>
    </xf>
    <xf numFmtId="164" fontId="2" fillId="5" borderId="15" xfId="2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17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11" borderId="0" xfId="0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0" borderId="0" xfId="0" applyNumberForma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2" applyFont="1" applyFill="1" applyBorder="1" applyAlignment="1">
      <alignment horizontal="center" vertical="center" wrapText="1"/>
    </xf>
    <xf numFmtId="164" fontId="5" fillId="5" borderId="12" xfId="2" applyFont="1" applyFill="1" applyBorder="1" applyAlignment="1">
      <alignment vertical="center" wrapText="1"/>
    </xf>
    <xf numFmtId="164" fontId="5" fillId="5" borderId="15" xfId="2" applyFont="1" applyFill="1" applyBorder="1" applyAlignment="1">
      <alignment vertical="center" wrapText="1"/>
    </xf>
    <xf numFmtId="0" fontId="4" fillId="0" borderId="0" xfId="0" applyFont="1"/>
    <xf numFmtId="0" fontId="4" fillId="0" borderId="11" xfId="0" applyFont="1" applyBorder="1" applyAlignment="1">
      <alignment vertical="center" wrapText="1"/>
    </xf>
    <xf numFmtId="0" fontId="5" fillId="5" borderId="1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5" borderId="34" xfId="0" applyFont="1" applyFill="1" applyBorder="1" applyAlignment="1">
      <alignment horizontal="right" vertical="center" wrapText="1"/>
    </xf>
    <xf numFmtId="0" fontId="5" fillId="5" borderId="35" xfId="0" applyFont="1" applyFill="1" applyBorder="1" applyAlignment="1">
      <alignment horizontal="right" vertical="center" wrapText="1"/>
    </xf>
    <xf numFmtId="0" fontId="5" fillId="5" borderId="36" xfId="0" applyFont="1" applyFill="1" applyBorder="1" applyAlignment="1">
      <alignment horizontal="right" vertical="center" wrapText="1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right" vertical="center" wrapText="1"/>
    </xf>
    <xf numFmtId="0" fontId="2" fillId="5" borderId="14" xfId="0" applyFont="1" applyFill="1" applyBorder="1" applyAlignment="1">
      <alignment horizontal="right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horizontal="right" vertical="center" wrapText="1"/>
    </xf>
    <xf numFmtId="0" fontId="2" fillId="5" borderId="35" xfId="0" applyFont="1" applyFill="1" applyBorder="1" applyAlignment="1">
      <alignment horizontal="right" vertical="center" wrapText="1"/>
    </xf>
    <xf numFmtId="0" fontId="2" fillId="5" borderId="36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5" fontId="4" fillId="0" borderId="2" xfId="2" applyNumberFormat="1" applyFont="1" applyFill="1" applyBorder="1" applyAlignment="1">
      <alignment horizontal="left" vertical="center"/>
    </xf>
    <xf numFmtId="165" fontId="4" fillId="0" borderId="3" xfId="2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5" fontId="4" fillId="0" borderId="21" xfId="2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5" fontId="4" fillId="0" borderId="12" xfId="2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65" fontId="4" fillId="0" borderId="1" xfId="2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2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0" fillId="0" borderId="2" xfId="2" applyNumberFormat="1" applyFont="1" applyFill="1" applyBorder="1" applyAlignment="1">
      <alignment horizontal="left" vertical="center"/>
    </xf>
    <xf numFmtId="165" fontId="0" fillId="0" borderId="3" xfId="2" applyNumberFormat="1" applyFont="1" applyFill="1" applyBorder="1" applyAlignment="1">
      <alignment horizontal="left" vertical="center"/>
    </xf>
    <xf numFmtId="165" fontId="0" fillId="0" borderId="1" xfId="2" applyNumberFormat="1" applyFont="1" applyFill="1" applyBorder="1" applyAlignment="1">
      <alignment horizontal="center" vertical="center"/>
    </xf>
    <xf numFmtId="165" fontId="0" fillId="0" borderId="2" xfId="2" applyNumberFormat="1" applyFont="1" applyFill="1" applyBorder="1" applyAlignment="1">
      <alignment horizontal="center" vertical="center"/>
    </xf>
    <xf numFmtId="165" fontId="0" fillId="0" borderId="38" xfId="2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4" fontId="0" fillId="0" borderId="11" xfId="0" applyNumberFormat="1" applyBorder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14" fontId="0" fillId="0" borderId="3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</cellXfs>
  <cellStyles count="5">
    <cellStyle name="Moeda" xfId="2" builtinId="4"/>
    <cellStyle name="Moeda 2" xfId="4" xr:uid="{00000000-0005-0000-0000-000001000000}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5"/>
  <sheetViews>
    <sheetView tabSelected="1" topLeftCell="A69" zoomScaleNormal="100" zoomScaleSheetLayoutView="110" workbookViewId="0">
      <selection activeCell="B72" sqref="B72"/>
    </sheetView>
  </sheetViews>
  <sheetFormatPr defaultRowHeight="15" x14ac:dyDescent="0.25"/>
  <cols>
    <col min="1" max="1" width="2" bestFit="1" customWidth="1"/>
    <col min="2" max="2" width="94.85546875" bestFit="1" customWidth="1"/>
    <col min="3" max="3" width="7.7109375" bestFit="1" customWidth="1"/>
    <col min="4" max="4" width="11.140625" bestFit="1" customWidth="1"/>
    <col min="5" max="5" width="15" bestFit="1" customWidth="1"/>
    <col min="6" max="6" width="15.42578125" bestFit="1" customWidth="1"/>
    <col min="7" max="7" width="20.42578125" bestFit="1" customWidth="1"/>
    <col min="8" max="8" width="14.5703125" customWidth="1"/>
  </cols>
  <sheetData>
    <row r="1" spans="1:7" x14ac:dyDescent="0.25">
      <c r="A1" s="269" t="s">
        <v>0</v>
      </c>
      <c r="B1" s="270"/>
      <c r="C1" s="270"/>
      <c r="D1" s="270"/>
      <c r="E1" s="270"/>
      <c r="F1" s="270"/>
      <c r="G1" s="271"/>
    </row>
    <row r="2" spans="1:7" x14ac:dyDescent="0.25">
      <c r="A2" s="272" t="s">
        <v>1</v>
      </c>
      <c r="B2" s="273"/>
      <c r="C2" s="273"/>
      <c r="D2" s="273"/>
      <c r="E2" s="273"/>
      <c r="F2" s="273"/>
      <c r="G2" s="274"/>
    </row>
    <row r="3" spans="1:7" ht="45" x14ac:dyDescent="0.25">
      <c r="A3" s="279" t="s">
        <v>2</v>
      </c>
      <c r="B3" s="280"/>
      <c r="C3" s="280" t="s">
        <v>3</v>
      </c>
      <c r="D3" s="280" t="s">
        <v>4</v>
      </c>
      <c r="E3" s="31" t="s">
        <v>5</v>
      </c>
      <c r="F3" s="31" t="s">
        <v>6</v>
      </c>
      <c r="G3" s="32" t="s">
        <v>7</v>
      </c>
    </row>
    <row r="4" spans="1:7" x14ac:dyDescent="0.25">
      <c r="A4" s="279" t="s">
        <v>8</v>
      </c>
      <c r="B4" s="280"/>
      <c r="C4" s="280"/>
      <c r="D4" s="280"/>
      <c r="E4" s="31" t="s">
        <v>8</v>
      </c>
      <c r="F4" s="31" t="s">
        <v>9</v>
      </c>
      <c r="G4" s="32" t="s">
        <v>10</v>
      </c>
    </row>
    <row r="5" spans="1:7" x14ac:dyDescent="0.25">
      <c r="A5" s="33">
        <v>1</v>
      </c>
      <c r="B5" s="2" t="s">
        <v>11</v>
      </c>
      <c r="C5" s="3" t="s">
        <v>12</v>
      </c>
      <c r="D5" s="4">
        <f>'1'!$D$18</f>
        <v>4831.58</v>
      </c>
      <c r="E5" s="79">
        <f>'1'!$D$119</f>
        <v>9696.4544388533868</v>
      </c>
      <c r="F5" s="3">
        <v>1</v>
      </c>
      <c r="G5" s="34">
        <f>E5*F5</f>
        <v>9696.4544388533868</v>
      </c>
    </row>
    <row r="6" spans="1:7" x14ac:dyDescent="0.25">
      <c r="A6" s="33">
        <v>2</v>
      </c>
      <c r="B6" s="2" t="s">
        <v>13</v>
      </c>
      <c r="C6" s="3" t="s">
        <v>14</v>
      </c>
      <c r="D6" s="4">
        <f>'2'!$D$18</f>
        <v>3511.21</v>
      </c>
      <c r="E6" s="79">
        <f>'2'!$D$119</f>
        <v>7400.284726724869</v>
      </c>
      <c r="F6" s="3">
        <v>1</v>
      </c>
      <c r="G6" s="34">
        <f t="shared" ref="G6:G9" si="0">E6*F6</f>
        <v>7400.284726724869</v>
      </c>
    </row>
    <row r="7" spans="1:7" x14ac:dyDescent="0.25">
      <c r="A7" s="33">
        <v>3</v>
      </c>
      <c r="B7" s="2" t="s">
        <v>15</v>
      </c>
      <c r="C7" s="3" t="s">
        <v>16</v>
      </c>
      <c r="D7" s="4">
        <f>'3'!$D$18</f>
        <v>2279.35</v>
      </c>
      <c r="E7" s="79">
        <f>'3'!$D$119</f>
        <v>5288.1712304699013</v>
      </c>
      <c r="F7" s="3">
        <v>4</v>
      </c>
      <c r="G7" s="34">
        <f t="shared" si="0"/>
        <v>21152.684921879605</v>
      </c>
    </row>
    <row r="8" spans="1:7" x14ac:dyDescent="0.25">
      <c r="A8" s="33">
        <v>4</v>
      </c>
      <c r="B8" s="2" t="s">
        <v>17</v>
      </c>
      <c r="C8" s="3" t="s">
        <v>16</v>
      </c>
      <c r="D8" s="4">
        <f>'4'!$D$18</f>
        <v>2937.99</v>
      </c>
      <c r="E8" s="79">
        <f>'4'!$D$119</f>
        <v>6449.0635722251318</v>
      </c>
      <c r="F8" s="3">
        <v>5</v>
      </c>
      <c r="G8" s="34">
        <f t="shared" si="0"/>
        <v>32245.317861125659</v>
      </c>
    </row>
    <row r="9" spans="1:7" x14ac:dyDescent="0.25">
      <c r="A9" s="33">
        <v>5</v>
      </c>
      <c r="B9" s="2" t="s">
        <v>18</v>
      </c>
      <c r="C9" s="3" t="s">
        <v>14</v>
      </c>
      <c r="D9" s="4">
        <f>'5'!$D$18</f>
        <v>3511.21</v>
      </c>
      <c r="E9" s="79">
        <f>'5'!$D$119</f>
        <v>7400.284726724869</v>
      </c>
      <c r="F9" s="3">
        <v>1</v>
      </c>
      <c r="G9" s="34">
        <f t="shared" si="0"/>
        <v>7400.284726724869</v>
      </c>
    </row>
    <row r="10" spans="1:7" x14ac:dyDescent="0.25">
      <c r="A10" s="281" t="s">
        <v>19</v>
      </c>
      <c r="B10" s="282"/>
      <c r="C10" s="282"/>
      <c r="D10" s="282"/>
      <c r="E10" s="282"/>
      <c r="F10" s="282"/>
      <c r="G10" s="35">
        <f>SUM(G5:G9)</f>
        <v>77895.026675308385</v>
      </c>
    </row>
    <row r="11" spans="1:7" ht="15.75" thickBot="1" x14ac:dyDescent="0.3">
      <c r="A11" s="277" t="s">
        <v>20</v>
      </c>
      <c r="B11" s="278"/>
      <c r="C11" s="278"/>
      <c r="D11" s="278"/>
      <c r="E11" s="278"/>
      <c r="F11" s="278"/>
      <c r="G11" s="36">
        <f>G10*30</f>
        <v>2336850.8002592516</v>
      </c>
    </row>
    <row r="12" spans="1:7" ht="15.75" thickBot="1" x14ac:dyDescent="0.3"/>
    <row r="13" spans="1:7" x14ac:dyDescent="0.25">
      <c r="A13" s="269" t="s">
        <v>0</v>
      </c>
      <c r="B13" s="270"/>
      <c r="C13" s="270"/>
      <c r="D13" s="270"/>
      <c r="E13" s="270"/>
      <c r="F13" s="270"/>
      <c r="G13" s="271"/>
    </row>
    <row r="14" spans="1:7" x14ac:dyDescent="0.25">
      <c r="A14" s="272" t="s">
        <v>21</v>
      </c>
      <c r="B14" s="273"/>
      <c r="C14" s="273"/>
      <c r="D14" s="273"/>
      <c r="E14" s="273"/>
      <c r="F14" s="273"/>
      <c r="G14" s="274"/>
    </row>
    <row r="15" spans="1:7" ht="45" customHeight="1" x14ac:dyDescent="0.25">
      <c r="A15" s="275" t="s">
        <v>2</v>
      </c>
      <c r="B15" s="276"/>
      <c r="C15" s="276" t="s">
        <v>3</v>
      </c>
      <c r="D15" s="276" t="s">
        <v>4</v>
      </c>
      <c r="E15" s="156" t="s">
        <v>5</v>
      </c>
      <c r="F15" s="156" t="s">
        <v>6</v>
      </c>
      <c r="G15" s="157" t="s">
        <v>7</v>
      </c>
    </row>
    <row r="16" spans="1:7" ht="15" customHeight="1" x14ac:dyDescent="0.25">
      <c r="A16" s="275" t="s">
        <v>8</v>
      </c>
      <c r="B16" s="276"/>
      <c r="C16" s="276"/>
      <c r="D16" s="276"/>
      <c r="E16" s="156" t="s">
        <v>8</v>
      </c>
      <c r="F16" s="156" t="s">
        <v>9</v>
      </c>
      <c r="G16" s="157" t="s">
        <v>10</v>
      </c>
    </row>
    <row r="17" spans="1:7" x14ac:dyDescent="0.25">
      <c r="A17" s="257">
        <v>1</v>
      </c>
      <c r="B17" s="8" t="s">
        <v>11</v>
      </c>
      <c r="C17" s="258" t="s">
        <v>12</v>
      </c>
      <c r="D17" s="259">
        <f>'1'!$F$18</f>
        <v>5158.1899999999996</v>
      </c>
      <c r="E17" s="79">
        <f>'1'!$F$119</f>
        <v>10317.349853386186</v>
      </c>
      <c r="F17" s="258">
        <v>1</v>
      </c>
      <c r="G17" s="34">
        <f>E17*F17</f>
        <v>10317.349853386186</v>
      </c>
    </row>
    <row r="18" spans="1:7" x14ac:dyDescent="0.25">
      <c r="A18" s="257">
        <v>2</v>
      </c>
      <c r="B18" s="8" t="s">
        <v>13</v>
      </c>
      <c r="C18" s="258" t="s">
        <v>14</v>
      </c>
      <c r="D18" s="259">
        <f>'2'!$F$18</f>
        <v>3748.57</v>
      </c>
      <c r="E18" s="79">
        <f>'2'!$F$119</f>
        <v>7861.7199750856989</v>
      </c>
      <c r="F18" s="258">
        <v>1</v>
      </c>
      <c r="G18" s="34">
        <f t="shared" ref="G18:G21" si="1">E18*F18</f>
        <v>7861.7199750856989</v>
      </c>
    </row>
    <row r="19" spans="1:7" x14ac:dyDescent="0.25">
      <c r="A19" s="257">
        <v>3</v>
      </c>
      <c r="B19" s="8" t="s">
        <v>15</v>
      </c>
      <c r="C19" s="258" t="s">
        <v>16</v>
      </c>
      <c r="D19" s="259">
        <f>'3'!$F$18</f>
        <v>2433.4299999999998</v>
      </c>
      <c r="E19" s="79">
        <f>'3'!$F$119</f>
        <v>5619.2453441719972</v>
      </c>
      <c r="F19" s="258">
        <v>4</v>
      </c>
      <c r="G19" s="34">
        <f t="shared" si="1"/>
        <v>22476.981376687989</v>
      </c>
    </row>
    <row r="20" spans="1:7" x14ac:dyDescent="0.25">
      <c r="A20" s="257">
        <v>4</v>
      </c>
      <c r="B20" s="8" t="s">
        <v>17</v>
      </c>
      <c r="C20" s="258" t="s">
        <v>16</v>
      </c>
      <c r="D20" s="259">
        <f>'4'!$F$18</f>
        <v>3136.6</v>
      </c>
      <c r="E20" s="79">
        <f>'4'!$F$119</f>
        <v>6864.8831991922762</v>
      </c>
      <c r="F20" s="258">
        <v>5</v>
      </c>
      <c r="G20" s="34">
        <f t="shared" si="1"/>
        <v>34324.415995961383</v>
      </c>
    </row>
    <row r="21" spans="1:7" x14ac:dyDescent="0.25">
      <c r="A21" s="257">
        <v>5</v>
      </c>
      <c r="B21" s="8" t="s">
        <v>18</v>
      </c>
      <c r="C21" s="258" t="s">
        <v>14</v>
      </c>
      <c r="D21" s="259">
        <f>'5'!$F$18</f>
        <v>3748.57</v>
      </c>
      <c r="E21" s="79">
        <f>'5'!$F$119</f>
        <v>7861.7199750856989</v>
      </c>
      <c r="F21" s="258">
        <v>1</v>
      </c>
      <c r="G21" s="34">
        <f t="shared" si="1"/>
        <v>7861.7199750856989</v>
      </c>
    </row>
    <row r="22" spans="1:7" ht="15" customHeight="1" x14ac:dyDescent="0.25">
      <c r="A22" s="264" t="s">
        <v>19</v>
      </c>
      <c r="B22" s="265"/>
      <c r="C22" s="265"/>
      <c r="D22" s="265"/>
      <c r="E22" s="265"/>
      <c r="F22" s="265"/>
      <c r="G22" s="260">
        <f>SUM(G17:G21)</f>
        <v>82842.187176206964</v>
      </c>
    </row>
    <row r="23" spans="1:7" ht="15.75" customHeight="1" thickBot="1" x14ac:dyDescent="0.3">
      <c r="A23" s="266" t="s">
        <v>20</v>
      </c>
      <c r="B23" s="267"/>
      <c r="C23" s="267"/>
      <c r="D23" s="267"/>
      <c r="E23" s="267"/>
      <c r="F23" s="268"/>
      <c r="G23" s="261">
        <f>G22*30</f>
        <v>2485265.6152862087</v>
      </c>
    </row>
    <row r="24" spans="1:7" ht="15.75" thickBot="1" x14ac:dyDescent="0.3">
      <c r="A24" s="262"/>
      <c r="B24" s="262"/>
      <c r="C24" s="262"/>
      <c r="D24" s="262"/>
      <c r="E24" s="262"/>
      <c r="F24" s="262"/>
      <c r="G24" s="262"/>
    </row>
    <row r="25" spans="1:7" x14ac:dyDescent="0.25">
      <c r="A25" s="269" t="s">
        <v>0</v>
      </c>
      <c r="B25" s="270"/>
      <c r="C25" s="270"/>
      <c r="D25" s="270"/>
      <c r="E25" s="270"/>
      <c r="F25" s="270"/>
      <c r="G25" s="271"/>
    </row>
    <row r="26" spans="1:7" x14ac:dyDescent="0.25">
      <c r="A26" s="272" t="s">
        <v>22</v>
      </c>
      <c r="B26" s="273"/>
      <c r="C26" s="273"/>
      <c r="D26" s="273"/>
      <c r="E26" s="273"/>
      <c r="F26" s="273"/>
      <c r="G26" s="274"/>
    </row>
    <row r="27" spans="1:7" ht="45" x14ac:dyDescent="0.25">
      <c r="A27" s="275" t="s">
        <v>2</v>
      </c>
      <c r="B27" s="276"/>
      <c r="C27" s="276" t="s">
        <v>3</v>
      </c>
      <c r="D27" s="276" t="s">
        <v>4</v>
      </c>
      <c r="E27" s="156" t="s">
        <v>5</v>
      </c>
      <c r="F27" s="156" t="s">
        <v>6</v>
      </c>
      <c r="G27" s="157" t="s">
        <v>7</v>
      </c>
    </row>
    <row r="28" spans="1:7" x14ac:dyDescent="0.25">
      <c r="A28" s="275" t="s">
        <v>8</v>
      </c>
      <c r="B28" s="276"/>
      <c r="C28" s="276"/>
      <c r="D28" s="276"/>
      <c r="E28" s="156" t="s">
        <v>8</v>
      </c>
      <c r="F28" s="156" t="s">
        <v>9</v>
      </c>
      <c r="G28" s="157" t="s">
        <v>10</v>
      </c>
    </row>
    <row r="29" spans="1:7" x14ac:dyDescent="0.25">
      <c r="A29" s="257">
        <v>1</v>
      </c>
      <c r="B29" s="8" t="s">
        <v>11</v>
      </c>
      <c r="C29" s="258" t="s">
        <v>12</v>
      </c>
      <c r="D29" s="259">
        <f>'1'!$J$18</f>
        <v>5158.1899999999996</v>
      </c>
      <c r="E29" s="79">
        <f>'1'!$J$119</f>
        <v>10423.329387053409</v>
      </c>
      <c r="F29" s="258">
        <v>1</v>
      </c>
      <c r="G29" s="34">
        <f>E29*F29</f>
        <v>10423.329387053409</v>
      </c>
    </row>
    <row r="30" spans="1:7" x14ac:dyDescent="0.25">
      <c r="A30" s="257">
        <v>2</v>
      </c>
      <c r="B30" s="8" t="s">
        <v>13</v>
      </c>
      <c r="C30" s="258" t="s">
        <v>14</v>
      </c>
      <c r="D30" s="259">
        <f>'2'!$J$18</f>
        <v>3748.57</v>
      </c>
      <c r="E30" s="79">
        <f>'2'!$J$119</f>
        <v>7996.7490335557723</v>
      </c>
      <c r="F30" s="258">
        <v>1</v>
      </c>
      <c r="G30" s="34">
        <f t="shared" ref="G30:G33" si="2">E30*F30</f>
        <v>7996.7490335557723</v>
      </c>
    </row>
    <row r="31" spans="1:7" x14ac:dyDescent="0.25">
      <c r="A31" s="257">
        <v>3</v>
      </c>
      <c r="B31" s="8" t="s">
        <v>15</v>
      </c>
      <c r="C31" s="258" t="s">
        <v>16</v>
      </c>
      <c r="D31" s="259">
        <f>'3'!$J$18</f>
        <v>2433.4299999999998</v>
      </c>
      <c r="E31" s="79">
        <f>'3'!$J$119</f>
        <v>5734.9631748179181</v>
      </c>
      <c r="F31" s="258">
        <v>4</v>
      </c>
      <c r="G31" s="34">
        <f t="shared" si="2"/>
        <v>22939.852699271672</v>
      </c>
    </row>
    <row r="32" spans="1:7" x14ac:dyDescent="0.25">
      <c r="A32" s="257">
        <v>4</v>
      </c>
      <c r="B32" s="8" t="s">
        <v>17</v>
      </c>
      <c r="C32" s="258" t="s">
        <v>16</v>
      </c>
      <c r="D32" s="259">
        <f>'4'!$J$18</f>
        <v>3136.6</v>
      </c>
      <c r="E32" s="79">
        <f>'4'!$J$119</f>
        <v>6953.8938916797542</v>
      </c>
      <c r="F32" s="258">
        <v>5</v>
      </c>
      <c r="G32" s="34">
        <f t="shared" si="2"/>
        <v>34769.469458398773</v>
      </c>
    </row>
    <row r="33" spans="1:7" x14ac:dyDescent="0.25">
      <c r="A33" s="257">
        <v>5</v>
      </c>
      <c r="B33" s="8" t="s">
        <v>18</v>
      </c>
      <c r="C33" s="258" t="s">
        <v>14</v>
      </c>
      <c r="D33" s="259">
        <f>'5'!$J$18</f>
        <v>3748.57</v>
      </c>
      <c r="E33" s="79">
        <f>'5'!$J$119</f>
        <v>7996.7490335557723</v>
      </c>
      <c r="F33" s="258">
        <v>1</v>
      </c>
      <c r="G33" s="34">
        <f t="shared" si="2"/>
        <v>7996.7490335557723</v>
      </c>
    </row>
    <row r="34" spans="1:7" x14ac:dyDescent="0.25">
      <c r="A34" s="264" t="s">
        <v>19</v>
      </c>
      <c r="B34" s="265"/>
      <c r="C34" s="265"/>
      <c r="D34" s="265"/>
      <c r="E34" s="265"/>
      <c r="F34" s="265"/>
      <c r="G34" s="260">
        <f>SUM(G29:G33)</f>
        <v>84126.149611835397</v>
      </c>
    </row>
    <row r="35" spans="1:7" ht="15.75" thickBot="1" x14ac:dyDescent="0.3">
      <c r="A35" s="266" t="s">
        <v>20</v>
      </c>
      <c r="B35" s="267"/>
      <c r="C35" s="267"/>
      <c r="D35" s="267"/>
      <c r="E35" s="267"/>
      <c r="F35" s="268"/>
      <c r="G35" s="261">
        <f>G34*30</f>
        <v>2523784.488355062</v>
      </c>
    </row>
    <row r="36" spans="1:7" ht="15.75" thickBot="1" x14ac:dyDescent="0.3">
      <c r="A36" s="262"/>
      <c r="B36" s="262"/>
      <c r="C36" s="262"/>
      <c r="D36" s="262"/>
      <c r="E36" s="262"/>
      <c r="F36" s="262"/>
      <c r="G36" s="262"/>
    </row>
    <row r="37" spans="1:7" x14ac:dyDescent="0.25">
      <c r="A37" s="269" t="s">
        <v>0</v>
      </c>
      <c r="B37" s="270"/>
      <c r="C37" s="270"/>
      <c r="D37" s="270"/>
      <c r="E37" s="270"/>
      <c r="F37" s="270"/>
      <c r="G37" s="271"/>
    </row>
    <row r="38" spans="1:7" x14ac:dyDescent="0.25">
      <c r="A38" s="272" t="s">
        <v>23</v>
      </c>
      <c r="B38" s="273"/>
      <c r="C38" s="273"/>
      <c r="D38" s="273"/>
      <c r="E38" s="273"/>
      <c r="F38" s="273"/>
      <c r="G38" s="274"/>
    </row>
    <row r="39" spans="1:7" ht="45" x14ac:dyDescent="0.25">
      <c r="A39" s="275" t="s">
        <v>2</v>
      </c>
      <c r="B39" s="276"/>
      <c r="C39" s="276" t="s">
        <v>3</v>
      </c>
      <c r="D39" s="276" t="s">
        <v>4</v>
      </c>
      <c r="E39" s="156" t="s">
        <v>5</v>
      </c>
      <c r="F39" s="156" t="s">
        <v>6</v>
      </c>
      <c r="G39" s="157" t="s">
        <v>7</v>
      </c>
    </row>
    <row r="40" spans="1:7" x14ac:dyDescent="0.25">
      <c r="A40" s="275" t="s">
        <v>8</v>
      </c>
      <c r="B40" s="276"/>
      <c r="C40" s="276"/>
      <c r="D40" s="276"/>
      <c r="E40" s="156" t="s">
        <v>8</v>
      </c>
      <c r="F40" s="156" t="s">
        <v>9</v>
      </c>
      <c r="G40" s="157" t="s">
        <v>10</v>
      </c>
    </row>
    <row r="41" spans="1:7" x14ac:dyDescent="0.25">
      <c r="A41" s="257">
        <v>1</v>
      </c>
      <c r="B41" s="8" t="s">
        <v>11</v>
      </c>
      <c r="C41" s="258" t="s">
        <v>12</v>
      </c>
      <c r="D41" s="259">
        <f>'1'!$L$18</f>
        <v>5658.53</v>
      </c>
      <c r="E41" s="79">
        <f>'1'!$L$119</f>
        <v>11285.285149371426</v>
      </c>
      <c r="F41" s="258">
        <v>1</v>
      </c>
      <c r="G41" s="34">
        <f>E41*F41</f>
        <v>11285.285149371426</v>
      </c>
    </row>
    <row r="42" spans="1:7" x14ac:dyDescent="0.25">
      <c r="A42" s="257">
        <v>2</v>
      </c>
      <c r="B42" s="8" t="s">
        <v>13</v>
      </c>
      <c r="C42" s="258" t="s">
        <v>14</v>
      </c>
      <c r="D42" s="259">
        <f>'2'!$L$18</f>
        <v>4112.18</v>
      </c>
      <c r="E42" s="79">
        <f>'2'!$L$119</f>
        <v>8594.0719255000458</v>
      </c>
      <c r="F42" s="258">
        <v>1</v>
      </c>
      <c r="G42" s="34">
        <f t="shared" ref="G42:G45" si="3">E42*F42</f>
        <v>8594.0719255000458</v>
      </c>
    </row>
    <row r="43" spans="1:7" x14ac:dyDescent="0.25">
      <c r="A43" s="257">
        <v>3</v>
      </c>
      <c r="B43" s="8" t="s">
        <v>15</v>
      </c>
      <c r="C43" s="258" t="s">
        <v>16</v>
      </c>
      <c r="D43" s="259">
        <f>'3'!$L$18</f>
        <v>2669.47</v>
      </c>
      <c r="E43" s="79">
        <f>'3'!$L$119</f>
        <v>6134.5455774318716</v>
      </c>
      <c r="F43" s="258">
        <v>4</v>
      </c>
      <c r="G43" s="34">
        <f t="shared" si="3"/>
        <v>24538.182309727486</v>
      </c>
    </row>
    <row r="44" spans="1:7" x14ac:dyDescent="0.25">
      <c r="A44" s="257">
        <v>4</v>
      </c>
      <c r="B44" s="8" t="s">
        <v>17</v>
      </c>
      <c r="C44" s="258" t="s">
        <v>16</v>
      </c>
      <c r="D44" s="259">
        <f>'4'!$L$18</f>
        <v>3440.85</v>
      </c>
      <c r="E44" s="79">
        <f>'4'!$L$119</f>
        <v>7498.8765809521556</v>
      </c>
      <c r="F44" s="258">
        <v>5</v>
      </c>
      <c r="G44" s="34">
        <f t="shared" si="3"/>
        <v>37494.38290476078</v>
      </c>
    </row>
    <row r="45" spans="1:7" x14ac:dyDescent="0.25">
      <c r="A45" s="257">
        <v>5</v>
      </c>
      <c r="B45" s="8" t="s">
        <v>18</v>
      </c>
      <c r="C45" s="258" t="s">
        <v>14</v>
      </c>
      <c r="D45" s="259">
        <f>'5'!$L$18</f>
        <v>4112.18</v>
      </c>
      <c r="E45" s="79">
        <f>'5'!$L$119</f>
        <v>8594.0719255000458</v>
      </c>
      <c r="F45" s="258">
        <v>1</v>
      </c>
      <c r="G45" s="34">
        <f t="shared" si="3"/>
        <v>8594.0719255000458</v>
      </c>
    </row>
    <row r="46" spans="1:7" x14ac:dyDescent="0.25">
      <c r="A46" s="264" t="s">
        <v>19</v>
      </c>
      <c r="B46" s="265"/>
      <c r="C46" s="265"/>
      <c r="D46" s="265"/>
      <c r="E46" s="265"/>
      <c r="F46" s="265"/>
      <c r="G46" s="260">
        <f>SUM(G41:G45)</f>
        <v>90505.994214859777</v>
      </c>
    </row>
    <row r="47" spans="1:7" ht="15.75" thickBot="1" x14ac:dyDescent="0.3">
      <c r="A47" s="266" t="s">
        <v>20</v>
      </c>
      <c r="B47" s="267"/>
      <c r="C47" s="267"/>
      <c r="D47" s="267"/>
      <c r="E47" s="267"/>
      <c r="F47" s="268"/>
      <c r="G47" s="261">
        <f>G46*30</f>
        <v>2715179.8264457933</v>
      </c>
    </row>
    <row r="48" spans="1:7" ht="15.75" thickBot="1" x14ac:dyDescent="0.3">
      <c r="A48" s="262"/>
      <c r="B48" s="262"/>
      <c r="C48" s="262"/>
      <c r="D48" s="262"/>
      <c r="E48" s="262"/>
      <c r="F48" s="262"/>
      <c r="G48" s="262"/>
    </row>
    <row r="49" spans="1:7" x14ac:dyDescent="0.25">
      <c r="A49" s="269" t="s">
        <v>0</v>
      </c>
      <c r="B49" s="270"/>
      <c r="C49" s="270"/>
      <c r="D49" s="270"/>
      <c r="E49" s="270"/>
      <c r="F49" s="270"/>
      <c r="G49" s="271"/>
    </row>
    <row r="50" spans="1:7" x14ac:dyDescent="0.25">
      <c r="A50" s="272" t="s">
        <v>24</v>
      </c>
      <c r="B50" s="273"/>
      <c r="C50" s="273"/>
      <c r="D50" s="273"/>
      <c r="E50" s="273"/>
      <c r="F50" s="273"/>
      <c r="G50" s="274"/>
    </row>
    <row r="51" spans="1:7" ht="45" x14ac:dyDescent="0.25">
      <c r="A51" s="275" t="s">
        <v>2</v>
      </c>
      <c r="B51" s="276"/>
      <c r="C51" s="276" t="s">
        <v>3</v>
      </c>
      <c r="D51" s="276" t="s">
        <v>4</v>
      </c>
      <c r="E51" s="156" t="s">
        <v>5</v>
      </c>
      <c r="F51" s="156" t="s">
        <v>6</v>
      </c>
      <c r="G51" s="157" t="s">
        <v>7</v>
      </c>
    </row>
    <row r="52" spans="1:7" x14ac:dyDescent="0.25">
      <c r="A52" s="275" t="s">
        <v>8</v>
      </c>
      <c r="B52" s="276"/>
      <c r="C52" s="276"/>
      <c r="D52" s="276"/>
      <c r="E52" s="156" t="s">
        <v>8</v>
      </c>
      <c r="F52" s="156" t="s">
        <v>9</v>
      </c>
      <c r="G52" s="157" t="s">
        <v>10</v>
      </c>
    </row>
    <row r="53" spans="1:7" x14ac:dyDescent="0.25">
      <c r="A53" s="257">
        <v>1</v>
      </c>
      <c r="B53" s="8" t="s">
        <v>11</v>
      </c>
      <c r="C53" s="258" t="s">
        <v>12</v>
      </c>
      <c r="D53" s="259">
        <f>'1'!$N$18</f>
        <v>5658.53</v>
      </c>
      <c r="E53" s="79">
        <f>'1'!$N$119</f>
        <v>11122.206903809996</v>
      </c>
      <c r="F53" s="258">
        <v>1</v>
      </c>
      <c r="G53" s="34">
        <f>E53*F53</f>
        <v>11122.206903809996</v>
      </c>
    </row>
    <row r="54" spans="1:7" x14ac:dyDescent="0.25">
      <c r="A54" s="257">
        <v>2</v>
      </c>
      <c r="B54" s="8" t="s">
        <v>13</v>
      </c>
      <c r="C54" s="258" t="s">
        <v>14</v>
      </c>
      <c r="D54" s="259">
        <f>'2'!$N$18</f>
        <v>4112.18</v>
      </c>
      <c r="E54" s="79">
        <f>'2'!$N$119</f>
        <v>8474.4767692078149</v>
      </c>
      <c r="F54" s="258">
        <v>1</v>
      </c>
      <c r="G54" s="34">
        <f t="shared" ref="G54:G57" si="4">E54*F54</f>
        <v>8474.4767692078149</v>
      </c>
    </row>
    <row r="55" spans="1:7" x14ac:dyDescent="0.25">
      <c r="A55" s="257">
        <v>3</v>
      </c>
      <c r="B55" s="8" t="s">
        <v>15</v>
      </c>
      <c r="C55" s="258" t="s">
        <v>16</v>
      </c>
      <c r="D55" s="259">
        <f>'3'!$N$18</f>
        <v>2669.47</v>
      </c>
      <c r="E55" s="79">
        <f>'3'!$N$119</f>
        <v>6057.8396862357968</v>
      </c>
      <c r="F55" s="258">
        <v>4</v>
      </c>
      <c r="G55" s="34">
        <f t="shared" si="4"/>
        <v>24231.358744943187</v>
      </c>
    </row>
    <row r="56" spans="1:7" x14ac:dyDescent="0.25">
      <c r="A56" s="257">
        <v>4</v>
      </c>
      <c r="B56" s="8" t="s">
        <v>17</v>
      </c>
      <c r="C56" s="258" t="s">
        <v>16</v>
      </c>
      <c r="D56" s="259">
        <f>'4'!$N$18</f>
        <v>3440.85</v>
      </c>
      <c r="E56" s="79">
        <f>'4'!$N$119</f>
        <v>7401.7261139591419</v>
      </c>
      <c r="F56" s="258">
        <v>5</v>
      </c>
      <c r="G56" s="34">
        <f t="shared" si="4"/>
        <v>37008.630569795707</v>
      </c>
    </row>
    <row r="57" spans="1:7" x14ac:dyDescent="0.25">
      <c r="A57" s="257">
        <v>5</v>
      </c>
      <c r="B57" s="8" t="s">
        <v>18</v>
      </c>
      <c r="C57" s="258" t="s">
        <v>14</v>
      </c>
      <c r="D57" s="259">
        <f>'5'!$N$18</f>
        <v>4112.18</v>
      </c>
      <c r="E57" s="79">
        <f>'5'!$N$119</f>
        <v>8474.4767692078149</v>
      </c>
      <c r="F57" s="258">
        <v>1</v>
      </c>
      <c r="G57" s="34">
        <f t="shared" si="4"/>
        <v>8474.4767692078149</v>
      </c>
    </row>
    <row r="58" spans="1:7" x14ac:dyDescent="0.25">
      <c r="A58" s="264" t="s">
        <v>19</v>
      </c>
      <c r="B58" s="265"/>
      <c r="C58" s="265"/>
      <c r="D58" s="265"/>
      <c r="E58" s="265"/>
      <c r="F58" s="265"/>
      <c r="G58" s="260">
        <f>SUM(G53:G57)</f>
        <v>89311.149756964514</v>
      </c>
    </row>
    <row r="59" spans="1:7" ht="15.75" thickBot="1" x14ac:dyDescent="0.3">
      <c r="A59" s="266" t="s">
        <v>20</v>
      </c>
      <c r="B59" s="267"/>
      <c r="C59" s="267"/>
      <c r="D59" s="267"/>
      <c r="E59" s="267"/>
      <c r="F59" s="268"/>
      <c r="G59" s="261">
        <f>G58*30</f>
        <v>2679334.4927089354</v>
      </c>
    </row>
    <row r="60" spans="1:7" ht="15.75" thickBot="1" x14ac:dyDescent="0.3">
      <c r="A60" s="262"/>
      <c r="B60" s="262"/>
      <c r="C60" s="262"/>
      <c r="D60" s="262"/>
      <c r="E60" s="262"/>
      <c r="F60" s="262"/>
      <c r="G60" s="262"/>
    </row>
    <row r="61" spans="1:7" x14ac:dyDescent="0.25">
      <c r="A61" s="269" t="s">
        <v>0</v>
      </c>
      <c r="B61" s="270"/>
      <c r="C61" s="270"/>
      <c r="D61" s="270"/>
      <c r="E61" s="270"/>
      <c r="F61" s="270"/>
      <c r="G61" s="271"/>
    </row>
    <row r="62" spans="1:7" x14ac:dyDescent="0.25">
      <c r="A62" s="272" t="s">
        <v>25</v>
      </c>
      <c r="B62" s="273"/>
      <c r="C62" s="273"/>
      <c r="D62" s="273"/>
      <c r="E62" s="273"/>
      <c r="F62" s="273"/>
      <c r="G62" s="274"/>
    </row>
    <row r="63" spans="1:7" ht="45" x14ac:dyDescent="0.25">
      <c r="A63" s="275" t="s">
        <v>2</v>
      </c>
      <c r="B63" s="276"/>
      <c r="C63" s="276" t="s">
        <v>3</v>
      </c>
      <c r="D63" s="276" t="s">
        <v>4</v>
      </c>
      <c r="E63" s="156" t="s">
        <v>5</v>
      </c>
      <c r="F63" s="156" t="s">
        <v>6</v>
      </c>
      <c r="G63" s="157" t="s">
        <v>7</v>
      </c>
    </row>
    <row r="64" spans="1:7" x14ac:dyDescent="0.25">
      <c r="A64" s="275" t="s">
        <v>8</v>
      </c>
      <c r="B64" s="276"/>
      <c r="C64" s="276"/>
      <c r="D64" s="276"/>
      <c r="E64" s="156" t="s">
        <v>8</v>
      </c>
      <c r="F64" s="156" t="s">
        <v>9</v>
      </c>
      <c r="G64" s="157" t="s">
        <v>10</v>
      </c>
    </row>
    <row r="65" spans="1:7" x14ac:dyDescent="0.25">
      <c r="A65" s="257">
        <v>1</v>
      </c>
      <c r="B65" s="8" t="s">
        <v>11</v>
      </c>
      <c r="C65" s="258" t="s">
        <v>12</v>
      </c>
      <c r="D65" s="259">
        <f>'1'!$R$18</f>
        <v>5783.88</v>
      </c>
      <c r="E65" s="79">
        <f>'1'!$R$119</f>
        <v>11339.848799268428</v>
      </c>
      <c r="F65" s="258">
        <v>1</v>
      </c>
      <c r="G65" s="34">
        <f>E65*F65</f>
        <v>11339.848799268428</v>
      </c>
    </row>
    <row r="66" spans="1:7" x14ac:dyDescent="0.25">
      <c r="A66" s="257">
        <v>2</v>
      </c>
      <c r="B66" s="8" t="s">
        <v>13</v>
      </c>
      <c r="C66" s="258" t="s">
        <v>14</v>
      </c>
      <c r="D66" s="259">
        <f>'2'!$R$18</f>
        <v>4203.2700000000004</v>
      </c>
      <c r="E66" s="79">
        <f>'2'!$R$119</f>
        <v>8633.5208631650748</v>
      </c>
      <c r="F66" s="258">
        <v>1</v>
      </c>
      <c r="G66" s="34">
        <f t="shared" ref="G66:G69" si="5">E66*F66</f>
        <v>8633.5208631650748</v>
      </c>
    </row>
    <row r="67" spans="1:7" x14ac:dyDescent="0.25">
      <c r="A67" s="257">
        <v>3</v>
      </c>
      <c r="B67" s="8" t="s">
        <v>15</v>
      </c>
      <c r="C67" s="258" t="s">
        <v>16</v>
      </c>
      <c r="D67" s="259">
        <f>'3'!$R$18</f>
        <v>2728.61</v>
      </c>
      <c r="E67" s="79">
        <f>'3'!$R$119</f>
        <v>6162.885987609412</v>
      </c>
      <c r="F67" s="258">
        <v>4</v>
      </c>
      <c r="G67" s="34">
        <f t="shared" si="5"/>
        <v>24651.543950437648</v>
      </c>
    </row>
    <row r="68" spans="1:7" x14ac:dyDescent="0.25">
      <c r="A68" s="257">
        <v>4</v>
      </c>
      <c r="B68" s="8" t="s">
        <v>17</v>
      </c>
      <c r="C68" s="258" t="s">
        <v>16</v>
      </c>
      <c r="D68" s="259">
        <f>'4'!$R$18</f>
        <v>3517.07</v>
      </c>
      <c r="E68" s="79">
        <f>'4'!$R$119</f>
        <v>7535.9857968167034</v>
      </c>
      <c r="F68" s="258">
        <v>5</v>
      </c>
      <c r="G68" s="34">
        <f t="shared" si="5"/>
        <v>37679.928984083519</v>
      </c>
    </row>
    <row r="69" spans="1:7" x14ac:dyDescent="0.25">
      <c r="A69" s="257">
        <v>5</v>
      </c>
      <c r="B69" s="8" t="s">
        <v>18</v>
      </c>
      <c r="C69" s="258" t="s">
        <v>14</v>
      </c>
      <c r="D69" s="259">
        <f>'5'!$R$18</f>
        <v>4203.2700000000004</v>
      </c>
      <c r="E69" s="79">
        <f>'5'!$R$119</f>
        <v>8633.5208631650748</v>
      </c>
      <c r="F69" s="258">
        <v>1</v>
      </c>
      <c r="G69" s="34">
        <f t="shared" si="5"/>
        <v>8633.5208631650748</v>
      </c>
    </row>
    <row r="70" spans="1:7" x14ac:dyDescent="0.25">
      <c r="A70" s="264" t="s">
        <v>19</v>
      </c>
      <c r="B70" s="265"/>
      <c r="C70" s="265"/>
      <c r="D70" s="265"/>
      <c r="E70" s="265"/>
      <c r="F70" s="265"/>
      <c r="G70" s="260">
        <f>SUM(G65:G69)</f>
        <v>90938.363460119741</v>
      </c>
    </row>
    <row r="71" spans="1:7" ht="15.75" thickBot="1" x14ac:dyDescent="0.3">
      <c r="A71" s="266" t="s">
        <v>20</v>
      </c>
      <c r="B71" s="267"/>
      <c r="C71" s="267"/>
      <c r="D71" s="267"/>
      <c r="E71" s="267"/>
      <c r="F71" s="268"/>
      <c r="G71" s="261">
        <f>G70*30</f>
        <v>2728150.9038035921</v>
      </c>
    </row>
    <row r="72" spans="1:7" ht="15.75" thickBot="1" x14ac:dyDescent="0.3"/>
    <row r="73" spans="1:7" x14ac:dyDescent="0.25">
      <c r="A73" s="269" t="s">
        <v>0</v>
      </c>
      <c r="B73" s="270"/>
      <c r="C73" s="270"/>
      <c r="D73" s="270"/>
      <c r="E73" s="270"/>
      <c r="F73" s="270"/>
      <c r="G73" s="271"/>
    </row>
    <row r="74" spans="1:7" x14ac:dyDescent="0.25">
      <c r="A74" s="272" t="s">
        <v>26</v>
      </c>
      <c r="B74" s="273"/>
      <c r="C74" s="273"/>
      <c r="D74" s="273"/>
      <c r="E74" s="273"/>
      <c r="F74" s="273"/>
      <c r="G74" s="274"/>
    </row>
    <row r="75" spans="1:7" ht="45" x14ac:dyDescent="0.25">
      <c r="A75" s="275" t="s">
        <v>2</v>
      </c>
      <c r="B75" s="276"/>
      <c r="C75" s="276" t="s">
        <v>3</v>
      </c>
      <c r="D75" s="276" t="s">
        <v>4</v>
      </c>
      <c r="E75" s="156" t="s">
        <v>5</v>
      </c>
      <c r="F75" s="156" t="s">
        <v>6</v>
      </c>
      <c r="G75" s="157" t="s">
        <v>7</v>
      </c>
    </row>
    <row r="76" spans="1:7" x14ac:dyDescent="0.25">
      <c r="A76" s="275" t="s">
        <v>8</v>
      </c>
      <c r="B76" s="276"/>
      <c r="C76" s="276"/>
      <c r="D76" s="276"/>
      <c r="E76" s="156" t="s">
        <v>8</v>
      </c>
      <c r="F76" s="156" t="s">
        <v>9</v>
      </c>
      <c r="G76" s="157" t="s">
        <v>10</v>
      </c>
    </row>
    <row r="77" spans="1:7" x14ac:dyDescent="0.25">
      <c r="A77" s="257">
        <v>1</v>
      </c>
      <c r="B77" s="8" t="s">
        <v>11</v>
      </c>
      <c r="C77" s="258" t="s">
        <v>12</v>
      </c>
      <c r="D77" s="259">
        <f>'1'!$T$18</f>
        <v>6025.65</v>
      </c>
      <c r="E77" s="79">
        <f>'1'!$T$119</f>
        <v>11792.096589085169</v>
      </c>
      <c r="F77" s="258">
        <v>1</v>
      </c>
      <c r="G77" s="34">
        <f>E77*F77</f>
        <v>11792.096589085169</v>
      </c>
    </row>
    <row r="78" spans="1:7" x14ac:dyDescent="0.25">
      <c r="A78" s="257">
        <v>2</v>
      </c>
      <c r="B78" s="8" t="s">
        <v>13</v>
      </c>
      <c r="C78" s="258" t="s">
        <v>14</v>
      </c>
      <c r="D78" s="259">
        <f>'2'!$T$18</f>
        <v>4378.97</v>
      </c>
      <c r="E78" s="79">
        <f>'2'!$T$119</f>
        <v>8973.6654475228188</v>
      </c>
      <c r="F78" s="258">
        <v>1</v>
      </c>
      <c r="G78" s="34">
        <f t="shared" ref="G78:G81" si="6">E78*F78</f>
        <v>8973.6654475228188</v>
      </c>
    </row>
    <row r="79" spans="1:7" x14ac:dyDescent="0.25">
      <c r="A79" s="257">
        <v>3</v>
      </c>
      <c r="B79" s="8" t="s">
        <v>15</v>
      </c>
      <c r="C79" s="258" t="s">
        <v>16</v>
      </c>
      <c r="D79" s="259">
        <f>'3'!$T$18</f>
        <v>2842.67</v>
      </c>
      <c r="E79" s="79">
        <f>'3'!$T$119</f>
        <v>6399.7558940725758</v>
      </c>
      <c r="F79" s="258">
        <v>4</v>
      </c>
      <c r="G79" s="34">
        <f t="shared" si="6"/>
        <v>25599.023576290303</v>
      </c>
    </row>
    <row r="80" spans="1:7" x14ac:dyDescent="0.25">
      <c r="A80" s="257">
        <v>4</v>
      </c>
      <c r="B80" s="8" t="s">
        <v>17</v>
      </c>
      <c r="C80" s="258" t="s">
        <v>16</v>
      </c>
      <c r="D80" s="259">
        <f>'4'!$T$18</f>
        <v>3664.08</v>
      </c>
      <c r="E80" s="79">
        <f>'4'!$T$119</f>
        <v>7829.2128999950928</v>
      </c>
      <c r="F80" s="258">
        <v>5</v>
      </c>
      <c r="G80" s="34">
        <f t="shared" si="6"/>
        <v>39146.064499975466</v>
      </c>
    </row>
    <row r="81" spans="1:7" x14ac:dyDescent="0.25">
      <c r="A81" s="257">
        <v>5</v>
      </c>
      <c r="B81" s="8" t="s">
        <v>18</v>
      </c>
      <c r="C81" s="258" t="s">
        <v>14</v>
      </c>
      <c r="D81" s="259">
        <f>'5'!$T$18</f>
        <v>4378.97</v>
      </c>
      <c r="E81" s="79">
        <f>'5'!$T$119</f>
        <v>8973.6654475228188</v>
      </c>
      <c r="F81" s="258">
        <v>1</v>
      </c>
      <c r="G81" s="34">
        <f t="shared" si="6"/>
        <v>8973.6654475228188</v>
      </c>
    </row>
    <row r="82" spans="1:7" x14ac:dyDescent="0.25">
      <c r="A82" s="264" t="s">
        <v>19</v>
      </c>
      <c r="B82" s="265"/>
      <c r="C82" s="265"/>
      <c r="D82" s="265"/>
      <c r="E82" s="265"/>
      <c r="F82" s="265"/>
      <c r="G82" s="260">
        <f>SUM(G77:G81)</f>
        <v>94484.515560396569</v>
      </c>
    </row>
    <row r="83" spans="1:7" ht="15.75" thickBot="1" x14ac:dyDescent="0.3">
      <c r="A83" s="266" t="s">
        <v>20</v>
      </c>
      <c r="B83" s="267"/>
      <c r="C83" s="267"/>
      <c r="D83" s="267"/>
      <c r="E83" s="267"/>
      <c r="F83" s="268"/>
      <c r="G83" s="261">
        <f>G82*30</f>
        <v>2834535.4668118972</v>
      </c>
    </row>
    <row r="84" spans="1:7" ht="15.75" thickBot="1" x14ac:dyDescent="0.3">
      <c r="A84" s="262"/>
      <c r="B84" s="262"/>
      <c r="C84" s="262"/>
      <c r="D84" s="262"/>
      <c r="E84" s="262"/>
      <c r="F84" s="262"/>
      <c r="G84" s="262"/>
    </row>
    <row r="85" spans="1:7" x14ac:dyDescent="0.25">
      <c r="A85" s="269" t="s">
        <v>0</v>
      </c>
      <c r="B85" s="270"/>
      <c r="C85" s="270"/>
      <c r="D85" s="270"/>
      <c r="E85" s="270"/>
      <c r="F85" s="270"/>
      <c r="G85" s="271"/>
    </row>
    <row r="86" spans="1:7" x14ac:dyDescent="0.25">
      <c r="A86" s="272" t="s">
        <v>27</v>
      </c>
      <c r="B86" s="273"/>
      <c r="C86" s="273"/>
      <c r="D86" s="273"/>
      <c r="E86" s="273"/>
      <c r="F86" s="273"/>
      <c r="G86" s="274"/>
    </row>
    <row r="87" spans="1:7" ht="45" x14ac:dyDescent="0.25">
      <c r="A87" s="279" t="s">
        <v>2</v>
      </c>
      <c r="B87" s="280"/>
      <c r="C87" s="280" t="s">
        <v>3</v>
      </c>
      <c r="D87" s="280" t="s">
        <v>4</v>
      </c>
      <c r="E87" s="31" t="s">
        <v>5</v>
      </c>
      <c r="F87" s="31" t="s">
        <v>6</v>
      </c>
      <c r="G87" s="32" t="s">
        <v>7</v>
      </c>
    </row>
    <row r="88" spans="1:7" x14ac:dyDescent="0.25">
      <c r="A88" s="279" t="s">
        <v>8</v>
      </c>
      <c r="B88" s="280"/>
      <c r="C88" s="280"/>
      <c r="D88" s="280"/>
      <c r="E88" s="31" t="s">
        <v>8</v>
      </c>
      <c r="F88" s="31" t="s">
        <v>9</v>
      </c>
      <c r="G88" s="32" t="s">
        <v>10</v>
      </c>
    </row>
    <row r="89" spans="1:7" x14ac:dyDescent="0.25">
      <c r="A89" s="33">
        <v>1</v>
      </c>
      <c r="B89" s="2" t="s">
        <v>11</v>
      </c>
      <c r="C89" s="3" t="s">
        <v>12</v>
      </c>
      <c r="D89" s="4">
        <f>'1'!$T$18</f>
        <v>6025.65</v>
      </c>
      <c r="E89" s="79">
        <f>'1'!$T$119</f>
        <v>11792.096589085169</v>
      </c>
      <c r="F89" s="3">
        <v>1</v>
      </c>
      <c r="G89" s="34">
        <f>E89*F89</f>
        <v>11792.096589085169</v>
      </c>
    </row>
    <row r="90" spans="1:7" x14ac:dyDescent="0.25">
      <c r="A90" s="33">
        <v>2</v>
      </c>
      <c r="B90" s="2" t="s">
        <v>13</v>
      </c>
      <c r="C90" s="3" t="s">
        <v>14</v>
      </c>
      <c r="D90" s="4">
        <f>'2'!$T$18</f>
        <v>4378.97</v>
      </c>
      <c r="E90" s="79">
        <f>'2'!$T$119</f>
        <v>8973.6654475228188</v>
      </c>
      <c r="F90" s="3">
        <v>1</v>
      </c>
      <c r="G90" s="34">
        <f t="shared" ref="G90:G93" si="7">E90*F90</f>
        <v>8973.6654475228188</v>
      </c>
    </row>
    <row r="91" spans="1:7" x14ac:dyDescent="0.25">
      <c r="A91" s="33">
        <v>3</v>
      </c>
      <c r="B91" s="2" t="s">
        <v>15</v>
      </c>
      <c r="C91" s="3" t="s">
        <v>16</v>
      </c>
      <c r="D91" s="4">
        <f>'3'!$T$18</f>
        <v>2842.67</v>
      </c>
      <c r="E91" s="79">
        <f>'3'!$T$119</f>
        <v>6399.7558940725758</v>
      </c>
      <c r="F91" s="3">
        <v>4</v>
      </c>
      <c r="G91" s="34">
        <f t="shared" si="7"/>
        <v>25599.023576290303</v>
      </c>
    </row>
    <row r="92" spans="1:7" x14ac:dyDescent="0.25">
      <c r="A92" s="33">
        <v>4</v>
      </c>
      <c r="B92" s="2" t="s">
        <v>17</v>
      </c>
      <c r="C92" s="3" t="s">
        <v>16</v>
      </c>
      <c r="D92" s="4">
        <f>'4'!$T$18</f>
        <v>3664.08</v>
      </c>
      <c r="E92" s="79">
        <f>'4'!$T$119</f>
        <v>7829.2128999950928</v>
      </c>
      <c r="F92" s="3">
        <v>5</v>
      </c>
      <c r="G92" s="34">
        <f t="shared" si="7"/>
        <v>39146.064499975466</v>
      </c>
    </row>
    <row r="93" spans="1:7" x14ac:dyDescent="0.25">
      <c r="A93" s="33">
        <v>5</v>
      </c>
      <c r="B93" s="2" t="s">
        <v>18</v>
      </c>
      <c r="C93" s="3" t="s">
        <v>14</v>
      </c>
      <c r="D93" s="4">
        <f>'5'!$T$18</f>
        <v>4378.97</v>
      </c>
      <c r="E93" s="79">
        <f>'5'!$T$119</f>
        <v>8973.6654475228188</v>
      </c>
      <c r="F93" s="3">
        <v>1</v>
      </c>
      <c r="G93" s="34">
        <f t="shared" si="7"/>
        <v>8973.6654475228188</v>
      </c>
    </row>
    <row r="94" spans="1:7" x14ac:dyDescent="0.25">
      <c r="A94" s="281" t="s">
        <v>19</v>
      </c>
      <c r="B94" s="282"/>
      <c r="C94" s="282"/>
      <c r="D94" s="282"/>
      <c r="E94" s="282"/>
      <c r="F94" s="282"/>
      <c r="G94" s="35">
        <f>SUM(G89:G93)</f>
        <v>94484.515560396569</v>
      </c>
    </row>
    <row r="95" spans="1:7" ht="15.75" thickBot="1" x14ac:dyDescent="0.3">
      <c r="A95" s="283" t="s">
        <v>20</v>
      </c>
      <c r="B95" s="284"/>
      <c r="C95" s="284"/>
      <c r="D95" s="284"/>
      <c r="E95" s="284"/>
      <c r="F95" s="285"/>
      <c r="G95" s="36">
        <f>G94*30</f>
        <v>2834535.4668118972</v>
      </c>
    </row>
  </sheetData>
  <mergeCells count="64">
    <mergeCell ref="A94:F94"/>
    <mergeCell ref="A95:F95"/>
    <mergeCell ref="A85:G85"/>
    <mergeCell ref="A86:G86"/>
    <mergeCell ref="A87:B87"/>
    <mergeCell ref="C87:C88"/>
    <mergeCell ref="D87:D88"/>
    <mergeCell ref="A88:B88"/>
    <mergeCell ref="A70:F70"/>
    <mergeCell ref="A58:F58"/>
    <mergeCell ref="A59:F59"/>
    <mergeCell ref="A61:G61"/>
    <mergeCell ref="A62:G62"/>
    <mergeCell ref="A63:B63"/>
    <mergeCell ref="C63:C64"/>
    <mergeCell ref="D63:D64"/>
    <mergeCell ref="A64:B64"/>
    <mergeCell ref="A46:F46"/>
    <mergeCell ref="A47:F47"/>
    <mergeCell ref="A49:G49"/>
    <mergeCell ref="A50:G50"/>
    <mergeCell ref="A51:B51"/>
    <mergeCell ref="C51:C52"/>
    <mergeCell ref="D51:D52"/>
    <mergeCell ref="A52:B52"/>
    <mergeCell ref="A34:F34"/>
    <mergeCell ref="A35:F35"/>
    <mergeCell ref="A37:G37"/>
    <mergeCell ref="A38:G38"/>
    <mergeCell ref="A39:B39"/>
    <mergeCell ref="C39:C40"/>
    <mergeCell ref="D39:D40"/>
    <mergeCell ref="A40:B40"/>
    <mergeCell ref="C15:C16"/>
    <mergeCell ref="D15:D16"/>
    <mergeCell ref="A16:B16"/>
    <mergeCell ref="A27:B27"/>
    <mergeCell ref="C27:C28"/>
    <mergeCell ref="D27:D28"/>
    <mergeCell ref="A28:B28"/>
    <mergeCell ref="A71:F71"/>
    <mergeCell ref="A2:G2"/>
    <mergeCell ref="A1:G1"/>
    <mergeCell ref="A11:F11"/>
    <mergeCell ref="A3:B3"/>
    <mergeCell ref="C3:C4"/>
    <mergeCell ref="D3:D4"/>
    <mergeCell ref="A4:B4"/>
    <mergeCell ref="A10:F10"/>
    <mergeCell ref="A22:F22"/>
    <mergeCell ref="A23:F23"/>
    <mergeCell ref="A25:G25"/>
    <mergeCell ref="A26:G26"/>
    <mergeCell ref="A13:G13"/>
    <mergeCell ref="A14:G14"/>
    <mergeCell ref="A15:B15"/>
    <mergeCell ref="A82:F82"/>
    <mergeCell ref="A83:F83"/>
    <mergeCell ref="A73:G73"/>
    <mergeCell ref="A74:G74"/>
    <mergeCell ref="A75:B75"/>
    <mergeCell ref="C75:C76"/>
    <mergeCell ref="D75:D76"/>
    <mergeCell ref="A76:B76"/>
  </mergeCells>
  <pageMargins left="0.511811024" right="0.511811024" top="0.78740157499999996" bottom="0.78740157499999996" header="0.31496062000000002" footer="0.31496062000000002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53BA5-0361-4836-9D2C-93294F84402D}">
  <dimension ref="A1:U67"/>
  <sheetViews>
    <sheetView topLeftCell="A36" workbookViewId="0">
      <selection activeCell="G71" sqref="G71"/>
    </sheetView>
  </sheetViews>
  <sheetFormatPr defaultRowHeight="15" x14ac:dyDescent="0.25"/>
  <cols>
    <col min="1" max="1" width="8.7109375" style="80" bestFit="1" customWidth="1"/>
    <col min="2" max="2" width="10.7109375" style="80" bestFit="1" customWidth="1"/>
    <col min="3" max="3" width="15.42578125" style="80" bestFit="1" customWidth="1"/>
    <col min="4" max="4" width="8.42578125" style="80" bestFit="1" customWidth="1"/>
    <col min="5" max="5" width="12.7109375" style="80" bestFit="1" customWidth="1"/>
    <col min="6" max="6" width="11.7109375" style="80" bestFit="1" customWidth="1"/>
    <col min="7" max="7" width="21.7109375" style="80" customWidth="1"/>
    <col min="8" max="9" width="13.85546875" style="80" bestFit="1" customWidth="1"/>
    <col min="10" max="10" width="11.7109375" style="80" customWidth="1"/>
    <col min="11" max="11" width="13.85546875" style="80" bestFit="1" customWidth="1"/>
    <col min="12" max="18" width="10.7109375" style="80" bestFit="1" customWidth="1"/>
    <col min="19" max="20" width="9.140625" style="80"/>
    <col min="21" max="21" width="13.7109375" style="80" customWidth="1"/>
    <col min="22" max="16384" width="9.140625" style="80"/>
  </cols>
  <sheetData>
    <row r="1" spans="1:18" ht="15.75" thickBot="1" x14ac:dyDescent="0.3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287" t="s">
        <v>28</v>
      </c>
      <c r="L1" s="288"/>
      <c r="M1" s="288"/>
      <c r="N1" s="288"/>
      <c r="O1" s="288"/>
      <c r="P1" s="288"/>
      <c r="Q1" s="288"/>
      <c r="R1" s="289"/>
    </row>
    <row r="2" spans="1:18" x14ac:dyDescent="0.25">
      <c r="A2" s="112"/>
      <c r="B2" s="132" t="s">
        <v>29</v>
      </c>
      <c r="C2" s="132" t="s">
        <v>30</v>
      </c>
      <c r="D2" s="132" t="s">
        <v>31</v>
      </c>
      <c r="E2" s="132" t="s">
        <v>32</v>
      </c>
      <c r="F2" s="132" t="s">
        <v>33</v>
      </c>
      <c r="G2" s="132" t="s">
        <v>34</v>
      </c>
      <c r="H2" s="132" t="s">
        <v>35</v>
      </c>
      <c r="I2" s="132" t="s">
        <v>36</v>
      </c>
      <c r="J2" s="112"/>
      <c r="K2" s="127">
        <v>44552</v>
      </c>
      <c r="L2" s="128">
        <f>$G$4/30</f>
        <v>4142.1093588103486</v>
      </c>
      <c r="M2" s="129">
        <v>44583</v>
      </c>
      <c r="N2" s="128">
        <f>$G$4/30</f>
        <v>4142.1093588103486</v>
      </c>
      <c r="O2" s="129">
        <v>44948</v>
      </c>
      <c r="P2" s="130">
        <f>$G$7/18</f>
        <v>4626.4585818898822</v>
      </c>
      <c r="Q2" s="129">
        <v>45313</v>
      </c>
      <c r="R2" s="131">
        <f t="shared" ref="R2:R6" si="0">$G$8/15</f>
        <v>4789.1799522054052</v>
      </c>
    </row>
    <row r="3" spans="1:18" x14ac:dyDescent="0.25">
      <c r="A3" s="132" t="s">
        <v>37</v>
      </c>
      <c r="B3" s="118">
        <v>44522</v>
      </c>
      <c r="C3" s="133">
        <f>'Quadro-Resumo'!G11</f>
        <v>2336850.8002592516</v>
      </c>
      <c r="D3" s="134">
        <v>0.05</v>
      </c>
      <c r="E3" s="133">
        <f>C3*D3</f>
        <v>116842.54001296259</v>
      </c>
      <c r="F3" s="132">
        <v>0</v>
      </c>
      <c r="G3" s="132" t="s">
        <v>38</v>
      </c>
      <c r="H3" s="132"/>
      <c r="I3" s="132"/>
      <c r="J3" s="112"/>
      <c r="K3" s="111"/>
      <c r="L3" s="112"/>
      <c r="M3" s="118">
        <v>44614</v>
      </c>
      <c r="N3" s="119">
        <f>$G$4/30</f>
        <v>4142.1093588103486</v>
      </c>
      <c r="O3" s="118">
        <v>44979</v>
      </c>
      <c r="P3" s="120">
        <f>$G$7/18</f>
        <v>4626.4585818898822</v>
      </c>
      <c r="Q3" s="118">
        <v>45344</v>
      </c>
      <c r="R3" s="123">
        <f t="shared" si="0"/>
        <v>4789.1799522054052</v>
      </c>
    </row>
    <row r="4" spans="1:18" x14ac:dyDescent="0.25">
      <c r="A4" s="286" t="s">
        <v>39</v>
      </c>
      <c r="B4" s="118">
        <v>44522</v>
      </c>
      <c r="C4" s="133">
        <f>'Quadro-Resumo'!G23</f>
        <v>2485265.6152862087</v>
      </c>
      <c r="D4" s="134">
        <v>0.05</v>
      </c>
      <c r="E4" s="133">
        <f>C4*D4</f>
        <v>124263.28076431045</v>
      </c>
      <c r="F4" s="133">
        <f>SUM(L2,N2:N6)</f>
        <v>24852.656152862088</v>
      </c>
      <c r="G4" s="133">
        <f>E4-F3</f>
        <v>124263.28076431045</v>
      </c>
      <c r="H4" s="133">
        <f>G4/30</f>
        <v>4142.1093588103486</v>
      </c>
      <c r="I4" s="132"/>
      <c r="J4" s="112"/>
      <c r="K4" s="111"/>
      <c r="L4" s="112"/>
      <c r="M4" s="118">
        <v>44642</v>
      </c>
      <c r="N4" s="119">
        <f>$G$4/30</f>
        <v>4142.1093588103486</v>
      </c>
      <c r="O4" s="118">
        <v>45007</v>
      </c>
      <c r="P4" s="121">
        <f>$G$8/15</f>
        <v>4789.1799522054052</v>
      </c>
      <c r="Q4" s="118">
        <v>45373</v>
      </c>
      <c r="R4" s="123">
        <f t="shared" si="0"/>
        <v>4789.1799522054052</v>
      </c>
    </row>
    <row r="5" spans="1:18" x14ac:dyDescent="0.25">
      <c r="A5" s="286"/>
      <c r="B5" s="118">
        <v>44682</v>
      </c>
      <c r="C5" s="133">
        <f>'Quadro-Resumo'!G35</f>
        <v>2523784.488355062</v>
      </c>
      <c r="D5" s="134">
        <v>0.05</v>
      </c>
      <c r="E5" s="133">
        <f>C5*D5</f>
        <v>126189.22441775311</v>
      </c>
      <c r="F5" s="133">
        <f>SUM(N7:N11)</f>
        <v>21111.785055185628</v>
      </c>
      <c r="G5" s="133">
        <f>E5-F4</f>
        <v>101336.56826489102</v>
      </c>
      <c r="H5" s="133">
        <f>G5/24</f>
        <v>4222.3570110371256</v>
      </c>
      <c r="I5" s="132"/>
      <c r="J5" s="112"/>
      <c r="K5" s="111"/>
      <c r="L5" s="112"/>
      <c r="M5" s="118">
        <v>44673</v>
      </c>
      <c r="N5" s="119">
        <f>$G$4/30</f>
        <v>4142.1093588103486</v>
      </c>
      <c r="O5" s="118">
        <v>45038</v>
      </c>
      <c r="P5" s="121">
        <f t="shared" ref="P5:P13" si="1">$G$8/15</f>
        <v>4789.1799522054052</v>
      </c>
      <c r="Q5" s="118">
        <v>45404</v>
      </c>
      <c r="R5" s="123">
        <f t="shared" si="0"/>
        <v>4789.1799522054052</v>
      </c>
    </row>
    <row r="6" spans="1:18" x14ac:dyDescent="0.25">
      <c r="A6" s="286"/>
      <c r="B6" s="118">
        <v>44866</v>
      </c>
      <c r="C6" s="133">
        <f>'Quadro-Resumo'!G47</f>
        <v>2715179.8264457933</v>
      </c>
      <c r="D6" s="134">
        <v>0.05</v>
      </c>
      <c r="E6" s="133">
        <f t="shared" ref="E6:E7" si="2">C6*D6</f>
        <v>135758.99132228966</v>
      </c>
      <c r="F6" s="133">
        <f>N12</f>
        <v>4726.0289533811547</v>
      </c>
      <c r="G6" s="133">
        <f>E6-SUM(F4:F5)</f>
        <v>89794.550114241938</v>
      </c>
      <c r="H6" s="133">
        <f>G6/19</f>
        <v>4726.0289533811547</v>
      </c>
      <c r="I6" s="132"/>
      <c r="J6" s="112"/>
      <c r="K6" s="111"/>
      <c r="L6" s="112"/>
      <c r="M6" s="118">
        <v>44703</v>
      </c>
      <c r="N6" s="119">
        <f>$G$4/30</f>
        <v>4142.1093588103486</v>
      </c>
      <c r="O6" s="118">
        <v>45068</v>
      </c>
      <c r="P6" s="121">
        <f t="shared" si="1"/>
        <v>4789.1799522054052</v>
      </c>
      <c r="Q6" s="118">
        <v>45433</v>
      </c>
      <c r="R6" s="123">
        <f t="shared" si="0"/>
        <v>4789.1799522054052</v>
      </c>
    </row>
    <row r="7" spans="1:18" x14ac:dyDescent="0.25">
      <c r="A7" s="286"/>
      <c r="B7" s="118">
        <v>44887</v>
      </c>
      <c r="C7" s="133">
        <f>'Quadro-Resumo'!G59</f>
        <v>2679334.4927089354</v>
      </c>
      <c r="D7" s="134">
        <v>0.05</v>
      </c>
      <c r="E7" s="133">
        <f t="shared" si="2"/>
        <v>133966.72463544676</v>
      </c>
      <c r="F7" s="133">
        <f>SUM(N13,P2:P3)</f>
        <v>13879.375745669648</v>
      </c>
      <c r="G7" s="133">
        <f>E7-SUM(F4:F6)</f>
        <v>83276.254474017886</v>
      </c>
      <c r="H7" s="133">
        <f>G7/18</f>
        <v>4626.4585818898822</v>
      </c>
      <c r="I7" s="132"/>
      <c r="J7" s="112"/>
      <c r="K7" s="111"/>
      <c r="L7" s="112"/>
      <c r="M7" s="118">
        <v>44734</v>
      </c>
      <c r="N7" s="122">
        <f>$G$5/24</f>
        <v>4222.3570110371256</v>
      </c>
      <c r="O7" s="118">
        <v>45099</v>
      </c>
      <c r="P7" s="121">
        <f t="shared" si="1"/>
        <v>4789.1799522054052</v>
      </c>
      <c r="Q7" s="112"/>
      <c r="R7" s="115"/>
    </row>
    <row r="8" spans="1:18" x14ac:dyDescent="0.25">
      <c r="A8" s="286"/>
      <c r="B8" s="118">
        <v>44958</v>
      </c>
      <c r="C8" s="133">
        <f>'Quadro-Resumo'!G71</f>
        <v>2728150.9038035921</v>
      </c>
      <c r="D8" s="134">
        <v>0.05</v>
      </c>
      <c r="E8" s="133">
        <f>C8*D8</f>
        <v>136407.5451901796</v>
      </c>
      <c r="F8" s="133">
        <f>SUM(P4:P13,R2:R6)</f>
        <v>71837.699283081078</v>
      </c>
      <c r="G8" s="133">
        <f>E8-SUM(F4:F7)</f>
        <v>71837.699283081078</v>
      </c>
      <c r="H8" s="133">
        <f>G8/15</f>
        <v>4789.1799522054052</v>
      </c>
      <c r="I8" s="135">
        <f>SUM(L2,N2:N13,P2:P13,R2:R6)-E3</f>
        <v>19565.005177216983</v>
      </c>
      <c r="J8" s="112"/>
      <c r="K8" s="111"/>
      <c r="L8" s="112"/>
      <c r="M8" s="118">
        <v>44764</v>
      </c>
      <c r="N8" s="122">
        <f t="shared" ref="N8:N11" si="3">$G$5/24</f>
        <v>4222.3570110371256</v>
      </c>
      <c r="O8" s="118">
        <v>45129</v>
      </c>
      <c r="P8" s="121">
        <f t="shared" si="1"/>
        <v>4789.1799522054052</v>
      </c>
      <c r="Q8" s="112"/>
      <c r="R8" s="116"/>
    </row>
    <row r="9" spans="1:18" x14ac:dyDescent="0.25">
      <c r="A9" s="112"/>
      <c r="B9" s="112"/>
      <c r="C9" s="136"/>
      <c r="D9" s="112"/>
      <c r="E9" s="112"/>
      <c r="F9" s="112"/>
      <c r="G9" s="112"/>
      <c r="H9" s="112"/>
      <c r="I9" s="112"/>
      <c r="J9" s="112"/>
      <c r="K9" s="111"/>
      <c r="L9" s="112"/>
      <c r="M9" s="118">
        <v>44795</v>
      </c>
      <c r="N9" s="122">
        <f t="shared" si="3"/>
        <v>4222.3570110371256</v>
      </c>
      <c r="O9" s="118">
        <v>45160</v>
      </c>
      <c r="P9" s="121">
        <f t="shared" si="1"/>
        <v>4789.1799522054052</v>
      </c>
      <c r="Q9" s="112"/>
      <c r="R9" s="115"/>
    </row>
    <row r="10" spans="1:18" x14ac:dyDescent="0.25">
      <c r="C10" s="81"/>
      <c r="K10" s="111"/>
      <c r="L10" s="112"/>
      <c r="M10" s="118">
        <v>44826</v>
      </c>
      <c r="N10" s="122">
        <f t="shared" si="3"/>
        <v>4222.3570110371256</v>
      </c>
      <c r="O10" s="118">
        <v>45191</v>
      </c>
      <c r="P10" s="121">
        <f t="shared" si="1"/>
        <v>4789.1799522054052</v>
      </c>
      <c r="Q10" s="112"/>
      <c r="R10" s="115"/>
    </row>
    <row r="11" spans="1:18" x14ac:dyDescent="0.25">
      <c r="C11" s="81"/>
      <c r="K11" s="111"/>
      <c r="L11" s="112"/>
      <c r="M11" s="118">
        <v>44856</v>
      </c>
      <c r="N11" s="122">
        <f t="shared" si="3"/>
        <v>4222.3570110371256</v>
      </c>
      <c r="O11" s="118">
        <v>45221</v>
      </c>
      <c r="P11" s="121">
        <f t="shared" si="1"/>
        <v>4789.1799522054052</v>
      </c>
      <c r="Q11" s="112"/>
      <c r="R11" s="115"/>
    </row>
    <row r="12" spans="1:18" x14ac:dyDescent="0.25">
      <c r="C12" s="81"/>
      <c r="K12" s="111"/>
      <c r="L12" s="112"/>
      <c r="M12" s="118">
        <v>44887</v>
      </c>
      <c r="N12" s="120">
        <f>$G$6/19</f>
        <v>4726.0289533811547</v>
      </c>
      <c r="O12" s="118">
        <v>45252</v>
      </c>
      <c r="P12" s="121">
        <f t="shared" si="1"/>
        <v>4789.1799522054052</v>
      </c>
      <c r="Q12" s="112"/>
      <c r="R12" s="115"/>
    </row>
    <row r="13" spans="1:18" ht="15.75" thickBot="1" x14ac:dyDescent="0.3">
      <c r="C13" s="81"/>
      <c r="K13" s="113"/>
      <c r="L13" s="114"/>
      <c r="M13" s="124">
        <v>44917</v>
      </c>
      <c r="N13" s="125">
        <f>$G$7/18</f>
        <v>4626.4585818898822</v>
      </c>
      <c r="O13" s="124">
        <v>45282</v>
      </c>
      <c r="P13" s="126">
        <f t="shared" si="1"/>
        <v>4789.1799522054052</v>
      </c>
      <c r="Q13" s="114"/>
      <c r="R13" s="117"/>
    </row>
    <row r="14" spans="1:18" ht="15" customHeight="1" x14ac:dyDescent="0.25">
      <c r="C14" s="81"/>
      <c r="K14" s="290" t="s">
        <v>40</v>
      </c>
      <c r="L14" s="290"/>
      <c r="M14" s="290"/>
      <c r="N14" s="290"/>
      <c r="O14" s="290"/>
      <c r="P14" s="290"/>
      <c r="Q14" s="290"/>
      <c r="R14" s="290"/>
    </row>
    <row r="15" spans="1:18" x14ac:dyDescent="0.25">
      <c r="C15" s="81"/>
      <c r="K15" s="291"/>
      <c r="L15" s="291"/>
      <c r="M15" s="291"/>
      <c r="N15" s="291"/>
      <c r="O15" s="291"/>
      <c r="P15" s="291"/>
      <c r="Q15" s="291"/>
      <c r="R15" s="291"/>
    </row>
    <row r="16" spans="1:18" x14ac:dyDescent="0.25">
      <c r="C16" s="81"/>
      <c r="K16" s="291"/>
      <c r="L16" s="291"/>
      <c r="M16" s="291"/>
      <c r="N16" s="291"/>
      <c r="O16" s="291"/>
      <c r="P16" s="291"/>
      <c r="Q16" s="291"/>
      <c r="R16" s="291"/>
    </row>
    <row r="17" spans="3:18" x14ac:dyDescent="0.25">
      <c r="C17" s="81"/>
      <c r="K17" s="291"/>
      <c r="L17" s="291"/>
      <c r="M17" s="291"/>
      <c r="N17" s="291"/>
      <c r="O17" s="291"/>
      <c r="P17" s="291"/>
      <c r="Q17" s="291"/>
      <c r="R17" s="291"/>
    </row>
    <row r="18" spans="3:18" x14ac:dyDescent="0.25">
      <c r="C18" s="81"/>
      <c r="K18" s="291"/>
      <c r="L18" s="291"/>
      <c r="M18" s="291"/>
      <c r="N18" s="291"/>
      <c r="O18" s="291"/>
      <c r="P18" s="291"/>
      <c r="Q18" s="291"/>
      <c r="R18" s="291"/>
    </row>
    <row r="19" spans="3:18" x14ac:dyDescent="0.25">
      <c r="C19" s="81"/>
      <c r="K19" s="291"/>
      <c r="L19" s="291"/>
      <c r="M19" s="291"/>
      <c r="N19" s="291"/>
      <c r="O19" s="291"/>
      <c r="P19" s="291"/>
      <c r="Q19" s="291"/>
      <c r="R19" s="291"/>
    </row>
    <row r="20" spans="3:18" x14ac:dyDescent="0.25">
      <c r="C20" s="81"/>
      <c r="K20" s="291"/>
      <c r="L20" s="291"/>
      <c r="M20" s="291"/>
      <c r="N20" s="291"/>
      <c r="O20" s="291"/>
      <c r="P20" s="291"/>
      <c r="Q20" s="291"/>
      <c r="R20" s="291"/>
    </row>
    <row r="21" spans="3:18" x14ac:dyDescent="0.25">
      <c r="C21" s="81"/>
      <c r="K21" s="291"/>
      <c r="L21" s="291"/>
      <c r="M21" s="291"/>
      <c r="N21" s="291"/>
      <c r="O21" s="291"/>
      <c r="P21" s="291"/>
      <c r="Q21" s="291"/>
      <c r="R21" s="291"/>
    </row>
    <row r="22" spans="3:18" x14ac:dyDescent="0.25">
      <c r="C22" s="81"/>
      <c r="K22" s="291"/>
      <c r="L22" s="291"/>
      <c r="M22" s="291"/>
      <c r="N22" s="291"/>
      <c r="O22" s="291"/>
      <c r="P22" s="291"/>
      <c r="Q22" s="291"/>
      <c r="R22" s="291"/>
    </row>
    <row r="23" spans="3:18" x14ac:dyDescent="0.25">
      <c r="K23" s="291"/>
      <c r="L23" s="291"/>
      <c r="M23" s="291"/>
      <c r="N23" s="291"/>
      <c r="O23" s="291"/>
      <c r="P23" s="291"/>
      <c r="Q23" s="291"/>
      <c r="R23" s="291"/>
    </row>
    <row r="24" spans="3:18" x14ac:dyDescent="0.25">
      <c r="K24" s="291"/>
      <c r="L24" s="291"/>
      <c r="M24" s="291"/>
      <c r="N24" s="291"/>
      <c r="O24" s="291"/>
      <c r="P24" s="291"/>
      <c r="Q24" s="291"/>
      <c r="R24" s="291"/>
    </row>
    <row r="25" spans="3:18" x14ac:dyDescent="0.25">
      <c r="K25" s="291"/>
      <c r="L25" s="291"/>
      <c r="M25" s="291"/>
      <c r="N25" s="291"/>
      <c r="O25" s="291"/>
      <c r="P25" s="291"/>
      <c r="Q25" s="291"/>
      <c r="R25" s="291"/>
    </row>
    <row r="26" spans="3:18" x14ac:dyDescent="0.25">
      <c r="K26" s="291"/>
      <c r="L26" s="291"/>
      <c r="M26" s="291"/>
      <c r="N26" s="291"/>
      <c r="O26" s="291"/>
      <c r="P26" s="291"/>
      <c r="Q26" s="291"/>
      <c r="R26" s="291"/>
    </row>
    <row r="27" spans="3:18" x14ac:dyDescent="0.25">
      <c r="K27" s="291"/>
      <c r="L27" s="291"/>
      <c r="M27" s="291"/>
      <c r="N27" s="291"/>
      <c r="O27" s="291"/>
      <c r="P27" s="291"/>
      <c r="Q27" s="291"/>
      <c r="R27" s="291"/>
    </row>
    <row r="28" spans="3:18" x14ac:dyDescent="0.25">
      <c r="K28" s="291"/>
      <c r="L28" s="291"/>
      <c r="M28" s="291"/>
      <c r="N28" s="291"/>
      <c r="O28" s="291"/>
      <c r="P28" s="291"/>
      <c r="Q28" s="291"/>
      <c r="R28" s="291"/>
    </row>
    <row r="29" spans="3:18" x14ac:dyDescent="0.25">
      <c r="K29" s="154"/>
      <c r="L29" s="154"/>
      <c r="M29" s="154"/>
      <c r="N29" s="154"/>
      <c r="O29" s="154"/>
      <c r="P29" s="154"/>
      <c r="Q29" s="154"/>
      <c r="R29" s="154"/>
    </row>
    <row r="30" spans="3:18" x14ac:dyDescent="0.25">
      <c r="K30" s="154"/>
      <c r="L30" s="154"/>
      <c r="M30" s="154"/>
      <c r="N30" s="154"/>
      <c r="O30" s="154"/>
      <c r="P30" s="154"/>
      <c r="Q30" s="154"/>
      <c r="R30" s="154"/>
    </row>
    <row r="31" spans="3:18" x14ac:dyDescent="0.25">
      <c r="K31" s="154"/>
      <c r="L31" s="154"/>
      <c r="M31" s="154"/>
      <c r="N31" s="154"/>
      <c r="O31" s="154"/>
      <c r="P31" s="154"/>
      <c r="Q31" s="154"/>
      <c r="R31" s="154"/>
    </row>
    <row r="32" spans="3:18" x14ac:dyDescent="0.25">
      <c r="K32" s="154"/>
      <c r="L32" s="154"/>
      <c r="M32" s="154"/>
      <c r="N32" s="154"/>
      <c r="O32" s="154"/>
      <c r="P32" s="154"/>
      <c r="Q32" s="154"/>
      <c r="R32" s="154"/>
    </row>
    <row r="33" spans="2:21" x14ac:dyDescent="0.25">
      <c r="B33" s="252">
        <v>44501</v>
      </c>
      <c r="C33" s="253">
        <f>E33*9</f>
        <v>24852.656999999999</v>
      </c>
      <c r="E33" s="253">
        <f>82842.19/30</f>
        <v>2761.4063333333334</v>
      </c>
      <c r="J33" s="252">
        <v>45444</v>
      </c>
      <c r="K33" s="256">
        <f>E52*24</f>
        <v>75587.615999999995</v>
      </c>
      <c r="L33" s="154"/>
      <c r="M33" s="154"/>
      <c r="N33" s="154"/>
      <c r="O33" s="154"/>
      <c r="P33" s="154"/>
      <c r="Q33" s="154"/>
      <c r="R33" s="154"/>
      <c r="U33" s="253"/>
    </row>
    <row r="34" spans="2:21" x14ac:dyDescent="0.25">
      <c r="B34" s="252">
        <v>44531</v>
      </c>
      <c r="C34" s="253">
        <v>82842.19</v>
      </c>
      <c r="E34" s="253"/>
      <c r="J34" s="252">
        <v>45474</v>
      </c>
      <c r="K34" s="256">
        <v>94484.52</v>
      </c>
      <c r="L34" s="154"/>
      <c r="M34" s="154"/>
      <c r="N34" s="154"/>
      <c r="O34" s="154"/>
      <c r="P34" s="154"/>
      <c r="Q34" s="154"/>
      <c r="R34" s="154"/>
    </row>
    <row r="35" spans="2:21" x14ac:dyDescent="0.25">
      <c r="B35" s="252">
        <v>44562</v>
      </c>
      <c r="C35" s="253">
        <v>82842.19</v>
      </c>
      <c r="J35" s="252">
        <v>45505</v>
      </c>
      <c r="K35" s="256">
        <v>94484.52</v>
      </c>
      <c r="L35" s="154"/>
      <c r="M35" s="154"/>
      <c r="N35" s="154"/>
      <c r="O35" s="154"/>
      <c r="P35" s="154"/>
      <c r="Q35" s="154"/>
      <c r="R35" s="154"/>
    </row>
    <row r="36" spans="2:21" x14ac:dyDescent="0.25">
      <c r="B36" s="252">
        <v>44593</v>
      </c>
      <c r="C36" s="253">
        <v>82842.19</v>
      </c>
      <c r="J36" s="252">
        <v>45536</v>
      </c>
      <c r="K36" s="256">
        <v>94484.52</v>
      </c>
      <c r="L36" s="154"/>
      <c r="M36" s="154"/>
      <c r="N36" s="154"/>
      <c r="O36" s="154"/>
      <c r="P36" s="154"/>
      <c r="Q36" s="154"/>
      <c r="R36" s="154"/>
    </row>
    <row r="37" spans="2:21" x14ac:dyDescent="0.25">
      <c r="B37" s="252">
        <v>44621</v>
      </c>
      <c r="C37" s="253">
        <v>82842.19</v>
      </c>
      <c r="J37" s="252">
        <v>45566</v>
      </c>
      <c r="K37" s="256">
        <v>94484.52</v>
      </c>
    </row>
    <row r="38" spans="2:21" x14ac:dyDescent="0.25">
      <c r="B38" s="252">
        <v>44652</v>
      </c>
      <c r="C38" s="253">
        <v>82842.19</v>
      </c>
      <c r="J38" s="252">
        <v>45597</v>
      </c>
      <c r="K38" s="256">
        <v>94484.52</v>
      </c>
    </row>
    <row r="39" spans="2:21" x14ac:dyDescent="0.25">
      <c r="B39" s="252">
        <v>44682</v>
      </c>
      <c r="C39" s="253">
        <v>84126.15</v>
      </c>
      <c r="J39" s="252">
        <v>45627</v>
      </c>
      <c r="K39" s="253">
        <f>E52*6</f>
        <v>18896.903999999999</v>
      </c>
    </row>
    <row r="40" spans="2:21" x14ac:dyDescent="0.25">
      <c r="B40" s="252">
        <v>44713</v>
      </c>
      <c r="C40" s="253">
        <v>84126.15</v>
      </c>
      <c r="K40" s="253">
        <f>SUM(K33:K39)</f>
        <v>566907.12</v>
      </c>
    </row>
    <row r="41" spans="2:21" x14ac:dyDescent="0.25">
      <c r="B41" s="252">
        <v>44743</v>
      </c>
      <c r="C41" s="253">
        <v>84126.15</v>
      </c>
      <c r="J41" s="254" t="s">
        <v>41</v>
      </c>
      <c r="K41" s="255">
        <f>K40*5%</f>
        <v>28345.356</v>
      </c>
    </row>
    <row r="42" spans="2:21" x14ac:dyDescent="0.25">
      <c r="B42" s="252">
        <v>44774</v>
      </c>
      <c r="C42" s="253">
        <v>84126.15</v>
      </c>
    </row>
    <row r="43" spans="2:21" x14ac:dyDescent="0.25">
      <c r="B43" s="252">
        <v>44805</v>
      </c>
      <c r="C43" s="253">
        <v>84126.15</v>
      </c>
    </row>
    <row r="44" spans="2:21" x14ac:dyDescent="0.25">
      <c r="B44" s="252">
        <v>44835</v>
      </c>
      <c r="C44" s="253">
        <v>84126.15</v>
      </c>
      <c r="E44" s="253">
        <f>90505.99/30</f>
        <v>3016.8663333333334</v>
      </c>
      <c r="U44" s="253"/>
    </row>
    <row r="45" spans="2:21" x14ac:dyDescent="0.25">
      <c r="B45" s="252">
        <v>44866</v>
      </c>
      <c r="C45" s="253">
        <f>E44*21</f>
        <v>63354.192999999999</v>
      </c>
    </row>
    <row r="46" spans="2:21" x14ac:dyDescent="0.25">
      <c r="B46" s="252">
        <v>44866</v>
      </c>
      <c r="C46" s="253">
        <f>E46*9</f>
        <v>26793.344999999998</v>
      </c>
      <c r="E46" s="253">
        <f>89311.15/30</f>
        <v>2977.038333333333</v>
      </c>
      <c r="U46" s="253"/>
    </row>
    <row r="47" spans="2:21" x14ac:dyDescent="0.25">
      <c r="B47" s="252">
        <v>44896</v>
      </c>
      <c r="C47" s="253">
        <v>89311.15</v>
      </c>
    </row>
    <row r="48" spans="2:21" x14ac:dyDescent="0.25">
      <c r="B48" s="252">
        <v>44927</v>
      </c>
      <c r="C48" s="253">
        <v>89311.15</v>
      </c>
    </row>
    <row r="49" spans="2:8" x14ac:dyDescent="0.25">
      <c r="B49" s="252">
        <v>44958</v>
      </c>
      <c r="C49" s="253">
        <v>90938.36</v>
      </c>
    </row>
    <row r="50" spans="2:8" x14ac:dyDescent="0.25">
      <c r="B50" s="252">
        <v>44986</v>
      </c>
      <c r="C50" s="253">
        <v>90938.36</v>
      </c>
    </row>
    <row r="51" spans="2:8" x14ac:dyDescent="0.25">
      <c r="B51" s="252">
        <v>45017</v>
      </c>
      <c r="C51" s="253">
        <v>90938.36</v>
      </c>
    </row>
    <row r="52" spans="2:8" x14ac:dyDescent="0.25">
      <c r="B52" s="252">
        <v>45047</v>
      </c>
      <c r="C52" s="253">
        <v>94484.52</v>
      </c>
      <c r="E52" s="253">
        <f>94484.52/30</f>
        <v>3149.4839999999999</v>
      </c>
    </row>
    <row r="53" spans="2:8" x14ac:dyDescent="0.25">
      <c r="B53" s="252">
        <v>45078</v>
      </c>
      <c r="C53" s="253">
        <v>94484.52</v>
      </c>
    </row>
    <row r="54" spans="2:8" x14ac:dyDescent="0.25">
      <c r="B54" s="252">
        <v>45108</v>
      </c>
      <c r="C54" s="253">
        <v>94484.52</v>
      </c>
    </row>
    <row r="55" spans="2:8" x14ac:dyDescent="0.25">
      <c r="B55" s="252">
        <v>45139</v>
      </c>
      <c r="C55" s="253">
        <v>94484.52</v>
      </c>
    </row>
    <row r="56" spans="2:8" x14ac:dyDescent="0.25">
      <c r="B56" s="252">
        <v>45170</v>
      </c>
      <c r="C56" s="253">
        <v>94484.52</v>
      </c>
    </row>
    <row r="57" spans="2:8" x14ac:dyDescent="0.25">
      <c r="B57" s="252">
        <v>45200</v>
      </c>
      <c r="C57" s="253">
        <v>94484.52</v>
      </c>
    </row>
    <row r="58" spans="2:8" x14ac:dyDescent="0.25">
      <c r="B58" s="252">
        <v>45231</v>
      </c>
      <c r="C58" s="253">
        <v>94484.52</v>
      </c>
    </row>
    <row r="59" spans="2:8" x14ac:dyDescent="0.25">
      <c r="B59" s="252">
        <v>45261</v>
      </c>
      <c r="C59" s="253">
        <v>94484.52</v>
      </c>
    </row>
    <row r="60" spans="2:8" x14ac:dyDescent="0.25">
      <c r="B60" s="252">
        <v>45292</v>
      </c>
      <c r="C60" s="253">
        <v>94484.52</v>
      </c>
    </row>
    <row r="61" spans="2:8" x14ac:dyDescent="0.25">
      <c r="B61" s="252">
        <v>45323</v>
      </c>
      <c r="C61" s="253">
        <v>94484.52</v>
      </c>
    </row>
    <row r="62" spans="2:8" x14ac:dyDescent="0.25">
      <c r="B62" s="252">
        <v>45352</v>
      </c>
      <c r="C62" s="253">
        <v>94484.52</v>
      </c>
      <c r="G62" s="80" t="s">
        <v>42</v>
      </c>
      <c r="H62" s="253">
        <v>116842.54</v>
      </c>
    </row>
    <row r="63" spans="2:8" x14ac:dyDescent="0.25">
      <c r="B63" s="252">
        <v>45383</v>
      </c>
      <c r="C63" s="253">
        <v>94484.52</v>
      </c>
      <c r="G63" s="80" t="s">
        <v>43</v>
      </c>
      <c r="H63" s="253">
        <v>19565.009999999998</v>
      </c>
    </row>
    <row r="64" spans="2:8" x14ac:dyDescent="0.25">
      <c r="B64" s="252">
        <v>45413</v>
      </c>
      <c r="C64" s="253">
        <v>94484.52</v>
      </c>
      <c r="H64" s="253">
        <f>SUM(H62:H63)</f>
        <v>136407.54999999999</v>
      </c>
    </row>
    <row r="65" spans="2:8" x14ac:dyDescent="0.25">
      <c r="B65" s="252">
        <v>45444</v>
      </c>
      <c r="C65" s="253">
        <f>E52*6</f>
        <v>18896.903999999999</v>
      </c>
      <c r="G65" s="254" t="s">
        <v>44</v>
      </c>
      <c r="H65" s="255">
        <f>C67-H64</f>
        <v>222.50445000003674</v>
      </c>
    </row>
    <row r="66" spans="2:8" x14ac:dyDescent="0.25">
      <c r="C66" s="253">
        <f>SUM(C33:C65)</f>
        <v>2732601.0890000006</v>
      </c>
    </row>
    <row r="67" spans="2:8" x14ac:dyDescent="0.25">
      <c r="B67" s="254" t="s">
        <v>41</v>
      </c>
      <c r="C67" s="255">
        <f>C66*5%</f>
        <v>136630.05445000003</v>
      </c>
    </row>
  </sheetData>
  <mergeCells count="3">
    <mergeCell ref="A4:A8"/>
    <mergeCell ref="K1:R1"/>
    <mergeCell ref="K14:R2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19"/>
  <sheetViews>
    <sheetView topLeftCell="G1" zoomScaleNormal="100" zoomScaleSheetLayoutView="100" workbookViewId="0">
      <selection activeCell="T12" sqref="T12"/>
    </sheetView>
  </sheetViews>
  <sheetFormatPr defaultRowHeight="15" x14ac:dyDescent="0.25"/>
  <cols>
    <col min="1" max="1" width="4.7109375" style="9" bestFit="1" customWidth="1"/>
    <col min="2" max="2" width="85.7109375" style="9" bestFit="1" customWidth="1"/>
    <col min="3" max="3" width="10.5703125" style="9" bestFit="1" customWidth="1"/>
    <col min="4" max="4" width="11.7109375" style="9" bestFit="1" customWidth="1"/>
    <col min="5" max="18" width="15.7109375" style="9" customWidth="1"/>
    <col min="19" max="20" width="15.7109375" style="180" customWidth="1"/>
    <col min="21" max="21" width="18.85546875" style="9" bestFit="1" customWidth="1"/>
    <col min="22" max="22" width="23.5703125" style="9" bestFit="1" customWidth="1"/>
    <col min="23" max="23" width="8" style="9" bestFit="1" customWidth="1"/>
    <col min="24" max="16384" width="9.140625" style="9"/>
  </cols>
  <sheetData>
    <row r="1" spans="1:22" ht="15" customHeight="1" x14ac:dyDescent="0.25">
      <c r="A1" s="344" t="s">
        <v>45</v>
      </c>
      <c r="B1" s="345"/>
      <c r="C1" s="345"/>
      <c r="D1" s="346"/>
      <c r="E1" s="292" t="s">
        <v>46</v>
      </c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4"/>
      <c r="S1" s="179"/>
      <c r="T1" s="179"/>
    </row>
    <row r="2" spans="1:22" ht="15.75" thickBot="1" x14ac:dyDescent="0.3">
      <c r="A2" s="347" t="s">
        <v>47</v>
      </c>
      <c r="B2" s="348"/>
      <c r="C2" s="348"/>
      <c r="D2" s="349"/>
      <c r="E2" s="295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7"/>
      <c r="S2" s="179"/>
      <c r="T2" s="179"/>
    </row>
    <row r="3" spans="1:22" ht="80.099999999999994" customHeight="1" x14ac:dyDescent="0.25">
      <c r="A3" s="75">
        <v>1</v>
      </c>
      <c r="B3" s="76" t="s">
        <v>48</v>
      </c>
      <c r="C3" s="324" t="s">
        <v>49</v>
      </c>
      <c r="D3" s="325"/>
      <c r="E3" s="310" t="s">
        <v>49</v>
      </c>
      <c r="F3" s="304"/>
      <c r="G3" s="305"/>
      <c r="H3" s="306"/>
      <c r="I3" s="304" t="s">
        <v>49</v>
      </c>
      <c r="J3" s="304"/>
      <c r="K3" s="307"/>
      <c r="L3" s="307"/>
      <c r="M3" s="307"/>
      <c r="N3" s="307"/>
      <c r="O3" s="307"/>
      <c r="P3" s="307"/>
      <c r="Q3" s="307"/>
      <c r="R3" s="308"/>
      <c r="S3" s="324" t="s">
        <v>49</v>
      </c>
      <c r="T3" s="325"/>
    </row>
    <row r="4" spans="1:22" ht="15" customHeight="1" x14ac:dyDescent="0.25">
      <c r="A4" s="40">
        <v>2</v>
      </c>
      <c r="B4" s="8" t="s">
        <v>50</v>
      </c>
      <c r="C4" s="312" t="s">
        <v>12</v>
      </c>
      <c r="D4" s="298"/>
      <c r="E4" s="311" t="s">
        <v>12</v>
      </c>
      <c r="F4" s="312"/>
      <c r="G4" s="298"/>
      <c r="H4" s="299"/>
      <c r="I4" s="312" t="s">
        <v>12</v>
      </c>
      <c r="J4" s="312"/>
      <c r="K4" s="309"/>
      <c r="L4" s="309"/>
      <c r="M4" s="309"/>
      <c r="N4" s="309"/>
      <c r="O4" s="309"/>
      <c r="P4" s="309"/>
      <c r="Q4" s="309"/>
      <c r="R4" s="317"/>
      <c r="S4" s="312" t="s">
        <v>12</v>
      </c>
      <c r="T4" s="298"/>
    </row>
    <row r="5" spans="1:22" x14ac:dyDescent="0.25">
      <c r="A5" s="40">
        <v>3</v>
      </c>
      <c r="B5" s="8" t="s">
        <v>51</v>
      </c>
      <c r="C5" s="326">
        <v>3003.11</v>
      </c>
      <c r="D5" s="300"/>
      <c r="E5" s="313">
        <v>3003.11</v>
      </c>
      <c r="F5" s="301"/>
      <c r="G5" s="300"/>
      <c r="H5" s="301"/>
      <c r="I5" s="300">
        <v>3003.11</v>
      </c>
      <c r="J5" s="301"/>
      <c r="K5" s="316"/>
      <c r="L5" s="316"/>
      <c r="M5" s="316"/>
      <c r="N5" s="316"/>
      <c r="O5" s="316"/>
      <c r="P5" s="316"/>
      <c r="Q5" s="316"/>
      <c r="R5" s="318"/>
      <c r="S5" s="326">
        <v>3003.11</v>
      </c>
      <c r="T5" s="300"/>
    </row>
    <row r="6" spans="1:22" ht="15" customHeight="1" x14ac:dyDescent="0.25">
      <c r="A6" s="40">
        <v>4</v>
      </c>
      <c r="B6" s="8" t="s">
        <v>52</v>
      </c>
      <c r="C6" s="320" t="s">
        <v>53</v>
      </c>
      <c r="D6" s="327"/>
      <c r="E6" s="314" t="s">
        <v>53</v>
      </c>
      <c r="F6" s="315"/>
      <c r="G6" s="302"/>
      <c r="H6" s="303"/>
      <c r="I6" s="320" t="s">
        <v>53</v>
      </c>
      <c r="J6" s="320"/>
      <c r="K6" s="315"/>
      <c r="L6" s="315"/>
      <c r="M6" s="315"/>
      <c r="N6" s="315"/>
      <c r="O6" s="315"/>
      <c r="P6" s="315"/>
      <c r="Q6" s="315"/>
      <c r="R6" s="319"/>
      <c r="S6" s="320" t="s">
        <v>53</v>
      </c>
      <c r="T6" s="327"/>
    </row>
    <row r="7" spans="1:22" x14ac:dyDescent="0.25">
      <c r="A7" s="40">
        <v>5</v>
      </c>
      <c r="B7" s="8" t="s">
        <v>54</v>
      </c>
      <c r="C7" s="328">
        <v>44317</v>
      </c>
      <c r="D7" s="298"/>
      <c r="E7" s="335">
        <v>44317</v>
      </c>
      <c r="F7" s="328"/>
      <c r="G7" s="336"/>
      <c r="H7" s="337"/>
      <c r="I7" s="328">
        <v>44682</v>
      </c>
      <c r="J7" s="328"/>
      <c r="K7" s="322"/>
      <c r="L7" s="322"/>
      <c r="M7" s="322"/>
      <c r="N7" s="322"/>
      <c r="O7" s="322"/>
      <c r="P7" s="322"/>
      <c r="Q7" s="322"/>
      <c r="R7" s="323"/>
      <c r="S7" s="328">
        <v>44317</v>
      </c>
      <c r="T7" s="298"/>
    </row>
    <row r="8" spans="1:22" x14ac:dyDescent="0.25">
      <c r="A8" s="40">
        <v>6</v>
      </c>
      <c r="B8" s="8" t="s">
        <v>55</v>
      </c>
      <c r="C8" s="328" t="s">
        <v>56</v>
      </c>
      <c r="D8" s="298"/>
      <c r="E8" s="335" t="s">
        <v>56</v>
      </c>
      <c r="F8" s="328"/>
      <c r="G8" s="336"/>
      <c r="H8" s="337"/>
      <c r="I8" s="328" t="s">
        <v>57</v>
      </c>
      <c r="J8" s="328"/>
      <c r="K8" s="322"/>
      <c r="L8" s="322"/>
      <c r="M8" s="322"/>
      <c r="N8" s="322"/>
      <c r="O8" s="322"/>
      <c r="P8" s="322"/>
      <c r="Q8" s="322"/>
      <c r="R8" s="323"/>
      <c r="S8" s="328" t="s">
        <v>58</v>
      </c>
      <c r="T8" s="298"/>
    </row>
    <row r="9" spans="1:22" ht="75" customHeight="1" x14ac:dyDescent="0.25">
      <c r="A9" s="137"/>
      <c r="C9" s="78"/>
      <c r="E9" s="334" t="s">
        <v>59</v>
      </c>
      <c r="F9" s="331"/>
      <c r="G9" s="329" t="s">
        <v>60</v>
      </c>
      <c r="H9" s="330"/>
      <c r="I9" s="331" t="s">
        <v>61</v>
      </c>
      <c r="J9" s="331"/>
      <c r="K9" s="331" t="s">
        <v>62</v>
      </c>
      <c r="L9" s="331"/>
      <c r="M9" s="331" t="s">
        <v>63</v>
      </c>
      <c r="N9" s="331"/>
      <c r="O9" s="331" t="s">
        <v>64</v>
      </c>
      <c r="P9" s="331"/>
      <c r="Q9" s="320" t="s">
        <v>65</v>
      </c>
      <c r="R9" s="321"/>
      <c r="S9" s="320" t="s">
        <v>66</v>
      </c>
      <c r="T9" s="321"/>
      <c r="U9" s="320"/>
      <c r="V9" s="321"/>
    </row>
    <row r="10" spans="1:22" x14ac:dyDescent="0.25">
      <c r="A10" s="275" t="s">
        <v>67</v>
      </c>
      <c r="B10" s="276"/>
      <c r="C10" s="276"/>
      <c r="D10" s="332"/>
      <c r="E10" s="171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0"/>
      <c r="R10" s="139"/>
      <c r="S10" s="10"/>
      <c r="T10" s="139"/>
    </row>
    <row r="11" spans="1:22" x14ac:dyDescent="0.25">
      <c r="A11" s="162">
        <v>1</v>
      </c>
      <c r="B11" s="340" t="s">
        <v>68</v>
      </c>
      <c r="C11" s="340"/>
      <c r="D11" s="164" t="s">
        <v>30</v>
      </c>
      <c r="E11" s="55"/>
      <c r="F11" s="163" t="s">
        <v>30</v>
      </c>
      <c r="G11" s="10"/>
      <c r="H11" s="163" t="s">
        <v>30</v>
      </c>
      <c r="I11" s="10"/>
      <c r="J11" s="163" t="s">
        <v>30</v>
      </c>
      <c r="K11" s="10"/>
      <c r="L11" s="163" t="s">
        <v>30</v>
      </c>
      <c r="M11" s="10"/>
      <c r="N11" s="163" t="s">
        <v>30</v>
      </c>
      <c r="O11" s="10"/>
      <c r="P11" s="163" t="s">
        <v>30</v>
      </c>
      <c r="Q11" s="10"/>
      <c r="R11" s="41" t="s">
        <v>30</v>
      </c>
      <c r="S11" s="10"/>
      <c r="T11" s="41" t="s">
        <v>30</v>
      </c>
    </row>
    <row r="12" spans="1:22" x14ac:dyDescent="0.25">
      <c r="A12" s="39" t="s">
        <v>69</v>
      </c>
      <c r="B12" s="312" t="s">
        <v>70</v>
      </c>
      <c r="C12" s="312"/>
      <c r="D12" s="70">
        <v>4831.58</v>
      </c>
      <c r="E12" s="55"/>
      <c r="F12" s="72">
        <f>ROUND(D12*(1+6.76%),2)</f>
        <v>5158.1899999999996</v>
      </c>
      <c r="G12" s="10"/>
      <c r="H12" s="72">
        <f>F12</f>
        <v>5158.1899999999996</v>
      </c>
      <c r="I12" s="10"/>
      <c r="J12" s="72">
        <f>H12</f>
        <v>5158.1899999999996</v>
      </c>
      <c r="K12" s="10"/>
      <c r="L12" s="72">
        <f>ROUND(J12*(1+9.7%),2)</f>
        <v>5658.53</v>
      </c>
      <c r="M12" s="10"/>
      <c r="N12" s="72">
        <f>L12</f>
        <v>5658.53</v>
      </c>
      <c r="O12" s="10"/>
      <c r="P12" s="72">
        <f>N12</f>
        <v>5658.53</v>
      </c>
      <c r="Q12" s="10"/>
      <c r="R12" s="74">
        <f>ROUND(J12*(1+12.13%),2)</f>
        <v>5783.88</v>
      </c>
      <c r="S12" s="10"/>
      <c r="T12" s="74">
        <f>ROUND(R12*(1+4.18%),2)</f>
        <v>6025.65</v>
      </c>
      <c r="U12" s="78"/>
    </row>
    <row r="13" spans="1:22" x14ac:dyDescent="0.25">
      <c r="A13" s="39" t="s">
        <v>71</v>
      </c>
      <c r="B13" s="312" t="s">
        <v>72</v>
      </c>
      <c r="C13" s="312"/>
      <c r="D13" s="70" t="s">
        <v>38</v>
      </c>
      <c r="E13" s="55"/>
      <c r="F13" s="72" t="s">
        <v>38</v>
      </c>
      <c r="G13" s="10"/>
      <c r="H13" s="72" t="s">
        <v>38</v>
      </c>
      <c r="I13" s="10"/>
      <c r="J13" s="72" t="s">
        <v>38</v>
      </c>
      <c r="K13" s="10"/>
      <c r="L13" s="72" t="s">
        <v>38</v>
      </c>
      <c r="M13" s="10"/>
      <c r="N13" s="72" t="s">
        <v>38</v>
      </c>
      <c r="O13" s="10"/>
      <c r="P13" s="72" t="s">
        <v>38</v>
      </c>
      <c r="Q13" s="10"/>
      <c r="R13" s="74" t="s">
        <v>38</v>
      </c>
      <c r="S13" s="10"/>
      <c r="T13" s="74" t="s">
        <v>38</v>
      </c>
      <c r="U13" s="78"/>
    </row>
    <row r="14" spans="1:22" x14ac:dyDescent="0.25">
      <c r="A14" s="39" t="s">
        <v>73</v>
      </c>
      <c r="B14" s="312" t="s">
        <v>74</v>
      </c>
      <c r="C14" s="312"/>
      <c r="D14" s="70" t="s">
        <v>38</v>
      </c>
      <c r="E14" s="55"/>
      <c r="F14" s="72" t="s">
        <v>38</v>
      </c>
      <c r="G14" s="10"/>
      <c r="H14" s="72" t="s">
        <v>38</v>
      </c>
      <c r="I14" s="10"/>
      <c r="J14" s="72" t="s">
        <v>38</v>
      </c>
      <c r="K14" s="10"/>
      <c r="L14" s="72" t="s">
        <v>38</v>
      </c>
      <c r="M14" s="10"/>
      <c r="N14" s="72" t="s">
        <v>38</v>
      </c>
      <c r="O14" s="10"/>
      <c r="P14" s="72" t="s">
        <v>38</v>
      </c>
      <c r="Q14" s="10"/>
      <c r="R14" s="74" t="s">
        <v>38</v>
      </c>
      <c r="S14" s="10"/>
      <c r="T14" s="74" t="s">
        <v>38</v>
      </c>
    </row>
    <row r="15" spans="1:22" x14ac:dyDescent="0.25">
      <c r="A15" s="39" t="s">
        <v>75</v>
      </c>
      <c r="B15" s="312" t="s">
        <v>76</v>
      </c>
      <c r="C15" s="312"/>
      <c r="D15" s="70" t="s">
        <v>38</v>
      </c>
      <c r="E15" s="55"/>
      <c r="F15" s="72" t="s">
        <v>38</v>
      </c>
      <c r="G15" s="10"/>
      <c r="H15" s="72" t="s">
        <v>38</v>
      </c>
      <c r="I15" s="10"/>
      <c r="J15" s="72" t="s">
        <v>38</v>
      </c>
      <c r="K15" s="10"/>
      <c r="L15" s="72" t="s">
        <v>38</v>
      </c>
      <c r="M15" s="10"/>
      <c r="N15" s="72" t="s">
        <v>38</v>
      </c>
      <c r="O15" s="10"/>
      <c r="P15" s="72" t="s">
        <v>38</v>
      </c>
      <c r="Q15" s="10"/>
      <c r="R15" s="74" t="s">
        <v>38</v>
      </c>
      <c r="S15" s="10"/>
      <c r="T15" s="74" t="s">
        <v>38</v>
      </c>
    </row>
    <row r="16" spans="1:22" x14ac:dyDescent="0.25">
      <c r="A16" s="39" t="s">
        <v>77</v>
      </c>
      <c r="B16" s="312" t="s">
        <v>78</v>
      </c>
      <c r="C16" s="312"/>
      <c r="D16" s="70" t="s">
        <v>38</v>
      </c>
      <c r="E16" s="55"/>
      <c r="F16" s="72" t="s">
        <v>38</v>
      </c>
      <c r="G16" s="10"/>
      <c r="H16" s="72" t="s">
        <v>38</v>
      </c>
      <c r="I16" s="10"/>
      <c r="J16" s="72" t="s">
        <v>38</v>
      </c>
      <c r="K16" s="10"/>
      <c r="L16" s="72" t="s">
        <v>38</v>
      </c>
      <c r="M16" s="10"/>
      <c r="N16" s="72" t="s">
        <v>38</v>
      </c>
      <c r="O16" s="10"/>
      <c r="P16" s="72" t="s">
        <v>38</v>
      </c>
      <c r="Q16" s="10"/>
      <c r="R16" s="74" t="s">
        <v>38</v>
      </c>
      <c r="S16" s="10"/>
      <c r="T16" s="74" t="s">
        <v>38</v>
      </c>
    </row>
    <row r="17" spans="1:22" x14ac:dyDescent="0.25">
      <c r="A17" s="39" t="s">
        <v>79</v>
      </c>
      <c r="B17" s="312" t="s">
        <v>80</v>
      </c>
      <c r="C17" s="312"/>
      <c r="D17" s="70" t="s">
        <v>38</v>
      </c>
      <c r="E17" s="55"/>
      <c r="F17" s="72" t="s">
        <v>38</v>
      </c>
      <c r="G17" s="10"/>
      <c r="H17" s="72" t="s">
        <v>38</v>
      </c>
      <c r="I17" s="10"/>
      <c r="J17" s="72" t="s">
        <v>38</v>
      </c>
      <c r="K17" s="10"/>
      <c r="L17" s="72" t="s">
        <v>38</v>
      </c>
      <c r="M17" s="10"/>
      <c r="N17" s="72" t="s">
        <v>38</v>
      </c>
      <c r="O17" s="10"/>
      <c r="P17" s="72" t="s">
        <v>38</v>
      </c>
      <c r="Q17" s="10"/>
      <c r="R17" s="74" t="s">
        <v>38</v>
      </c>
      <c r="S17" s="10"/>
      <c r="T17" s="74" t="s">
        <v>38</v>
      </c>
    </row>
    <row r="18" spans="1:22" x14ac:dyDescent="0.25">
      <c r="A18" s="339" t="s">
        <v>32</v>
      </c>
      <c r="B18" s="340"/>
      <c r="C18" s="340"/>
      <c r="D18" s="71">
        <f>SUM(D12:D17)</f>
        <v>4831.58</v>
      </c>
      <c r="E18" s="55"/>
      <c r="F18" s="73">
        <f>SUM(F12:F17)</f>
        <v>5158.1899999999996</v>
      </c>
      <c r="G18" s="10"/>
      <c r="H18" s="73">
        <f>SUM(H12:H17)</f>
        <v>5158.1899999999996</v>
      </c>
      <c r="I18" s="10"/>
      <c r="J18" s="73">
        <f>SUM(J12:J17)</f>
        <v>5158.1899999999996</v>
      </c>
      <c r="K18" s="10"/>
      <c r="L18" s="73">
        <f>SUM(L12:L17)</f>
        <v>5658.53</v>
      </c>
      <c r="M18" s="10"/>
      <c r="N18" s="73">
        <f>SUM(N12:N17)</f>
        <v>5658.53</v>
      </c>
      <c r="O18" s="10"/>
      <c r="P18" s="73">
        <f>SUM(P12:P17)</f>
        <v>5658.53</v>
      </c>
      <c r="Q18" s="10"/>
      <c r="R18" s="173">
        <f>SUM(R12:R17)</f>
        <v>5783.88</v>
      </c>
      <c r="S18" s="10"/>
      <c r="T18" s="173">
        <f>SUM(T12:T17)</f>
        <v>6025.65</v>
      </c>
      <c r="U18" s="138"/>
      <c r="V18" s="138"/>
    </row>
    <row r="19" spans="1:22" x14ac:dyDescent="0.25">
      <c r="A19" s="137"/>
      <c r="E19" s="5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39"/>
      <c r="S19" s="10"/>
      <c r="T19" s="139"/>
      <c r="U19" s="140"/>
    </row>
    <row r="20" spans="1:22" x14ac:dyDescent="0.25">
      <c r="A20" s="339" t="s">
        <v>81</v>
      </c>
      <c r="B20" s="340"/>
      <c r="C20" s="340"/>
      <c r="D20" s="341"/>
      <c r="E20" s="5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39"/>
      <c r="S20" s="10"/>
      <c r="T20" s="139"/>
    </row>
    <row r="21" spans="1:22" x14ac:dyDescent="0.25">
      <c r="A21" s="339" t="s">
        <v>82</v>
      </c>
      <c r="B21" s="340"/>
      <c r="C21" s="340"/>
      <c r="D21" s="341"/>
      <c r="E21" s="5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39"/>
      <c r="S21" s="10"/>
      <c r="T21" s="139"/>
    </row>
    <row r="22" spans="1:22" x14ac:dyDescent="0.25">
      <c r="A22" s="160" t="s">
        <v>83</v>
      </c>
      <c r="B22" s="156" t="s">
        <v>84</v>
      </c>
      <c r="C22" s="163" t="s">
        <v>85</v>
      </c>
      <c r="D22" s="161" t="s">
        <v>30</v>
      </c>
      <c r="E22" s="162" t="s">
        <v>85</v>
      </c>
      <c r="F22" s="156" t="s">
        <v>30</v>
      </c>
      <c r="G22" s="163" t="s">
        <v>85</v>
      </c>
      <c r="H22" s="156" t="s">
        <v>30</v>
      </c>
      <c r="I22" s="163" t="s">
        <v>85</v>
      </c>
      <c r="J22" s="156" t="s">
        <v>30</v>
      </c>
      <c r="K22" s="163" t="s">
        <v>85</v>
      </c>
      <c r="L22" s="156" t="s">
        <v>30</v>
      </c>
      <c r="M22" s="163" t="s">
        <v>85</v>
      </c>
      <c r="N22" s="156" t="s">
        <v>30</v>
      </c>
      <c r="O22" s="163" t="s">
        <v>85</v>
      </c>
      <c r="P22" s="156" t="s">
        <v>30</v>
      </c>
      <c r="Q22" s="163" t="s">
        <v>85</v>
      </c>
      <c r="R22" s="157" t="s">
        <v>30</v>
      </c>
      <c r="S22" s="163" t="s">
        <v>85</v>
      </c>
      <c r="T22" s="157" t="s">
        <v>30</v>
      </c>
    </row>
    <row r="23" spans="1:22" x14ac:dyDescent="0.25">
      <c r="A23" s="39" t="s">
        <v>69</v>
      </c>
      <c r="B23" s="10" t="s">
        <v>86</v>
      </c>
      <c r="C23" s="11">
        <v>9.0899999999999995E-2</v>
      </c>
      <c r="D23" s="59">
        <f>C23*D$18</f>
        <v>439.19062199999996</v>
      </c>
      <c r="E23" s="46">
        <v>9.0899999999999995E-2</v>
      </c>
      <c r="F23" s="12">
        <f>E23*F$18</f>
        <v>468.87947099999991</v>
      </c>
      <c r="G23" s="11">
        <v>9.0899999999999995E-2</v>
      </c>
      <c r="H23" s="12">
        <f>G23*H$18</f>
        <v>468.87947099999991</v>
      </c>
      <c r="I23" s="11">
        <v>9.0899999999999995E-2</v>
      </c>
      <c r="J23" s="12">
        <f>I23*J$18</f>
        <v>468.87947099999991</v>
      </c>
      <c r="K23" s="11">
        <v>9.0899999999999995E-2</v>
      </c>
      <c r="L23" s="12">
        <f>K23*L$18</f>
        <v>514.36037699999997</v>
      </c>
      <c r="M23" s="11">
        <v>9.0899999999999995E-2</v>
      </c>
      <c r="N23" s="12">
        <f>M23*N$18</f>
        <v>514.36037699999997</v>
      </c>
      <c r="O23" s="11">
        <v>9.0899999999999995E-2</v>
      </c>
      <c r="P23" s="12">
        <f>O23*P$18</f>
        <v>514.36037699999997</v>
      </c>
      <c r="Q23" s="11">
        <v>9.0899999999999995E-2</v>
      </c>
      <c r="R23" s="42">
        <f>Q23*R$18</f>
        <v>525.75469199999998</v>
      </c>
      <c r="S23" s="11">
        <v>9.0899999999999995E-2</v>
      </c>
      <c r="T23" s="42">
        <f>S23*T$18</f>
        <v>547.73158499999988</v>
      </c>
    </row>
    <row r="24" spans="1:22" x14ac:dyDescent="0.25">
      <c r="A24" s="39" t="s">
        <v>71</v>
      </c>
      <c r="B24" s="10" t="s">
        <v>87</v>
      </c>
      <c r="C24" s="11">
        <v>0.121</v>
      </c>
      <c r="D24" s="59">
        <f>C24*D$18</f>
        <v>584.62117999999998</v>
      </c>
      <c r="E24" s="46">
        <v>0.121</v>
      </c>
      <c r="F24" s="12">
        <f>E24*F$18</f>
        <v>624.14098999999999</v>
      </c>
      <c r="G24" s="11">
        <v>0.121</v>
      </c>
      <c r="H24" s="12">
        <f>G24*H$18</f>
        <v>624.14098999999999</v>
      </c>
      <c r="I24" s="11">
        <v>0.121</v>
      </c>
      <c r="J24" s="12">
        <f>I24*J$18</f>
        <v>624.14098999999999</v>
      </c>
      <c r="K24" s="11">
        <v>0.121</v>
      </c>
      <c r="L24" s="12">
        <f>K24*L$18</f>
        <v>684.68212999999992</v>
      </c>
      <c r="M24" s="11">
        <v>0.121</v>
      </c>
      <c r="N24" s="12">
        <f>M24*N$18</f>
        <v>684.68212999999992</v>
      </c>
      <c r="O24" s="11">
        <v>0.121</v>
      </c>
      <c r="P24" s="12">
        <f>O24*P$18</f>
        <v>684.68212999999992</v>
      </c>
      <c r="Q24" s="11">
        <v>0.121</v>
      </c>
      <c r="R24" s="42">
        <f>Q24*R$18</f>
        <v>699.84947999999997</v>
      </c>
      <c r="S24" s="11">
        <v>0.121</v>
      </c>
      <c r="T24" s="42">
        <f>S24*T$18</f>
        <v>729.1036499999999</v>
      </c>
    </row>
    <row r="25" spans="1:22" x14ac:dyDescent="0.25">
      <c r="A25" s="339" t="s">
        <v>32</v>
      </c>
      <c r="B25" s="340"/>
      <c r="C25" s="27">
        <f t="shared" ref="C25:R25" si="0">SUM(C23:C24)</f>
        <v>0.21189999999999998</v>
      </c>
      <c r="D25" s="60">
        <f t="shared" si="0"/>
        <v>1023.8118019999999</v>
      </c>
      <c r="E25" s="47">
        <f t="shared" si="0"/>
        <v>0.21189999999999998</v>
      </c>
      <c r="F25" s="23">
        <f t="shared" si="0"/>
        <v>1093.0204609999998</v>
      </c>
      <c r="G25" s="27">
        <f t="shared" si="0"/>
        <v>0.21189999999999998</v>
      </c>
      <c r="H25" s="23">
        <f t="shared" si="0"/>
        <v>1093.0204609999998</v>
      </c>
      <c r="I25" s="27">
        <f t="shared" si="0"/>
        <v>0.21189999999999998</v>
      </c>
      <c r="J25" s="23">
        <f t="shared" si="0"/>
        <v>1093.0204609999998</v>
      </c>
      <c r="K25" s="27">
        <f t="shared" si="0"/>
        <v>0.21189999999999998</v>
      </c>
      <c r="L25" s="23">
        <f t="shared" si="0"/>
        <v>1199.0425069999999</v>
      </c>
      <c r="M25" s="27">
        <f t="shared" si="0"/>
        <v>0.21189999999999998</v>
      </c>
      <c r="N25" s="23">
        <f t="shared" si="0"/>
        <v>1199.0425069999999</v>
      </c>
      <c r="O25" s="27">
        <f t="shared" si="0"/>
        <v>0.21189999999999998</v>
      </c>
      <c r="P25" s="23">
        <f t="shared" si="0"/>
        <v>1199.0425069999999</v>
      </c>
      <c r="Q25" s="27">
        <f t="shared" si="0"/>
        <v>0.21189999999999998</v>
      </c>
      <c r="R25" s="169">
        <f t="shared" si="0"/>
        <v>1225.6041719999998</v>
      </c>
      <c r="S25" s="27">
        <f t="shared" ref="S25" si="1">SUM(S23:S24)</f>
        <v>0.21189999999999998</v>
      </c>
      <c r="T25" s="169">
        <f>SUM(T23:T24)</f>
        <v>1276.8352349999998</v>
      </c>
    </row>
    <row r="26" spans="1:22" x14ac:dyDescent="0.25">
      <c r="A26" s="137"/>
      <c r="E26" s="5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39"/>
      <c r="S26" s="10"/>
      <c r="T26" s="139"/>
    </row>
    <row r="27" spans="1:22" x14ac:dyDescent="0.25">
      <c r="A27" s="275" t="s">
        <v>88</v>
      </c>
      <c r="B27" s="276"/>
      <c r="C27" s="276"/>
      <c r="D27" s="332"/>
      <c r="E27" s="55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39"/>
      <c r="S27" s="10"/>
      <c r="T27" s="139"/>
    </row>
    <row r="28" spans="1:22" x14ac:dyDescent="0.25">
      <c r="A28" s="162" t="s">
        <v>89</v>
      </c>
      <c r="B28" s="163" t="s">
        <v>90</v>
      </c>
      <c r="C28" s="163" t="s">
        <v>85</v>
      </c>
      <c r="D28" s="164" t="s">
        <v>30</v>
      </c>
      <c r="E28" s="162" t="s">
        <v>85</v>
      </c>
      <c r="F28" s="163" t="s">
        <v>30</v>
      </c>
      <c r="G28" s="163" t="s">
        <v>85</v>
      </c>
      <c r="H28" s="163" t="s">
        <v>30</v>
      </c>
      <c r="I28" s="163" t="s">
        <v>85</v>
      </c>
      <c r="J28" s="163" t="s">
        <v>30</v>
      </c>
      <c r="K28" s="163" t="s">
        <v>85</v>
      </c>
      <c r="L28" s="163" t="s">
        <v>30</v>
      </c>
      <c r="M28" s="163" t="s">
        <v>85</v>
      </c>
      <c r="N28" s="163" t="s">
        <v>30</v>
      </c>
      <c r="O28" s="163" t="s">
        <v>85</v>
      </c>
      <c r="P28" s="163" t="s">
        <v>30</v>
      </c>
      <c r="Q28" s="163" t="s">
        <v>85</v>
      </c>
      <c r="R28" s="41" t="s">
        <v>30</v>
      </c>
      <c r="S28" s="163" t="s">
        <v>85</v>
      </c>
      <c r="T28" s="41" t="s">
        <v>30</v>
      </c>
    </row>
    <row r="29" spans="1:22" x14ac:dyDescent="0.25">
      <c r="A29" s="39" t="s">
        <v>69</v>
      </c>
      <c r="B29" s="10" t="s">
        <v>91</v>
      </c>
      <c r="C29" s="13">
        <v>0</v>
      </c>
      <c r="D29" s="62">
        <f t="shared" ref="D29:D36" si="2">C29*(D$18+D$25)</f>
        <v>0</v>
      </c>
      <c r="E29" s="48">
        <v>0</v>
      </c>
      <c r="F29" s="21">
        <f t="shared" ref="F29:F36" si="3">E29*(F$18+F$25)</f>
        <v>0</v>
      </c>
      <c r="G29" s="13">
        <v>0</v>
      </c>
      <c r="H29" s="21">
        <f t="shared" ref="H29:H36" si="4">G29*(H$18+H$25)</f>
        <v>0</v>
      </c>
      <c r="I29" s="13">
        <v>0</v>
      </c>
      <c r="J29" s="21">
        <f t="shared" ref="J29:J36" si="5">I29*(J$18+J$25)</f>
        <v>0</v>
      </c>
      <c r="K29" s="13">
        <v>0</v>
      </c>
      <c r="L29" s="21">
        <f t="shared" ref="L29:L36" si="6">K29*(L$18+L$25)</f>
        <v>0</v>
      </c>
      <c r="M29" s="13">
        <v>0</v>
      </c>
      <c r="N29" s="21">
        <f t="shared" ref="N29:N36" si="7">M29*(N$18+N$25)</f>
        <v>0</v>
      </c>
      <c r="O29" s="13">
        <v>0</v>
      </c>
      <c r="P29" s="21">
        <f t="shared" ref="P29:P36" si="8">O29*(P$18+P$25)</f>
        <v>0</v>
      </c>
      <c r="Q29" s="13">
        <v>0</v>
      </c>
      <c r="R29" s="43">
        <f t="shared" ref="R29:R36" si="9">Q29*(R$18+R$25)</f>
        <v>0</v>
      </c>
      <c r="S29" s="13">
        <v>0</v>
      </c>
      <c r="T29" s="43">
        <f t="shared" ref="T29:T36" si="10">S29*(T$18+T$25)</f>
        <v>0</v>
      </c>
    </row>
    <row r="30" spans="1:22" x14ac:dyDescent="0.25">
      <c r="A30" s="39" t="s">
        <v>71</v>
      </c>
      <c r="B30" s="10" t="s">
        <v>92</v>
      </c>
      <c r="C30" s="13">
        <v>2.5000000000000001E-2</v>
      </c>
      <c r="D30" s="62">
        <f t="shared" si="2"/>
        <v>146.38479505000001</v>
      </c>
      <c r="E30" s="48">
        <v>2.5000000000000001E-2</v>
      </c>
      <c r="F30" s="21">
        <f t="shared" si="3"/>
        <v>156.28026152500001</v>
      </c>
      <c r="G30" s="13">
        <v>2.5000000000000001E-2</v>
      </c>
      <c r="H30" s="21">
        <f t="shared" si="4"/>
        <v>156.28026152500001</v>
      </c>
      <c r="I30" s="13">
        <v>2.5000000000000001E-2</v>
      </c>
      <c r="J30" s="21">
        <f t="shared" si="5"/>
        <v>156.28026152500001</v>
      </c>
      <c r="K30" s="13">
        <v>2.5000000000000001E-2</v>
      </c>
      <c r="L30" s="21">
        <f t="shared" si="6"/>
        <v>171.439312675</v>
      </c>
      <c r="M30" s="13">
        <v>2.5000000000000001E-2</v>
      </c>
      <c r="N30" s="21">
        <f t="shared" si="7"/>
        <v>171.439312675</v>
      </c>
      <c r="O30" s="13">
        <v>2.5000000000000001E-2</v>
      </c>
      <c r="P30" s="21">
        <f t="shared" si="8"/>
        <v>171.439312675</v>
      </c>
      <c r="Q30" s="13">
        <v>2.5000000000000001E-2</v>
      </c>
      <c r="R30" s="43">
        <f t="shared" si="9"/>
        <v>175.23710430000003</v>
      </c>
      <c r="S30" s="13">
        <v>2.5000000000000001E-2</v>
      </c>
      <c r="T30" s="43">
        <f t="shared" si="10"/>
        <v>182.56213087499998</v>
      </c>
    </row>
    <row r="31" spans="1:22" x14ac:dyDescent="0.25">
      <c r="A31" s="39" t="s">
        <v>73</v>
      </c>
      <c r="B31" s="10" t="s">
        <v>93</v>
      </c>
      <c r="C31" s="13">
        <f>0.5*2%</f>
        <v>0.01</v>
      </c>
      <c r="D31" s="62">
        <f t="shared" si="2"/>
        <v>58.553918020000005</v>
      </c>
      <c r="E31" s="13">
        <f>0.5*2%</f>
        <v>0.01</v>
      </c>
      <c r="F31" s="21">
        <f t="shared" si="3"/>
        <v>62.512104610000002</v>
      </c>
      <c r="G31" s="13">
        <f>0.5*2%</f>
        <v>0.01</v>
      </c>
      <c r="H31" s="21">
        <f t="shared" si="4"/>
        <v>62.512104610000002</v>
      </c>
      <c r="I31" s="13">
        <f>0.5*2%</f>
        <v>0.01</v>
      </c>
      <c r="J31" s="21">
        <f t="shared" si="5"/>
        <v>62.512104610000002</v>
      </c>
      <c r="K31" s="13">
        <f>0.5*2%</f>
        <v>0.01</v>
      </c>
      <c r="L31" s="21">
        <f t="shared" si="6"/>
        <v>68.575725070000004</v>
      </c>
      <c r="M31" s="13">
        <f>0.5*2%</f>
        <v>0.01</v>
      </c>
      <c r="N31" s="21">
        <f t="shared" si="7"/>
        <v>68.575725070000004</v>
      </c>
      <c r="O31" s="13">
        <f>0.5*2%</f>
        <v>0.01</v>
      </c>
      <c r="P31" s="21">
        <f t="shared" si="8"/>
        <v>68.575725070000004</v>
      </c>
      <c r="Q31" s="13">
        <f>0.5*2%</f>
        <v>0.01</v>
      </c>
      <c r="R31" s="43">
        <f t="shared" si="9"/>
        <v>70.094841720000005</v>
      </c>
      <c r="S31" s="13">
        <f>0.5*2%</f>
        <v>0.01</v>
      </c>
      <c r="T31" s="43">
        <f t="shared" si="10"/>
        <v>73.024852349999989</v>
      </c>
    </row>
    <row r="32" spans="1:22" x14ac:dyDescent="0.25">
      <c r="A32" s="39" t="s">
        <v>75</v>
      </c>
      <c r="B32" s="10" t="s">
        <v>94</v>
      </c>
      <c r="C32" s="13">
        <v>1.4999999999999999E-2</v>
      </c>
      <c r="D32" s="62">
        <f t="shared" si="2"/>
        <v>87.830877029999996</v>
      </c>
      <c r="E32" s="48">
        <v>1.4999999999999999E-2</v>
      </c>
      <c r="F32" s="21">
        <f t="shared" si="3"/>
        <v>93.768156914999992</v>
      </c>
      <c r="G32" s="13">
        <v>1.4999999999999999E-2</v>
      </c>
      <c r="H32" s="21">
        <f t="shared" si="4"/>
        <v>93.768156914999992</v>
      </c>
      <c r="I32" s="13">
        <v>1.4999999999999999E-2</v>
      </c>
      <c r="J32" s="21">
        <f t="shared" si="5"/>
        <v>93.768156914999992</v>
      </c>
      <c r="K32" s="13">
        <v>1.4999999999999999E-2</v>
      </c>
      <c r="L32" s="21">
        <f t="shared" si="6"/>
        <v>102.86358760499999</v>
      </c>
      <c r="M32" s="13">
        <v>1.4999999999999999E-2</v>
      </c>
      <c r="N32" s="21">
        <f t="shared" si="7"/>
        <v>102.86358760499999</v>
      </c>
      <c r="O32" s="13">
        <v>1.4999999999999999E-2</v>
      </c>
      <c r="P32" s="21">
        <f t="shared" si="8"/>
        <v>102.86358760499999</v>
      </c>
      <c r="Q32" s="13">
        <v>1.4999999999999999E-2</v>
      </c>
      <c r="R32" s="43">
        <f t="shared" si="9"/>
        <v>105.14226258000001</v>
      </c>
      <c r="S32" s="13">
        <v>1.4999999999999999E-2</v>
      </c>
      <c r="T32" s="43">
        <f t="shared" si="10"/>
        <v>109.53727852499999</v>
      </c>
    </row>
    <row r="33" spans="1:22" x14ac:dyDescent="0.25">
      <c r="A33" s="39" t="s">
        <v>77</v>
      </c>
      <c r="B33" s="10" t="s">
        <v>95</v>
      </c>
      <c r="C33" s="13">
        <v>0.01</v>
      </c>
      <c r="D33" s="62">
        <f t="shared" si="2"/>
        <v>58.553918020000005</v>
      </c>
      <c r="E33" s="48">
        <v>0.01</v>
      </c>
      <c r="F33" s="21">
        <f t="shared" si="3"/>
        <v>62.512104610000002</v>
      </c>
      <c r="G33" s="13">
        <v>0.01</v>
      </c>
      <c r="H33" s="21">
        <f t="shared" si="4"/>
        <v>62.512104610000002</v>
      </c>
      <c r="I33" s="13">
        <v>0.01</v>
      </c>
      <c r="J33" s="21">
        <f t="shared" si="5"/>
        <v>62.512104610000002</v>
      </c>
      <c r="K33" s="13">
        <v>0.01</v>
      </c>
      <c r="L33" s="21">
        <f t="shared" si="6"/>
        <v>68.575725070000004</v>
      </c>
      <c r="M33" s="13">
        <v>0.01</v>
      </c>
      <c r="N33" s="21">
        <f t="shared" si="7"/>
        <v>68.575725070000004</v>
      </c>
      <c r="O33" s="13">
        <v>0.01</v>
      </c>
      <c r="P33" s="21">
        <f t="shared" si="8"/>
        <v>68.575725070000004</v>
      </c>
      <c r="Q33" s="13">
        <v>0.01</v>
      </c>
      <c r="R33" s="43">
        <f t="shared" si="9"/>
        <v>70.094841720000005</v>
      </c>
      <c r="S33" s="13">
        <v>0.01</v>
      </c>
      <c r="T33" s="43">
        <f t="shared" si="10"/>
        <v>73.024852349999989</v>
      </c>
    </row>
    <row r="34" spans="1:22" x14ac:dyDescent="0.25">
      <c r="A34" s="39" t="s">
        <v>79</v>
      </c>
      <c r="B34" s="10" t="s">
        <v>96</v>
      </c>
      <c r="C34" s="13">
        <v>6.0000000000000001E-3</v>
      </c>
      <c r="D34" s="62">
        <f t="shared" si="2"/>
        <v>35.132350811999999</v>
      </c>
      <c r="E34" s="48">
        <v>6.0000000000000001E-3</v>
      </c>
      <c r="F34" s="21">
        <f t="shared" si="3"/>
        <v>37.507262765999997</v>
      </c>
      <c r="G34" s="13">
        <v>6.0000000000000001E-3</v>
      </c>
      <c r="H34" s="21">
        <f t="shared" si="4"/>
        <v>37.507262765999997</v>
      </c>
      <c r="I34" s="13">
        <v>6.0000000000000001E-3</v>
      </c>
      <c r="J34" s="21">
        <f t="shared" si="5"/>
        <v>37.507262765999997</v>
      </c>
      <c r="K34" s="13">
        <v>6.0000000000000001E-3</v>
      </c>
      <c r="L34" s="21">
        <f t="shared" si="6"/>
        <v>41.145435042000003</v>
      </c>
      <c r="M34" s="13">
        <v>6.0000000000000001E-3</v>
      </c>
      <c r="N34" s="21">
        <f t="shared" si="7"/>
        <v>41.145435042000003</v>
      </c>
      <c r="O34" s="13">
        <v>6.0000000000000001E-3</v>
      </c>
      <c r="P34" s="21">
        <f t="shared" si="8"/>
        <v>41.145435042000003</v>
      </c>
      <c r="Q34" s="13">
        <v>6.0000000000000001E-3</v>
      </c>
      <c r="R34" s="43">
        <f t="shared" si="9"/>
        <v>42.056905032000003</v>
      </c>
      <c r="S34" s="13">
        <v>6.0000000000000001E-3</v>
      </c>
      <c r="T34" s="43">
        <f>S34*(T$18+T$25)</f>
        <v>43.814911409999993</v>
      </c>
    </row>
    <row r="35" spans="1:22" x14ac:dyDescent="0.25">
      <c r="A35" s="39" t="s">
        <v>97</v>
      </c>
      <c r="B35" s="10" t="s">
        <v>98</v>
      </c>
      <c r="C35" s="13">
        <v>2E-3</v>
      </c>
      <c r="D35" s="62">
        <f t="shared" si="2"/>
        <v>11.710783604000001</v>
      </c>
      <c r="E35" s="48">
        <v>2E-3</v>
      </c>
      <c r="F35" s="21">
        <f t="shared" si="3"/>
        <v>12.502420921999999</v>
      </c>
      <c r="G35" s="13">
        <v>2E-3</v>
      </c>
      <c r="H35" s="21">
        <f t="shared" si="4"/>
        <v>12.502420921999999</v>
      </c>
      <c r="I35" s="13">
        <v>2E-3</v>
      </c>
      <c r="J35" s="21">
        <f t="shared" si="5"/>
        <v>12.502420921999999</v>
      </c>
      <c r="K35" s="13">
        <v>2E-3</v>
      </c>
      <c r="L35" s="21">
        <f t="shared" si="6"/>
        <v>13.715145014000001</v>
      </c>
      <c r="M35" s="13">
        <v>2E-3</v>
      </c>
      <c r="N35" s="21">
        <f t="shared" si="7"/>
        <v>13.715145014000001</v>
      </c>
      <c r="O35" s="13">
        <v>2E-3</v>
      </c>
      <c r="P35" s="21">
        <f t="shared" si="8"/>
        <v>13.715145014000001</v>
      </c>
      <c r="Q35" s="13">
        <v>2E-3</v>
      </c>
      <c r="R35" s="43">
        <f t="shared" si="9"/>
        <v>14.018968344000001</v>
      </c>
      <c r="S35" s="13">
        <v>2E-3</v>
      </c>
      <c r="T35" s="43">
        <f t="shared" si="10"/>
        <v>14.604970469999998</v>
      </c>
    </row>
    <row r="36" spans="1:22" x14ac:dyDescent="0.25">
      <c r="A36" s="39" t="s">
        <v>99</v>
      </c>
      <c r="B36" s="10" t="s">
        <v>100</v>
      </c>
      <c r="C36" s="13">
        <v>0.08</v>
      </c>
      <c r="D36" s="62">
        <f t="shared" si="2"/>
        <v>468.43134416000004</v>
      </c>
      <c r="E36" s="48">
        <v>0.08</v>
      </c>
      <c r="F36" s="21">
        <f t="shared" si="3"/>
        <v>500.09683688000001</v>
      </c>
      <c r="G36" s="13">
        <v>0.08</v>
      </c>
      <c r="H36" s="21">
        <f t="shared" si="4"/>
        <v>500.09683688000001</v>
      </c>
      <c r="I36" s="13">
        <v>0.08</v>
      </c>
      <c r="J36" s="21">
        <f t="shared" si="5"/>
        <v>500.09683688000001</v>
      </c>
      <c r="K36" s="13">
        <v>0.08</v>
      </c>
      <c r="L36" s="21">
        <f t="shared" si="6"/>
        <v>548.60580056000003</v>
      </c>
      <c r="M36" s="13">
        <v>0.08</v>
      </c>
      <c r="N36" s="21">
        <f t="shared" si="7"/>
        <v>548.60580056000003</v>
      </c>
      <c r="O36" s="13">
        <v>0.08</v>
      </c>
      <c r="P36" s="21">
        <f t="shared" si="8"/>
        <v>548.60580056000003</v>
      </c>
      <c r="Q36" s="13">
        <v>0.08</v>
      </c>
      <c r="R36" s="43">
        <f t="shared" si="9"/>
        <v>560.75873376000004</v>
      </c>
      <c r="S36" s="13">
        <v>0.08</v>
      </c>
      <c r="T36" s="43">
        <f t="shared" si="10"/>
        <v>584.19881879999991</v>
      </c>
    </row>
    <row r="37" spans="1:22" x14ac:dyDescent="0.25">
      <c r="A37" s="342" t="s">
        <v>32</v>
      </c>
      <c r="B37" s="343"/>
      <c r="C37" s="26">
        <f t="shared" ref="C37:R37" si="11">SUM(C29:C36)</f>
        <v>0.14800000000000002</v>
      </c>
      <c r="D37" s="60">
        <f t="shared" si="11"/>
        <v>866.59798669600013</v>
      </c>
      <c r="E37" s="49">
        <f t="shared" si="11"/>
        <v>0.14800000000000002</v>
      </c>
      <c r="F37" s="23">
        <f t="shared" si="11"/>
        <v>925.17914822800003</v>
      </c>
      <c r="G37" s="26">
        <f t="shared" si="11"/>
        <v>0.14800000000000002</v>
      </c>
      <c r="H37" s="23">
        <f t="shared" si="11"/>
        <v>925.17914822800003</v>
      </c>
      <c r="I37" s="26">
        <f t="shared" si="11"/>
        <v>0.14800000000000002</v>
      </c>
      <c r="J37" s="23">
        <f t="shared" si="11"/>
        <v>925.17914822800003</v>
      </c>
      <c r="K37" s="26">
        <f t="shared" si="11"/>
        <v>0.14800000000000002</v>
      </c>
      <c r="L37" s="23">
        <f t="shared" si="11"/>
        <v>1014.920731036</v>
      </c>
      <c r="M37" s="26">
        <f t="shared" si="11"/>
        <v>0.14800000000000002</v>
      </c>
      <c r="N37" s="23">
        <f t="shared" si="11"/>
        <v>1014.920731036</v>
      </c>
      <c r="O37" s="26">
        <f t="shared" si="11"/>
        <v>0.14800000000000002</v>
      </c>
      <c r="P37" s="23">
        <f t="shared" si="11"/>
        <v>1014.920731036</v>
      </c>
      <c r="Q37" s="26">
        <f t="shared" si="11"/>
        <v>0.14800000000000002</v>
      </c>
      <c r="R37" s="169">
        <f t="shared" si="11"/>
        <v>1037.403657456</v>
      </c>
      <c r="S37" s="26">
        <f t="shared" ref="S37:T37" si="12">SUM(S29:S36)</f>
        <v>0.14800000000000002</v>
      </c>
      <c r="T37" s="169">
        <f t="shared" si="12"/>
        <v>1080.7678147799998</v>
      </c>
    </row>
    <row r="38" spans="1:22" x14ac:dyDescent="0.25">
      <c r="A38" s="137"/>
      <c r="E38" s="55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39"/>
      <c r="S38" s="10"/>
      <c r="T38" s="139"/>
    </row>
    <row r="39" spans="1:22" x14ac:dyDescent="0.25">
      <c r="A39" s="276" t="s">
        <v>101</v>
      </c>
      <c r="B39" s="276"/>
      <c r="C39" s="276"/>
      <c r="D39" s="332"/>
      <c r="E39" s="55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39"/>
      <c r="S39" s="10"/>
      <c r="T39" s="139"/>
    </row>
    <row r="40" spans="1:22" x14ac:dyDescent="0.25">
      <c r="A40" s="162" t="s">
        <v>102</v>
      </c>
      <c r="B40" s="163" t="s">
        <v>103</v>
      </c>
      <c r="C40" s="174" t="s">
        <v>85</v>
      </c>
      <c r="D40" s="164" t="s">
        <v>30</v>
      </c>
      <c r="E40" s="175" t="s">
        <v>85</v>
      </c>
      <c r="F40" s="163" t="s">
        <v>30</v>
      </c>
      <c r="G40" s="174" t="s">
        <v>85</v>
      </c>
      <c r="H40" s="163" t="s">
        <v>30</v>
      </c>
      <c r="I40" s="174" t="s">
        <v>85</v>
      </c>
      <c r="J40" s="163" t="s">
        <v>30</v>
      </c>
      <c r="K40" s="174" t="s">
        <v>85</v>
      </c>
      <c r="L40" s="163" t="s">
        <v>30</v>
      </c>
      <c r="M40" s="174" t="s">
        <v>85</v>
      </c>
      <c r="N40" s="163" t="s">
        <v>30</v>
      </c>
      <c r="O40" s="174" t="s">
        <v>85</v>
      </c>
      <c r="P40" s="163" t="s">
        <v>30</v>
      </c>
      <c r="Q40" s="174" t="s">
        <v>85</v>
      </c>
      <c r="R40" s="41" t="s">
        <v>30</v>
      </c>
      <c r="S40" s="174" t="s">
        <v>85</v>
      </c>
      <c r="T40" s="41" t="s">
        <v>30</v>
      </c>
    </row>
    <row r="41" spans="1:22" x14ac:dyDescent="0.25">
      <c r="A41" s="39" t="s">
        <v>69</v>
      </c>
      <c r="B41" s="10" t="s">
        <v>104</v>
      </c>
      <c r="C41" s="155"/>
      <c r="D41" s="61">
        <f>(16.6*22)-(0.06*D18)</f>
        <v>75.30520000000007</v>
      </c>
      <c r="E41" s="40"/>
      <c r="F41" s="22">
        <f>(16.6*22)-(0.06*F18)</f>
        <v>55.708600000000104</v>
      </c>
      <c r="G41" s="155"/>
      <c r="H41" s="22">
        <f>(16.6*22)-(0.06*H18)</f>
        <v>55.708600000000104</v>
      </c>
      <c r="I41" s="155"/>
      <c r="J41" s="22">
        <f>(16.6*22)-(0.06*J18)</f>
        <v>55.708600000000104</v>
      </c>
      <c r="K41" s="155"/>
      <c r="L41" s="22">
        <f>(16.6*22)-(0.06*L18)</f>
        <v>25.688200000000052</v>
      </c>
      <c r="M41" s="155"/>
      <c r="N41" s="22">
        <f>(16.6*22)-(0.06*N18)</f>
        <v>25.688200000000052</v>
      </c>
      <c r="O41" s="155"/>
      <c r="P41" s="22">
        <f>(16.6*22)-(0.06*P18)</f>
        <v>25.688200000000052</v>
      </c>
      <c r="Q41" s="155"/>
      <c r="R41" s="170">
        <f>(16.6*22)-(0.06*R18)</f>
        <v>18.167200000000037</v>
      </c>
      <c r="S41" s="155"/>
      <c r="T41" s="170">
        <f>(16.6*22)-(0.06*T18)</f>
        <v>3.6610000000000582</v>
      </c>
    </row>
    <row r="42" spans="1:22" ht="30" x14ac:dyDescent="0.25">
      <c r="A42" s="39" t="s">
        <v>71</v>
      </c>
      <c r="B42" s="168" t="s">
        <v>105</v>
      </c>
      <c r="C42" s="15">
        <f>IF(D12&lt;=1861.34,0%,IF(AND(D12&gt;=1861.35,D12&lt;=3149.96),5%,IF(AND(D12&gt;=3149.97,D12&lt;=4581.75),7.5%,IF(AND(D12&gt;=4581.76,D12&lt;=5727.2),10%,IF(AND(D12&gt;=5727.21,D12&lt;=7015.83),15%,20%)))))</f>
        <v>0.1</v>
      </c>
      <c r="D42" s="62">
        <f>(26.87-(26.87*C42))*22</f>
        <v>532.02599999999995</v>
      </c>
      <c r="E42" s="51">
        <f>IF(F12&lt;=1987.18,0%,IF(AND(F12&gt;=1987.18,F12&lt;=3362.91),5%,IF(AND(F12&gt;=3362.91,F12&lt;=4891.49),7.5%,IF(AND(F12&gt;=4891.49,F12&lt;=6114.37),10%,IF(AND(F12&gt;=6114.37,F12&lt;=7490.12),15%,20%)))))</f>
        <v>0.1</v>
      </c>
      <c r="F42" s="21">
        <f>(28.69-(28.69*E42))*22</f>
        <v>568.06200000000001</v>
      </c>
      <c r="G42" s="15">
        <f>IF(H12&lt;=1987.18,0%,IF(AND(H12&gt;=1987.18,H12&lt;=3362.91),5%,IF(AND(H12&gt;=3362.91,H12&lt;=4891.49),7.5%,IF(AND(H12&gt;=4891.49,H12&lt;=6114.37),10%,IF(AND(H12&gt;=6114.37,H12&lt;=7490.12),15%,20%)))))</f>
        <v>0.1</v>
      </c>
      <c r="H42" s="21">
        <f>(28.69-(28.69*G42))*22</f>
        <v>568.06200000000001</v>
      </c>
      <c r="I42" s="15">
        <f>IF(J12&lt;=2228.21,0%,IF(AND(J12&gt;=2228.21,J12&lt;=3770.81),5%,IF(AND(J12&gt;=3770.81,J12&lt;=5484.81),7.5%,IF(AND(J12&gt;=5484.81,J12&lt;=6856.03),10%,IF(AND(J12&gt;=6856.03,J12&lt;=8398.66),15%,20%)))))</f>
        <v>7.4999999999999997E-2</v>
      </c>
      <c r="J42" s="21">
        <f>(32.17-(32.17*I42))*22</f>
        <v>654.65950000000009</v>
      </c>
      <c r="K42" s="15">
        <f>IF(L12&lt;=2228.21,0%,IF(AND(L12&gt;=2228.21,L12&lt;=3770.81),5%,IF(AND(L12&gt;=3770.81,L12&lt;=5484.81),7.5%,IF(AND(L12&gt;=5484.81,L12&lt;=6856.03),10%,IF(AND(L12&gt;=6856.03,L12&lt;=8398.66),15%,20%)))))</f>
        <v>0.1</v>
      </c>
      <c r="L42" s="21">
        <f>(32.17-(32.17*K42))*22</f>
        <v>636.96600000000012</v>
      </c>
      <c r="M42" s="15">
        <f>IF(N12&lt;=2228.21,0%,IF(AND(N12&gt;=2228.21,N12&lt;=3770.81),5%,IF(AND(N12&gt;=3770.81,N12&lt;=5484.81),7.5%,IF(AND(N12&gt;=5484.81,N12&lt;=6856.03),10%,IF(AND(N12&gt;=6856.03,N12&lt;=8398.66),15%,20%)))))</f>
        <v>0.1</v>
      </c>
      <c r="N42" s="21">
        <f>(32.17-(32.17*M42))*22</f>
        <v>636.96600000000012</v>
      </c>
      <c r="O42" s="15">
        <f>IF(P12&lt;=2228.21,0%,IF(AND(P12&gt;=2228.21,P12&lt;=3770.81),5%,IF(AND(P12&gt;=3770.81,P12&lt;=5484.81),7.5%,IF(AND(P12&gt;=5484.81,P12&lt;=6856.03),10%,IF(AND(P12&gt;=6856.03,P12&lt;=8398.66),15%,20%)))))</f>
        <v>0.1</v>
      </c>
      <c r="P42" s="21">
        <f>(32.17-(32.17*O42))*22</f>
        <v>636.96600000000012</v>
      </c>
      <c r="Q42" s="15">
        <f>IF(R12&lt;=2228.21,0%,IF(AND(R12&gt;=2228.21,R12&lt;=3770.81),5%,IF(AND(R12&gt;=3770.81,R12&lt;=5484.81),7.5%,IF(AND(R12&gt;=5484.81,R12&lt;=6856.03),10%,IF(AND(R12&gt;=6856.03,R12&lt;=8398.66),15%,20%)))))</f>
        <v>0.1</v>
      </c>
      <c r="R42" s="43">
        <f>(32.17-(32.17*Q42))*22</f>
        <v>636.96600000000012</v>
      </c>
      <c r="S42" s="15">
        <f>IF(T12&lt;=2228.21,0%,IF(AND(T12&gt;=2228.21,T12&lt;=3770.81),5%,IF(AND(T12&gt;=3770.81,T12&lt;=5484.81),7.5%,IF(AND(T12&gt;=5484.81,T12&lt;=6856.03),10%,IF(AND(T12&gt;=6856.03,T12&lt;=8398.66),15%,20%)))))</f>
        <v>0.1</v>
      </c>
      <c r="T42" s="43">
        <f>(33.51-(33.51*S42))*22</f>
        <v>663.49799999999993</v>
      </c>
    </row>
    <row r="43" spans="1:22" x14ac:dyDescent="0.25">
      <c r="A43" s="39" t="s">
        <v>73</v>
      </c>
      <c r="B43" s="168" t="s">
        <v>106</v>
      </c>
      <c r="C43" s="15">
        <f>IF(D12&lt;=2051.96,70%,IF(AND(D12&gt;=2051.97,D12&lt;=3420.91),60%,50%))</f>
        <v>0.5</v>
      </c>
      <c r="D43" s="62">
        <f>204.41*C43</f>
        <v>102.205</v>
      </c>
      <c r="E43" s="51">
        <f>IF(F12&lt;=2190.67,70%,IF(AND(F12&gt;=2190.67,F12&lt;=3652.17),60%,50%))</f>
        <v>0.5</v>
      </c>
      <c r="F43" s="21">
        <f>204.41*1.0676*E43</f>
        <v>109.11405800000001</v>
      </c>
      <c r="G43" s="15">
        <f>IF(H12&lt;=2190.67,70%,IF(AND(H12&gt;=2190.67,H12&lt;=3652.17),60%,50%))</f>
        <v>0.5</v>
      </c>
      <c r="H43" s="21">
        <f>204.41*1.0676*G43</f>
        <v>109.11405800000001</v>
      </c>
      <c r="I43" s="15">
        <f>IF(J12&lt;=2456.39,70%,IF(AND(J12&gt;=2456.39,J12&lt;=4095.16),60%,50%))</f>
        <v>0.5</v>
      </c>
      <c r="J43" s="21">
        <f>204.41*1.0676*I43</f>
        <v>109.11405800000001</v>
      </c>
      <c r="K43" s="15">
        <f>IF(L12&lt;=2456.39,70%,IF(AND(L12&gt;=2456.39,L12&lt;=4095.16),60%,50%))</f>
        <v>0.5</v>
      </c>
      <c r="L43" s="21">
        <f>218.24*1.097*K43</f>
        <v>119.70464</v>
      </c>
      <c r="M43" s="15">
        <f>IF(N12&lt;=2456.39,70%,IF(AND(N12&gt;=2456.39,N12&lt;=4095.16),60%,50%))</f>
        <v>0.5</v>
      </c>
      <c r="N43" s="21">
        <f>218.24*1.097*M43</f>
        <v>119.70464</v>
      </c>
      <c r="O43" s="15">
        <f>IF(P12&lt;=2456.39,70%,IF(AND(P12&gt;=2456.39,P12&lt;=4095.16),60%,50%))</f>
        <v>0.5</v>
      </c>
      <c r="P43" s="21">
        <f>218.24*1.097*O43</f>
        <v>119.70464</v>
      </c>
      <c r="Q43" s="15">
        <f>IF(R12&lt;=2456.39,70%,IF(AND(R12&gt;=2456.39,R12&lt;=4095.16),60%,50%))</f>
        <v>0.5</v>
      </c>
      <c r="R43" s="43">
        <f>218.24*1.1213*Q43</f>
        <v>122.356256</v>
      </c>
      <c r="S43" s="15">
        <f>IF(T12&lt;=2456.39,70%,IF(AND(T12&gt;=2456.39,T12&lt;=4095.16),60%,50%))</f>
        <v>0.5</v>
      </c>
      <c r="T43" s="43">
        <f>244.71*1.0418*S43</f>
        <v>127.46943900000001</v>
      </c>
      <c r="U43" s="138"/>
      <c r="V43" s="138"/>
    </row>
    <row r="44" spans="1:22" x14ac:dyDescent="0.25">
      <c r="A44" s="39" t="s">
        <v>75</v>
      </c>
      <c r="B44" s="10" t="s">
        <v>107</v>
      </c>
      <c r="C44" s="155"/>
      <c r="D44" s="62">
        <v>0</v>
      </c>
      <c r="E44" s="40"/>
      <c r="F44" s="21">
        <v>0</v>
      </c>
      <c r="G44" s="155"/>
      <c r="H44" s="21">
        <v>0</v>
      </c>
      <c r="I44" s="155"/>
      <c r="J44" s="21">
        <v>0</v>
      </c>
      <c r="K44" s="155"/>
      <c r="L44" s="21">
        <v>0</v>
      </c>
      <c r="M44" s="155"/>
      <c r="N44" s="21">
        <v>0</v>
      </c>
      <c r="O44" s="155"/>
      <c r="P44" s="21">
        <v>0</v>
      </c>
      <c r="Q44" s="155"/>
      <c r="R44" s="43">
        <v>0</v>
      </c>
      <c r="S44" s="155"/>
      <c r="T44" s="43">
        <v>0</v>
      </c>
      <c r="U44" s="138"/>
      <c r="V44" s="138"/>
    </row>
    <row r="45" spans="1:22" x14ac:dyDescent="0.25">
      <c r="A45" s="339" t="s">
        <v>32</v>
      </c>
      <c r="B45" s="340"/>
      <c r="C45" s="340"/>
      <c r="D45" s="60">
        <f>SUM(D41:D44)</f>
        <v>709.53620000000012</v>
      </c>
      <c r="E45" s="55"/>
      <c r="F45" s="23">
        <f>SUM(F41:F44)</f>
        <v>732.88465800000006</v>
      </c>
      <c r="G45" s="10"/>
      <c r="H45" s="23">
        <f>SUM(H41:H44)</f>
        <v>732.88465800000006</v>
      </c>
      <c r="I45" s="10"/>
      <c r="J45" s="23">
        <f>SUM(J41:J44)</f>
        <v>819.48215800000014</v>
      </c>
      <c r="K45" s="10"/>
      <c r="L45" s="23">
        <f>SUM(L41:L44)</f>
        <v>782.35884000000021</v>
      </c>
      <c r="M45" s="10"/>
      <c r="N45" s="23">
        <f>SUM(N41:N44)</f>
        <v>782.35884000000021</v>
      </c>
      <c r="O45" s="10"/>
      <c r="P45" s="23">
        <f>SUM(P41:P44)</f>
        <v>782.35884000000021</v>
      </c>
      <c r="Q45" s="10"/>
      <c r="R45" s="169">
        <f>SUM(R41:R44)</f>
        <v>777.48945600000025</v>
      </c>
      <c r="S45" s="10"/>
      <c r="T45" s="169">
        <f>SUM(T41:T44)</f>
        <v>794.62843899999996</v>
      </c>
    </row>
    <row r="46" spans="1:22" x14ac:dyDescent="0.25">
      <c r="A46" s="137"/>
      <c r="E46" s="55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39"/>
      <c r="S46" s="10"/>
      <c r="T46" s="139"/>
    </row>
    <row r="47" spans="1:22" x14ac:dyDescent="0.25">
      <c r="A47" s="275" t="s">
        <v>108</v>
      </c>
      <c r="B47" s="276"/>
      <c r="C47" s="276"/>
      <c r="D47" s="332"/>
      <c r="E47" s="55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39"/>
      <c r="S47" s="10"/>
      <c r="T47" s="139"/>
    </row>
    <row r="48" spans="1:22" x14ac:dyDescent="0.25">
      <c r="A48" s="162">
        <v>2</v>
      </c>
      <c r="B48" s="340" t="s">
        <v>109</v>
      </c>
      <c r="C48" s="340"/>
      <c r="D48" s="164" t="s">
        <v>30</v>
      </c>
      <c r="E48" s="55"/>
      <c r="F48" s="163" t="s">
        <v>30</v>
      </c>
      <c r="G48" s="10"/>
      <c r="H48" s="163" t="s">
        <v>30</v>
      </c>
      <c r="I48" s="10"/>
      <c r="J48" s="163" t="s">
        <v>30</v>
      </c>
      <c r="K48" s="10"/>
      <c r="L48" s="163" t="s">
        <v>30</v>
      </c>
      <c r="M48" s="10"/>
      <c r="N48" s="163" t="s">
        <v>30</v>
      </c>
      <c r="O48" s="10"/>
      <c r="P48" s="163" t="s">
        <v>30</v>
      </c>
      <c r="Q48" s="10"/>
      <c r="R48" s="41" t="s">
        <v>30</v>
      </c>
      <c r="S48" s="10"/>
      <c r="T48" s="41" t="s">
        <v>30</v>
      </c>
    </row>
    <row r="49" spans="1:21" x14ac:dyDescent="0.25">
      <c r="A49" s="39" t="s">
        <v>83</v>
      </c>
      <c r="B49" s="320" t="s">
        <v>84</v>
      </c>
      <c r="C49" s="320"/>
      <c r="D49" s="62">
        <f>D25</f>
        <v>1023.8118019999999</v>
      </c>
      <c r="E49" s="55"/>
      <c r="F49" s="21">
        <f>F25</f>
        <v>1093.0204609999998</v>
      </c>
      <c r="G49" s="10"/>
      <c r="H49" s="21">
        <f>H25</f>
        <v>1093.0204609999998</v>
      </c>
      <c r="I49" s="10"/>
      <c r="J49" s="21">
        <f>J25</f>
        <v>1093.0204609999998</v>
      </c>
      <c r="K49" s="10"/>
      <c r="L49" s="21">
        <f>L25</f>
        <v>1199.0425069999999</v>
      </c>
      <c r="M49" s="10"/>
      <c r="N49" s="21">
        <f>N25</f>
        <v>1199.0425069999999</v>
      </c>
      <c r="O49" s="10"/>
      <c r="P49" s="21">
        <f>P25</f>
        <v>1199.0425069999999</v>
      </c>
      <c r="Q49" s="10"/>
      <c r="R49" s="43">
        <f>R25</f>
        <v>1225.6041719999998</v>
      </c>
      <c r="S49" s="10"/>
      <c r="T49" s="43">
        <f>T25</f>
        <v>1276.8352349999998</v>
      </c>
    </row>
    <row r="50" spans="1:21" x14ac:dyDescent="0.25">
      <c r="A50" s="39" t="s">
        <v>89</v>
      </c>
      <c r="B50" s="312" t="s">
        <v>90</v>
      </c>
      <c r="C50" s="312"/>
      <c r="D50" s="62">
        <f>D37</f>
        <v>866.59798669600013</v>
      </c>
      <c r="E50" s="55"/>
      <c r="F50" s="21">
        <f>F37</f>
        <v>925.17914822800003</v>
      </c>
      <c r="G50" s="10"/>
      <c r="H50" s="21">
        <f>H37</f>
        <v>925.17914822800003</v>
      </c>
      <c r="I50" s="10"/>
      <c r="J50" s="21">
        <f>J37</f>
        <v>925.17914822800003</v>
      </c>
      <c r="K50" s="10"/>
      <c r="L50" s="21">
        <f>L37</f>
        <v>1014.920731036</v>
      </c>
      <c r="M50" s="10"/>
      <c r="N50" s="21">
        <f>N37</f>
        <v>1014.920731036</v>
      </c>
      <c r="O50" s="10"/>
      <c r="P50" s="21">
        <f>P37</f>
        <v>1014.920731036</v>
      </c>
      <c r="Q50" s="10"/>
      <c r="R50" s="43">
        <f>R37</f>
        <v>1037.403657456</v>
      </c>
      <c r="S50" s="10"/>
      <c r="T50" s="43">
        <f>T37</f>
        <v>1080.7678147799998</v>
      </c>
    </row>
    <row r="51" spans="1:21" x14ac:dyDescent="0.25">
      <c r="A51" s="39" t="s">
        <v>102</v>
      </c>
      <c r="B51" s="312" t="s">
        <v>103</v>
      </c>
      <c r="C51" s="312"/>
      <c r="D51" s="62">
        <f>D45</f>
        <v>709.53620000000012</v>
      </c>
      <c r="E51" s="55"/>
      <c r="F51" s="21">
        <f>F45</f>
        <v>732.88465800000006</v>
      </c>
      <c r="G51" s="10"/>
      <c r="H51" s="21">
        <f>H45</f>
        <v>732.88465800000006</v>
      </c>
      <c r="I51" s="10"/>
      <c r="J51" s="21">
        <f>J45</f>
        <v>819.48215800000014</v>
      </c>
      <c r="K51" s="10"/>
      <c r="L51" s="21">
        <f>L45</f>
        <v>782.35884000000021</v>
      </c>
      <c r="M51" s="10"/>
      <c r="N51" s="21">
        <f>N45</f>
        <v>782.35884000000021</v>
      </c>
      <c r="O51" s="10"/>
      <c r="P51" s="21">
        <f>P45</f>
        <v>782.35884000000021</v>
      </c>
      <c r="Q51" s="10"/>
      <c r="R51" s="43">
        <f>R45</f>
        <v>777.48945600000025</v>
      </c>
      <c r="S51" s="10"/>
      <c r="T51" s="43">
        <f>T45</f>
        <v>794.62843899999996</v>
      </c>
    </row>
    <row r="52" spans="1:21" x14ac:dyDescent="0.25">
      <c r="A52" s="342" t="s">
        <v>32</v>
      </c>
      <c r="B52" s="350"/>
      <c r="C52" s="343"/>
      <c r="D52" s="60">
        <f>SUM(D49:D51)</f>
        <v>2599.9459886960003</v>
      </c>
      <c r="E52" s="55"/>
      <c r="F52" s="23">
        <f>SUM(F49:F51)</f>
        <v>2751.084267228</v>
      </c>
      <c r="G52" s="10"/>
      <c r="H52" s="23">
        <f>SUM(H49:H51)</f>
        <v>2751.084267228</v>
      </c>
      <c r="I52" s="10"/>
      <c r="J52" s="23">
        <f>SUM(J49:J51)</f>
        <v>2837.6817672279999</v>
      </c>
      <c r="K52" s="10"/>
      <c r="L52" s="23">
        <f>SUM(L49:L51)</f>
        <v>2996.3220780360002</v>
      </c>
      <c r="M52" s="10"/>
      <c r="N52" s="23">
        <f>SUM(N49:N51)</f>
        <v>2996.3220780360002</v>
      </c>
      <c r="O52" s="10"/>
      <c r="P52" s="23">
        <f>SUM(P49:P51)</f>
        <v>2996.3220780360002</v>
      </c>
      <c r="Q52" s="10"/>
      <c r="R52" s="169">
        <f>SUM(R49:R51)</f>
        <v>3040.4972854560001</v>
      </c>
      <c r="S52" s="10"/>
      <c r="T52" s="169">
        <f>SUM(T49:T51)</f>
        <v>3152.2314887799994</v>
      </c>
    </row>
    <row r="53" spans="1:21" x14ac:dyDescent="0.25">
      <c r="A53" s="137"/>
      <c r="E53" s="55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39"/>
      <c r="S53" s="10"/>
      <c r="T53" s="139"/>
    </row>
    <row r="54" spans="1:21" x14ac:dyDescent="0.25">
      <c r="A54" s="275" t="s">
        <v>110</v>
      </c>
      <c r="B54" s="276"/>
      <c r="C54" s="276"/>
      <c r="D54" s="332"/>
      <c r="E54" s="55"/>
      <c r="F54" s="11"/>
      <c r="G54" s="10"/>
      <c r="H54" s="11"/>
      <c r="I54" s="10"/>
      <c r="J54" s="11"/>
      <c r="K54" s="10"/>
      <c r="L54" s="11"/>
      <c r="M54" s="10"/>
      <c r="N54" s="11"/>
      <c r="O54" s="10"/>
      <c r="P54" s="11"/>
      <c r="Q54" s="10"/>
      <c r="R54" s="141"/>
      <c r="S54" s="10"/>
      <c r="T54" s="141"/>
      <c r="U54" s="142"/>
    </row>
    <row r="55" spans="1:21" x14ac:dyDescent="0.25">
      <c r="A55" s="162">
        <v>3</v>
      </c>
      <c r="B55" s="163" t="s">
        <v>111</v>
      </c>
      <c r="C55" s="163" t="s">
        <v>85</v>
      </c>
      <c r="D55" s="164" t="s">
        <v>30</v>
      </c>
      <c r="E55" s="162" t="s">
        <v>85</v>
      </c>
      <c r="F55" s="163" t="s">
        <v>30</v>
      </c>
      <c r="G55" s="163" t="s">
        <v>85</v>
      </c>
      <c r="H55" s="163" t="s">
        <v>30</v>
      </c>
      <c r="I55" s="163" t="s">
        <v>85</v>
      </c>
      <c r="J55" s="163" t="s">
        <v>30</v>
      </c>
      <c r="K55" s="163" t="s">
        <v>85</v>
      </c>
      <c r="L55" s="163" t="s">
        <v>30</v>
      </c>
      <c r="M55" s="163" t="s">
        <v>85</v>
      </c>
      <c r="N55" s="163" t="s">
        <v>30</v>
      </c>
      <c r="O55" s="163" t="s">
        <v>85</v>
      </c>
      <c r="P55" s="163" t="s">
        <v>30</v>
      </c>
      <c r="Q55" s="163" t="s">
        <v>85</v>
      </c>
      <c r="R55" s="41" t="s">
        <v>30</v>
      </c>
      <c r="S55" s="163" t="s">
        <v>85</v>
      </c>
      <c r="T55" s="41" t="s">
        <v>30</v>
      </c>
      <c r="U55" s="143"/>
    </row>
    <row r="56" spans="1:21" x14ac:dyDescent="0.25">
      <c r="A56" s="39" t="s">
        <v>69</v>
      </c>
      <c r="B56" s="8" t="s">
        <v>112</v>
      </c>
      <c r="C56" s="17">
        <v>4.1999999999999997E-3</v>
      </c>
      <c r="D56" s="58">
        <f t="shared" ref="D56:D61" si="13">C56*(D$18+D$25)</f>
        <v>24.592645568399998</v>
      </c>
      <c r="E56" s="52">
        <v>4.1999999999999997E-3</v>
      </c>
      <c r="F56" s="20">
        <f t="shared" ref="F56:F61" si="14">E56*(F$18+F$25)</f>
        <v>26.255083936199998</v>
      </c>
      <c r="G56" s="17">
        <v>4.1999999999999997E-3</v>
      </c>
      <c r="H56" s="20">
        <f t="shared" ref="H56:H61" si="15">G56*(H$18+H$25)</f>
        <v>26.255083936199998</v>
      </c>
      <c r="I56" s="17">
        <v>4.1999999999999997E-3</v>
      </c>
      <c r="J56" s="20">
        <f t="shared" ref="J56:J61" si="16">I56*(J$18+J$25)</f>
        <v>26.255083936199998</v>
      </c>
      <c r="K56" s="17">
        <v>4.1999999999999997E-3</v>
      </c>
      <c r="L56" s="20">
        <f t="shared" ref="L56:L61" si="17">K56*(L$18+L$25)</f>
        <v>28.801804529399998</v>
      </c>
      <c r="M56" s="77">
        <v>4.1999999999999997E-3</v>
      </c>
      <c r="N56" s="20">
        <f t="shared" ref="N56:N61" si="18">M56*(N$18+N$25)</f>
        <v>28.801804529399998</v>
      </c>
      <c r="O56" s="77">
        <v>4.1999999999999997E-3</v>
      </c>
      <c r="P56" s="20">
        <f t="shared" ref="P56:P61" si="19">O56*(P$18+P$25)</f>
        <v>28.801804529399998</v>
      </c>
      <c r="Q56" s="77">
        <v>4.1999999999999997E-3</v>
      </c>
      <c r="R56" s="176">
        <f t="shared" ref="R56:R61" si="20">Q56*(R$18+R$25)</f>
        <v>29.439833522400001</v>
      </c>
      <c r="S56" s="77">
        <v>4.1999999999999997E-3</v>
      </c>
      <c r="T56" s="176">
        <f t="shared" ref="T56:T61" si="21">S56*(T$18+T$25)</f>
        <v>30.670437986999996</v>
      </c>
    </row>
    <row r="57" spans="1:21" x14ac:dyDescent="0.25">
      <c r="A57" s="39" t="s">
        <v>71</v>
      </c>
      <c r="B57" s="8" t="s">
        <v>113</v>
      </c>
      <c r="C57" s="17">
        <v>2.9999999999999997E-4</v>
      </c>
      <c r="D57" s="58">
        <f t="shared" si="13"/>
        <v>1.7566175406</v>
      </c>
      <c r="E57" s="52">
        <v>2.9999999999999997E-4</v>
      </c>
      <c r="F57" s="20">
        <f t="shared" si="14"/>
        <v>1.8753631382999998</v>
      </c>
      <c r="G57" s="17">
        <v>2.9999999999999997E-4</v>
      </c>
      <c r="H57" s="20">
        <f t="shared" si="15"/>
        <v>1.8753631382999998</v>
      </c>
      <c r="I57" s="17">
        <v>2.9999999999999997E-4</v>
      </c>
      <c r="J57" s="20">
        <f t="shared" si="16"/>
        <v>1.8753631382999998</v>
      </c>
      <c r="K57" s="17">
        <v>2.9999999999999997E-4</v>
      </c>
      <c r="L57" s="20">
        <f t="shared" si="17"/>
        <v>2.0572717520999997</v>
      </c>
      <c r="M57" s="77">
        <v>2.9999999999999997E-4</v>
      </c>
      <c r="N57" s="20">
        <f t="shared" si="18"/>
        <v>2.0572717520999997</v>
      </c>
      <c r="O57" s="77">
        <v>2.9999999999999997E-4</v>
      </c>
      <c r="P57" s="20">
        <f t="shared" si="19"/>
        <v>2.0572717520999997</v>
      </c>
      <c r="Q57" s="77">
        <v>2.9999999999999997E-4</v>
      </c>
      <c r="R57" s="176">
        <f t="shared" si="20"/>
        <v>2.1028452515999998</v>
      </c>
      <c r="S57" s="77">
        <v>2.9999999999999997E-4</v>
      </c>
      <c r="T57" s="176">
        <f>S57*(T$18+T$25)</f>
        <v>2.1907455704999994</v>
      </c>
    </row>
    <row r="58" spans="1:21" x14ac:dyDescent="0.25">
      <c r="A58" s="39" t="s">
        <v>73</v>
      </c>
      <c r="B58" s="8" t="s">
        <v>114</v>
      </c>
      <c r="C58" s="17">
        <f>(((0.42+(40%*0.42)))*8%*0.42%)</f>
        <v>1.9756799999999999E-4</v>
      </c>
      <c r="D58" s="58">
        <f t="shared" si="13"/>
        <v>1.1568380475375359</v>
      </c>
      <c r="E58" s="52">
        <f>(((0.42+(40%*0.42)))*8%*0.42%)</f>
        <v>1.9756799999999999E-4</v>
      </c>
      <c r="F58" s="20">
        <f t="shared" si="14"/>
        <v>1.2350391483588479</v>
      </c>
      <c r="G58" s="17">
        <f>(((0.42+(40%*0.42)))*8%*0.42%)</f>
        <v>1.9756799999999999E-4</v>
      </c>
      <c r="H58" s="20">
        <f t="shared" si="15"/>
        <v>1.2350391483588479</v>
      </c>
      <c r="I58" s="17">
        <f>(((0.42+(40%*0.42)))*8%*0.42%)</f>
        <v>1.9756799999999999E-4</v>
      </c>
      <c r="J58" s="20">
        <f t="shared" si="16"/>
        <v>1.2350391483588479</v>
      </c>
      <c r="K58" s="17">
        <f>(((0.42+(40%*0.42)))*8%*0.42%)</f>
        <v>1.9756799999999999E-4</v>
      </c>
      <c r="L58" s="20">
        <f t="shared" si="17"/>
        <v>1.3548368850629759</v>
      </c>
      <c r="M58" s="77">
        <f>(((0.42+(40%*0.42)))*8%*0.42%)</f>
        <v>1.9756799999999999E-4</v>
      </c>
      <c r="N58" s="20">
        <f t="shared" si="18"/>
        <v>1.3548368850629759</v>
      </c>
      <c r="O58" s="77">
        <f>(((0.42+(40%*0.42)))*8%*0.42%)</f>
        <v>1.9756799999999999E-4</v>
      </c>
      <c r="P58" s="20">
        <f t="shared" si="19"/>
        <v>1.3548368850629759</v>
      </c>
      <c r="Q58" s="77">
        <f>(((0.42+(40%*0.42)))*8%*0.42%)</f>
        <v>1.9756799999999999E-4</v>
      </c>
      <c r="R58" s="176">
        <f t="shared" si="20"/>
        <v>1.384849768893696</v>
      </c>
      <c r="S58" s="77">
        <f>(((0.42+(40%*0.42)))*8%*0.42%)</f>
        <v>1.9756799999999999E-4</v>
      </c>
      <c r="T58" s="176">
        <f>S58*(T$18+T$25)</f>
        <v>1.4427374029084798</v>
      </c>
      <c r="U58" s="38"/>
    </row>
    <row r="59" spans="1:21" x14ac:dyDescent="0.25">
      <c r="A59" s="39" t="s">
        <v>75</v>
      </c>
      <c r="B59" s="8" t="s">
        <v>115</v>
      </c>
      <c r="C59" s="17">
        <v>1.9400000000000001E-2</v>
      </c>
      <c r="D59" s="58">
        <f t="shared" si="13"/>
        <v>113.5946009588</v>
      </c>
      <c r="E59" s="52">
        <v>1.9400000000000001E-2</v>
      </c>
      <c r="F59" s="20">
        <f t="shared" si="14"/>
        <v>121.2734829434</v>
      </c>
      <c r="G59" s="17">
        <v>1.9400000000000001E-2</v>
      </c>
      <c r="H59" s="20">
        <f t="shared" si="15"/>
        <v>121.2734829434</v>
      </c>
      <c r="I59" s="17">
        <v>1.9400000000000001E-2</v>
      </c>
      <c r="J59" s="20">
        <f t="shared" si="16"/>
        <v>121.2734829434</v>
      </c>
      <c r="K59" s="17">
        <v>1.9400000000000001E-2</v>
      </c>
      <c r="L59" s="20">
        <f t="shared" si="17"/>
        <v>133.03690663579999</v>
      </c>
      <c r="M59" s="77">
        <v>1.9400000000000001E-3</v>
      </c>
      <c r="N59" s="20">
        <f t="shared" si="18"/>
        <v>13.303690663580001</v>
      </c>
      <c r="O59" s="77">
        <v>1.9400000000000001E-3</v>
      </c>
      <c r="P59" s="20">
        <f t="shared" si="19"/>
        <v>13.303690663580001</v>
      </c>
      <c r="Q59" s="77">
        <v>1.9400000000000001E-3</v>
      </c>
      <c r="R59" s="176">
        <f t="shared" si="20"/>
        <v>13.598399293680002</v>
      </c>
      <c r="S59" s="77">
        <v>1.9400000000000001E-3</v>
      </c>
      <c r="T59" s="176">
        <f t="shared" si="21"/>
        <v>14.1668213559</v>
      </c>
    </row>
    <row r="60" spans="1:21" x14ac:dyDescent="0.25">
      <c r="A60" s="39" t="s">
        <v>77</v>
      </c>
      <c r="B60" s="8" t="s">
        <v>116</v>
      </c>
      <c r="C60" s="17">
        <f>C59*C37</f>
        <v>2.8712000000000004E-3</v>
      </c>
      <c r="D60" s="58">
        <f t="shared" si="13"/>
        <v>16.812000941902404</v>
      </c>
      <c r="E60" s="52">
        <f>E59*E37</f>
        <v>2.8712000000000004E-3</v>
      </c>
      <c r="F60" s="20">
        <f t="shared" si="14"/>
        <v>17.948475475623201</v>
      </c>
      <c r="G60" s="17">
        <f>G59*G37</f>
        <v>2.8712000000000004E-3</v>
      </c>
      <c r="H60" s="20">
        <f t="shared" si="15"/>
        <v>17.948475475623201</v>
      </c>
      <c r="I60" s="17">
        <f>I59*I37</f>
        <v>2.8712000000000004E-3</v>
      </c>
      <c r="J60" s="20">
        <f t="shared" si="16"/>
        <v>17.948475475623201</v>
      </c>
      <c r="K60" s="17">
        <f>K59*K37</f>
        <v>2.8712000000000004E-3</v>
      </c>
      <c r="L60" s="20">
        <f t="shared" si="17"/>
        <v>19.689462182098403</v>
      </c>
      <c r="M60" s="77">
        <f>M59*M37</f>
        <v>2.8712000000000003E-4</v>
      </c>
      <c r="N60" s="20">
        <f t="shared" si="18"/>
        <v>1.9689462182098401</v>
      </c>
      <c r="O60" s="77">
        <f>O59*O37</f>
        <v>2.8712000000000003E-4</v>
      </c>
      <c r="P60" s="20">
        <f t="shared" si="19"/>
        <v>1.9689462182098401</v>
      </c>
      <c r="Q60" s="77">
        <f>Q59*Q37</f>
        <v>2.8712000000000003E-4</v>
      </c>
      <c r="R60" s="176">
        <f t="shared" si="20"/>
        <v>2.0125630954646403</v>
      </c>
      <c r="S60" s="77">
        <f>S59*S37</f>
        <v>2.8712000000000003E-4</v>
      </c>
      <c r="T60" s="176">
        <f t="shared" si="21"/>
        <v>2.0966895606731999</v>
      </c>
    </row>
    <row r="61" spans="1:21" x14ac:dyDescent="0.25">
      <c r="A61" s="44" t="s">
        <v>79</v>
      </c>
      <c r="B61" s="19" t="s">
        <v>117</v>
      </c>
      <c r="C61" s="17">
        <v>3.49E-2</v>
      </c>
      <c r="D61" s="144">
        <f t="shared" si="13"/>
        <v>204.35317388980002</v>
      </c>
      <c r="E61" s="52">
        <v>3.49E-2</v>
      </c>
      <c r="F61" s="145">
        <f t="shared" si="14"/>
        <v>218.16724508889999</v>
      </c>
      <c r="G61" s="17">
        <v>3.49E-2</v>
      </c>
      <c r="H61" s="145">
        <f t="shared" si="15"/>
        <v>218.16724508889999</v>
      </c>
      <c r="I61" s="17">
        <v>3.49E-2</v>
      </c>
      <c r="J61" s="145">
        <f t="shared" si="16"/>
        <v>218.16724508889999</v>
      </c>
      <c r="K61" s="17">
        <v>3.49E-2</v>
      </c>
      <c r="L61" s="145">
        <f t="shared" si="17"/>
        <v>239.32928049430001</v>
      </c>
      <c r="M61" s="77">
        <v>3.49E-2</v>
      </c>
      <c r="N61" s="145">
        <f t="shared" si="18"/>
        <v>239.32928049430001</v>
      </c>
      <c r="O61" s="77">
        <v>3.49E-2</v>
      </c>
      <c r="P61" s="145">
        <f t="shared" si="19"/>
        <v>239.32928049430001</v>
      </c>
      <c r="Q61" s="77">
        <v>3.49E-2</v>
      </c>
      <c r="R61" s="177">
        <f t="shared" si="20"/>
        <v>244.63099760280002</v>
      </c>
      <c r="S61" s="77">
        <v>3.49E-2</v>
      </c>
      <c r="T61" s="177">
        <f t="shared" si="21"/>
        <v>254.85673470149999</v>
      </c>
    </row>
    <row r="62" spans="1:21" x14ac:dyDescent="0.25">
      <c r="A62" s="342" t="s">
        <v>32</v>
      </c>
      <c r="B62" s="343"/>
      <c r="C62" s="25">
        <f t="shared" ref="C62:R62" si="22">SUM(C56:C61)</f>
        <v>6.1868768000000005E-2</v>
      </c>
      <c r="D62" s="60">
        <f t="shared" si="22"/>
        <v>362.26587694703994</v>
      </c>
      <c r="E62" s="53">
        <f t="shared" si="22"/>
        <v>6.1868768000000005E-2</v>
      </c>
      <c r="F62" s="23">
        <f t="shared" si="22"/>
        <v>386.75468973078205</v>
      </c>
      <c r="G62" s="25">
        <f t="shared" si="22"/>
        <v>6.1868768000000005E-2</v>
      </c>
      <c r="H62" s="23">
        <f t="shared" si="22"/>
        <v>386.75468973078205</v>
      </c>
      <c r="I62" s="25">
        <f t="shared" si="22"/>
        <v>6.1868768000000005E-2</v>
      </c>
      <c r="J62" s="23">
        <f t="shared" si="22"/>
        <v>386.75468973078205</v>
      </c>
      <c r="K62" s="25">
        <f t="shared" si="22"/>
        <v>6.1868768000000005E-2</v>
      </c>
      <c r="L62" s="23">
        <f t="shared" si="22"/>
        <v>424.26956247876137</v>
      </c>
      <c r="M62" s="25">
        <f t="shared" si="22"/>
        <v>4.1824687999999999E-2</v>
      </c>
      <c r="N62" s="23">
        <f t="shared" si="22"/>
        <v>286.8158305426528</v>
      </c>
      <c r="O62" s="25">
        <f t="shared" si="22"/>
        <v>4.1824687999999999E-2</v>
      </c>
      <c r="P62" s="23">
        <f t="shared" si="22"/>
        <v>286.8158305426528</v>
      </c>
      <c r="Q62" s="25">
        <f t="shared" si="22"/>
        <v>4.1824687999999999E-2</v>
      </c>
      <c r="R62" s="169">
        <f t="shared" si="22"/>
        <v>293.16948853483837</v>
      </c>
      <c r="S62" s="25">
        <f t="shared" ref="S62:T62" si="23">SUM(S56:S61)</f>
        <v>4.1824687999999999E-2</v>
      </c>
      <c r="T62" s="169">
        <f t="shared" si="23"/>
        <v>305.42416657848167</v>
      </c>
    </row>
    <row r="63" spans="1:21" x14ac:dyDescent="0.25">
      <c r="A63" s="137"/>
      <c r="E63" s="55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39"/>
      <c r="S63" s="10"/>
      <c r="T63" s="139"/>
    </row>
    <row r="64" spans="1:21" x14ac:dyDescent="0.25">
      <c r="A64" s="275" t="s">
        <v>118</v>
      </c>
      <c r="B64" s="276"/>
      <c r="C64" s="276"/>
      <c r="D64" s="332"/>
      <c r="E64" s="55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39"/>
      <c r="S64" s="10"/>
      <c r="T64" s="139"/>
    </row>
    <row r="65" spans="1:20" ht="30" customHeight="1" x14ac:dyDescent="0.25">
      <c r="A65" s="351" t="s">
        <v>119</v>
      </c>
      <c r="B65" s="352"/>
      <c r="C65" s="352"/>
      <c r="D65" s="353"/>
      <c r="E65" s="55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39"/>
      <c r="S65" s="10"/>
      <c r="T65" s="139"/>
    </row>
    <row r="66" spans="1:20" x14ac:dyDescent="0.25">
      <c r="A66" s="158"/>
      <c r="B66" s="159"/>
      <c r="C66" s="159"/>
      <c r="D66" s="159"/>
      <c r="E66" s="165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46"/>
      <c r="S66" s="166"/>
      <c r="T66" s="146"/>
    </row>
    <row r="67" spans="1:20" x14ac:dyDescent="0.25">
      <c r="A67" s="275" t="s">
        <v>120</v>
      </c>
      <c r="B67" s="276"/>
      <c r="C67" s="276"/>
      <c r="D67" s="332"/>
      <c r="E67" s="55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39"/>
      <c r="S67" s="10"/>
      <c r="T67" s="139"/>
    </row>
    <row r="68" spans="1:20" x14ac:dyDescent="0.25">
      <c r="A68" s="162" t="s">
        <v>121</v>
      </c>
      <c r="B68" s="163" t="s">
        <v>122</v>
      </c>
      <c r="C68" s="163" t="s">
        <v>85</v>
      </c>
      <c r="D68" s="164" t="s">
        <v>30</v>
      </c>
      <c r="E68" s="162" t="s">
        <v>85</v>
      </c>
      <c r="F68" s="163" t="s">
        <v>30</v>
      </c>
      <c r="G68" s="163" t="s">
        <v>85</v>
      </c>
      <c r="H68" s="163" t="s">
        <v>30</v>
      </c>
      <c r="I68" s="163" t="s">
        <v>85</v>
      </c>
      <c r="J68" s="163" t="s">
        <v>30</v>
      </c>
      <c r="K68" s="163" t="s">
        <v>85</v>
      </c>
      <c r="L68" s="163" t="s">
        <v>30</v>
      </c>
      <c r="M68" s="163" t="s">
        <v>85</v>
      </c>
      <c r="N68" s="163" t="s">
        <v>30</v>
      </c>
      <c r="O68" s="163" t="s">
        <v>85</v>
      </c>
      <c r="P68" s="163" t="s">
        <v>30</v>
      </c>
      <c r="Q68" s="163" t="s">
        <v>85</v>
      </c>
      <c r="R68" s="41" t="s">
        <v>30</v>
      </c>
      <c r="S68" s="163" t="s">
        <v>85</v>
      </c>
      <c r="T68" s="41" t="s">
        <v>30</v>
      </c>
    </row>
    <row r="69" spans="1:20" x14ac:dyDescent="0.25">
      <c r="A69" s="39" t="s">
        <v>69</v>
      </c>
      <c r="B69" s="8" t="s">
        <v>123</v>
      </c>
      <c r="C69" s="17">
        <v>6.8999999999999999E-3</v>
      </c>
      <c r="D69" s="62">
        <f t="shared" ref="D69:D74" si="24">C69*(D$18+D$25)</f>
        <v>40.402203433799997</v>
      </c>
      <c r="E69" s="52">
        <v>6.8999999999999999E-3</v>
      </c>
      <c r="F69" s="21">
        <f t="shared" ref="F69:F74" si="25">E69*(F$18+F$25)</f>
        <v>43.133352180899998</v>
      </c>
      <c r="G69" s="17">
        <v>6.8999999999999999E-3</v>
      </c>
      <c r="H69" s="21">
        <f t="shared" ref="H69:H74" si="26">G69*(H$18+H$25)</f>
        <v>43.133352180899998</v>
      </c>
      <c r="I69" s="17">
        <v>6.8999999999999999E-3</v>
      </c>
      <c r="J69" s="21">
        <f t="shared" ref="J69:J74" si="27">I69*(J$18+J$25)</f>
        <v>43.133352180899998</v>
      </c>
      <c r="K69" s="17">
        <v>6.8999999999999999E-3</v>
      </c>
      <c r="L69" s="21">
        <f t="shared" ref="L69:L74" si="28">K69*(L$18+L$25)</f>
        <v>47.317250298299996</v>
      </c>
      <c r="M69" s="17">
        <v>6.8999999999999999E-3</v>
      </c>
      <c r="N69" s="21">
        <f t="shared" ref="N69:N74" si="29">M69*(N$18+N$25)</f>
        <v>47.317250298299996</v>
      </c>
      <c r="O69" s="17">
        <v>6.8999999999999999E-3</v>
      </c>
      <c r="P69" s="21">
        <f t="shared" ref="P69:P74" si="30">O69*(P$18+P$25)</f>
        <v>47.317250298299996</v>
      </c>
      <c r="Q69" s="17">
        <v>6.8999999999999999E-3</v>
      </c>
      <c r="R69" s="43">
        <f t="shared" ref="R69:R74" si="31">Q69*(R$18+R$25)</f>
        <v>48.365440786800001</v>
      </c>
      <c r="S69" s="17">
        <v>6.8999999999999999E-3</v>
      </c>
      <c r="T69" s="43">
        <f t="shared" ref="T69:T74" si="32">S69*(T$18+T$25)</f>
        <v>50.38714812149999</v>
      </c>
    </row>
    <row r="70" spans="1:20" x14ac:dyDescent="0.25">
      <c r="A70" s="39" t="s">
        <v>71</v>
      </c>
      <c r="B70" s="8" t="s">
        <v>124</v>
      </c>
      <c r="C70" s="17">
        <v>2.8E-3</v>
      </c>
      <c r="D70" s="62">
        <f t="shared" si="24"/>
        <v>16.3950970456</v>
      </c>
      <c r="E70" s="52">
        <v>2.8E-3</v>
      </c>
      <c r="F70" s="21">
        <f t="shared" si="25"/>
        <v>17.503389290799998</v>
      </c>
      <c r="G70" s="17">
        <v>2.8E-3</v>
      </c>
      <c r="H70" s="21">
        <f t="shared" si="26"/>
        <v>17.503389290799998</v>
      </c>
      <c r="I70" s="17">
        <v>2.8E-3</v>
      </c>
      <c r="J70" s="21">
        <f t="shared" si="27"/>
        <v>17.503389290799998</v>
      </c>
      <c r="K70" s="17">
        <v>2.8E-3</v>
      </c>
      <c r="L70" s="21">
        <f t="shared" si="28"/>
        <v>19.201203019599998</v>
      </c>
      <c r="M70" s="17">
        <v>2.8E-3</v>
      </c>
      <c r="N70" s="21">
        <f t="shared" si="29"/>
        <v>19.201203019599998</v>
      </c>
      <c r="O70" s="17">
        <v>2.8E-3</v>
      </c>
      <c r="P70" s="21">
        <f t="shared" si="30"/>
        <v>19.201203019599998</v>
      </c>
      <c r="Q70" s="17">
        <v>2.8E-3</v>
      </c>
      <c r="R70" s="43">
        <f t="shared" si="31"/>
        <v>19.626555681599999</v>
      </c>
      <c r="S70" s="17">
        <v>2.8E-3</v>
      </c>
      <c r="T70" s="43">
        <f t="shared" si="32"/>
        <v>20.446958657999996</v>
      </c>
    </row>
    <row r="71" spans="1:20" x14ac:dyDescent="0.25">
      <c r="A71" s="39" t="s">
        <v>73</v>
      </c>
      <c r="B71" s="8" t="s">
        <v>125</v>
      </c>
      <c r="C71" s="17">
        <v>2.0000000000000001E-4</v>
      </c>
      <c r="D71" s="62">
        <f t="shared" si="24"/>
        <v>1.1710783604000001</v>
      </c>
      <c r="E71" s="52">
        <v>2.0000000000000001E-4</v>
      </c>
      <c r="F71" s="21">
        <f t="shared" si="25"/>
        <v>1.2502420921999999</v>
      </c>
      <c r="G71" s="17">
        <v>2.0000000000000001E-4</v>
      </c>
      <c r="H71" s="21">
        <f t="shared" si="26"/>
        <v>1.2502420921999999</v>
      </c>
      <c r="I71" s="17">
        <v>2.0000000000000001E-4</v>
      </c>
      <c r="J71" s="21">
        <f t="shared" si="27"/>
        <v>1.2502420921999999</v>
      </c>
      <c r="K71" s="17">
        <v>2.0000000000000001E-4</v>
      </c>
      <c r="L71" s="21">
        <f t="shared" si="28"/>
        <v>1.3715145014000001</v>
      </c>
      <c r="M71" s="17">
        <v>2.0000000000000001E-4</v>
      </c>
      <c r="N71" s="21">
        <f t="shared" si="29"/>
        <v>1.3715145014000001</v>
      </c>
      <c r="O71" s="17">
        <v>2.0000000000000001E-4</v>
      </c>
      <c r="P71" s="21">
        <f t="shared" si="30"/>
        <v>1.3715145014000001</v>
      </c>
      <c r="Q71" s="17">
        <v>2.0000000000000001E-4</v>
      </c>
      <c r="R71" s="43">
        <f t="shared" si="31"/>
        <v>1.4018968344000002</v>
      </c>
      <c r="S71" s="17">
        <v>2.0000000000000001E-4</v>
      </c>
      <c r="T71" s="43">
        <f t="shared" si="32"/>
        <v>1.4604970469999998</v>
      </c>
    </row>
    <row r="72" spans="1:20" x14ac:dyDescent="0.25">
      <c r="A72" s="39" t="s">
        <v>75</v>
      </c>
      <c r="B72" s="8" t="s">
        <v>126</v>
      </c>
      <c r="C72" s="17">
        <v>2.7000000000000001E-3</v>
      </c>
      <c r="D72" s="62">
        <f t="shared" si="24"/>
        <v>15.8095578654</v>
      </c>
      <c r="E72" s="52">
        <v>2.7000000000000001E-3</v>
      </c>
      <c r="F72" s="21">
        <f t="shared" si="25"/>
        <v>16.878268244699999</v>
      </c>
      <c r="G72" s="17">
        <v>2.7000000000000001E-3</v>
      </c>
      <c r="H72" s="21">
        <f t="shared" si="26"/>
        <v>16.878268244699999</v>
      </c>
      <c r="I72" s="17">
        <v>2.7000000000000001E-3</v>
      </c>
      <c r="J72" s="21">
        <f t="shared" si="27"/>
        <v>16.878268244699999</v>
      </c>
      <c r="K72" s="17">
        <v>2.7000000000000001E-3</v>
      </c>
      <c r="L72" s="21">
        <f t="shared" si="28"/>
        <v>18.515445768900001</v>
      </c>
      <c r="M72" s="17">
        <v>2.7000000000000001E-3</v>
      </c>
      <c r="N72" s="21">
        <f t="shared" si="29"/>
        <v>18.515445768900001</v>
      </c>
      <c r="O72" s="17">
        <v>2.7000000000000001E-3</v>
      </c>
      <c r="P72" s="21">
        <f t="shared" si="30"/>
        <v>18.515445768900001</v>
      </c>
      <c r="Q72" s="17">
        <v>2.7000000000000001E-3</v>
      </c>
      <c r="R72" s="43">
        <f t="shared" si="31"/>
        <v>18.925607264400004</v>
      </c>
      <c r="S72" s="17">
        <v>2.7000000000000001E-3</v>
      </c>
      <c r="T72" s="43">
        <f t="shared" si="32"/>
        <v>19.716710134499998</v>
      </c>
    </row>
    <row r="73" spans="1:20" x14ac:dyDescent="0.25">
      <c r="A73" s="39" t="s">
        <v>77</v>
      </c>
      <c r="B73" s="8" t="s">
        <v>127</v>
      </c>
      <c r="C73" s="17">
        <v>2.9999999999999997E-4</v>
      </c>
      <c r="D73" s="62">
        <f t="shared" si="24"/>
        <v>1.7566175406</v>
      </c>
      <c r="E73" s="52">
        <v>2.9999999999999997E-4</v>
      </c>
      <c r="F73" s="21">
        <f t="shared" si="25"/>
        <v>1.8753631382999998</v>
      </c>
      <c r="G73" s="17">
        <v>2.9999999999999997E-4</v>
      </c>
      <c r="H73" s="21">
        <f t="shared" si="26"/>
        <v>1.8753631382999998</v>
      </c>
      <c r="I73" s="17">
        <v>2.9999999999999997E-4</v>
      </c>
      <c r="J73" s="21">
        <f t="shared" si="27"/>
        <v>1.8753631382999998</v>
      </c>
      <c r="K73" s="17">
        <v>2.9999999999999997E-4</v>
      </c>
      <c r="L73" s="21">
        <f t="shared" si="28"/>
        <v>2.0572717520999997</v>
      </c>
      <c r="M73" s="17">
        <v>2.9999999999999997E-4</v>
      </c>
      <c r="N73" s="21">
        <f t="shared" si="29"/>
        <v>2.0572717520999997</v>
      </c>
      <c r="O73" s="17">
        <v>2.9999999999999997E-4</v>
      </c>
      <c r="P73" s="21">
        <f t="shared" si="30"/>
        <v>2.0572717520999997</v>
      </c>
      <c r="Q73" s="17">
        <v>2.9999999999999997E-4</v>
      </c>
      <c r="R73" s="43">
        <f t="shared" si="31"/>
        <v>2.1028452515999998</v>
      </c>
      <c r="S73" s="17">
        <v>2.9999999999999997E-4</v>
      </c>
      <c r="T73" s="43">
        <f t="shared" si="32"/>
        <v>2.1907455704999994</v>
      </c>
    </row>
    <row r="74" spans="1:20" x14ac:dyDescent="0.25">
      <c r="A74" s="39" t="s">
        <v>79</v>
      </c>
      <c r="B74" s="8" t="s">
        <v>128</v>
      </c>
      <c r="C74" s="17">
        <v>0</v>
      </c>
      <c r="D74" s="62">
        <f t="shared" si="24"/>
        <v>0</v>
      </c>
      <c r="E74" s="52">
        <v>0</v>
      </c>
      <c r="F74" s="21">
        <f t="shared" si="25"/>
        <v>0</v>
      </c>
      <c r="G74" s="17">
        <v>0</v>
      </c>
      <c r="H74" s="21">
        <f t="shared" si="26"/>
        <v>0</v>
      </c>
      <c r="I74" s="17">
        <v>0</v>
      </c>
      <c r="J74" s="21">
        <f t="shared" si="27"/>
        <v>0</v>
      </c>
      <c r="K74" s="17">
        <v>0</v>
      </c>
      <c r="L74" s="21">
        <f t="shared" si="28"/>
        <v>0</v>
      </c>
      <c r="M74" s="17">
        <v>0</v>
      </c>
      <c r="N74" s="21">
        <f t="shared" si="29"/>
        <v>0</v>
      </c>
      <c r="O74" s="17">
        <v>0</v>
      </c>
      <c r="P74" s="21">
        <f t="shared" si="30"/>
        <v>0</v>
      </c>
      <c r="Q74" s="17">
        <v>0</v>
      </c>
      <c r="R74" s="43">
        <f t="shared" si="31"/>
        <v>0</v>
      </c>
      <c r="S74" s="17">
        <v>0</v>
      </c>
      <c r="T74" s="43">
        <f t="shared" si="32"/>
        <v>0</v>
      </c>
    </row>
    <row r="75" spans="1:20" x14ac:dyDescent="0.25">
      <c r="A75" s="342" t="s">
        <v>32</v>
      </c>
      <c r="B75" s="343"/>
      <c r="C75" s="25">
        <f t="shared" ref="C75:R75" si="33">SUM(C69:C74)</f>
        <v>1.29E-2</v>
      </c>
      <c r="D75" s="60">
        <f t="shared" si="33"/>
        <v>75.534554245799995</v>
      </c>
      <c r="E75" s="53">
        <f t="shared" si="33"/>
        <v>1.29E-2</v>
      </c>
      <c r="F75" s="23">
        <f t="shared" si="33"/>
        <v>80.640614946899987</v>
      </c>
      <c r="G75" s="25">
        <f t="shared" si="33"/>
        <v>1.29E-2</v>
      </c>
      <c r="H75" s="23">
        <f t="shared" si="33"/>
        <v>80.640614946899987</v>
      </c>
      <c r="I75" s="25">
        <f t="shared" si="33"/>
        <v>1.29E-2</v>
      </c>
      <c r="J75" s="23">
        <f t="shared" si="33"/>
        <v>80.640614946899987</v>
      </c>
      <c r="K75" s="25">
        <f t="shared" si="33"/>
        <v>1.29E-2</v>
      </c>
      <c r="L75" s="23">
        <f t="shared" si="33"/>
        <v>88.462685340299984</v>
      </c>
      <c r="M75" s="25">
        <f t="shared" si="33"/>
        <v>1.29E-2</v>
      </c>
      <c r="N75" s="23">
        <f t="shared" si="33"/>
        <v>88.462685340299984</v>
      </c>
      <c r="O75" s="25">
        <f t="shared" si="33"/>
        <v>1.29E-2</v>
      </c>
      <c r="P75" s="23">
        <f t="shared" si="33"/>
        <v>88.462685340299984</v>
      </c>
      <c r="Q75" s="25">
        <f t="shared" si="33"/>
        <v>1.29E-2</v>
      </c>
      <c r="R75" s="169">
        <f t="shared" si="33"/>
        <v>90.422345818800011</v>
      </c>
      <c r="S75" s="25">
        <f t="shared" ref="S75:T75" si="34">SUM(S69:S74)</f>
        <v>1.29E-2</v>
      </c>
      <c r="T75" s="169">
        <f t="shared" si="34"/>
        <v>94.202059531499984</v>
      </c>
    </row>
    <row r="76" spans="1:20" x14ac:dyDescent="0.25">
      <c r="A76" s="137"/>
      <c r="E76" s="55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39"/>
      <c r="S76" s="10"/>
      <c r="T76" s="139"/>
    </row>
    <row r="77" spans="1:20" x14ac:dyDescent="0.25">
      <c r="A77" s="339" t="s">
        <v>129</v>
      </c>
      <c r="B77" s="340"/>
      <c r="C77" s="340"/>
      <c r="D77" s="341"/>
      <c r="E77" s="55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39"/>
      <c r="S77" s="10"/>
      <c r="T77" s="139"/>
    </row>
    <row r="78" spans="1:20" x14ac:dyDescent="0.25">
      <c r="A78" s="162" t="s">
        <v>130</v>
      </c>
      <c r="B78" s="164" t="s">
        <v>131</v>
      </c>
      <c r="C78" s="147"/>
      <c r="D78" s="164" t="s">
        <v>30</v>
      </c>
      <c r="E78" s="148"/>
      <c r="F78" s="163" t="s">
        <v>30</v>
      </c>
      <c r="G78" s="147"/>
      <c r="H78" s="163" t="s">
        <v>30</v>
      </c>
      <c r="I78" s="147"/>
      <c r="J78" s="163" t="s">
        <v>30</v>
      </c>
      <c r="K78" s="147"/>
      <c r="L78" s="163" t="s">
        <v>30</v>
      </c>
      <c r="M78" s="147"/>
      <c r="N78" s="163" t="s">
        <v>30</v>
      </c>
      <c r="O78" s="147"/>
      <c r="P78" s="163" t="s">
        <v>30</v>
      </c>
      <c r="Q78" s="147"/>
      <c r="R78" s="41" t="s">
        <v>30</v>
      </c>
      <c r="S78" s="147"/>
      <c r="T78" s="41" t="s">
        <v>30</v>
      </c>
    </row>
    <row r="79" spans="1:20" x14ac:dyDescent="0.25">
      <c r="A79" s="39" t="s">
        <v>69</v>
      </c>
      <c r="B79" s="30" t="s">
        <v>132</v>
      </c>
      <c r="C79" s="14"/>
      <c r="D79" s="149"/>
      <c r="E79" s="54"/>
      <c r="F79" s="10"/>
      <c r="G79" s="14"/>
      <c r="H79" s="10"/>
      <c r="I79" s="14"/>
      <c r="J79" s="10"/>
      <c r="K79" s="14"/>
      <c r="L79" s="10"/>
      <c r="M79" s="14"/>
      <c r="N79" s="10"/>
      <c r="O79" s="14"/>
      <c r="P79" s="10"/>
      <c r="Q79" s="14"/>
      <c r="R79" s="139"/>
      <c r="S79" s="14"/>
      <c r="T79" s="139"/>
    </row>
    <row r="80" spans="1:20" x14ac:dyDescent="0.25">
      <c r="A80" s="358" t="s">
        <v>32</v>
      </c>
      <c r="B80" s="359"/>
      <c r="C80" s="10"/>
      <c r="D80" s="63">
        <f>SUM(C79)</f>
        <v>0</v>
      </c>
      <c r="E80" s="55"/>
      <c r="F80" s="14">
        <f>SUM(E79)</f>
        <v>0</v>
      </c>
      <c r="G80" s="10"/>
      <c r="H80" s="14">
        <f>SUM(G79)</f>
        <v>0</v>
      </c>
      <c r="I80" s="10"/>
      <c r="J80" s="14">
        <f>SUM(I79)</f>
        <v>0</v>
      </c>
      <c r="K80" s="10"/>
      <c r="L80" s="14">
        <f>SUM(K79)</f>
        <v>0</v>
      </c>
      <c r="M80" s="10"/>
      <c r="N80" s="14">
        <f>SUM(M79)</f>
        <v>0</v>
      </c>
      <c r="O80" s="10"/>
      <c r="P80" s="14">
        <f>SUM(O79)</f>
        <v>0</v>
      </c>
      <c r="Q80" s="10"/>
      <c r="R80" s="45">
        <f>SUM(Q79)</f>
        <v>0</v>
      </c>
      <c r="S80" s="10"/>
      <c r="T80" s="45">
        <f>SUM(S79)</f>
        <v>0</v>
      </c>
    </row>
    <row r="81" spans="1:20" x14ac:dyDescent="0.25">
      <c r="A81" s="137"/>
      <c r="C81" s="10"/>
      <c r="D81" s="149"/>
      <c r="E81" s="55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39"/>
      <c r="S81" s="10"/>
      <c r="T81" s="139"/>
    </row>
    <row r="82" spans="1:20" x14ac:dyDescent="0.25">
      <c r="A82" s="275" t="s">
        <v>133</v>
      </c>
      <c r="B82" s="276"/>
      <c r="C82" s="276"/>
      <c r="D82" s="332"/>
      <c r="E82" s="55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39"/>
      <c r="S82" s="10"/>
      <c r="T82" s="139"/>
    </row>
    <row r="83" spans="1:20" x14ac:dyDescent="0.25">
      <c r="A83" s="162">
        <v>4</v>
      </c>
      <c r="B83" s="340" t="s">
        <v>134</v>
      </c>
      <c r="C83" s="340"/>
      <c r="D83" s="164" t="s">
        <v>30</v>
      </c>
      <c r="E83" s="55"/>
      <c r="F83" s="163" t="s">
        <v>30</v>
      </c>
      <c r="G83" s="10"/>
      <c r="H83" s="163" t="s">
        <v>30</v>
      </c>
      <c r="I83" s="10"/>
      <c r="J83" s="163" t="s">
        <v>30</v>
      </c>
      <c r="K83" s="10"/>
      <c r="L83" s="163" t="s">
        <v>30</v>
      </c>
      <c r="M83" s="10"/>
      <c r="N83" s="163" t="s">
        <v>30</v>
      </c>
      <c r="O83" s="10"/>
      <c r="P83" s="163" t="s">
        <v>30</v>
      </c>
      <c r="Q83" s="10"/>
      <c r="R83" s="41" t="s">
        <v>30</v>
      </c>
      <c r="S83" s="10"/>
      <c r="T83" s="41" t="s">
        <v>30</v>
      </c>
    </row>
    <row r="84" spans="1:20" x14ac:dyDescent="0.25">
      <c r="A84" s="39" t="s">
        <v>121</v>
      </c>
      <c r="B84" s="312" t="s">
        <v>122</v>
      </c>
      <c r="C84" s="312"/>
      <c r="D84" s="62">
        <f>D75</f>
        <v>75.534554245799995</v>
      </c>
      <c r="E84" s="55"/>
      <c r="F84" s="21">
        <f>F75</f>
        <v>80.640614946899987</v>
      </c>
      <c r="G84" s="10"/>
      <c r="H84" s="21">
        <f>H75</f>
        <v>80.640614946899987</v>
      </c>
      <c r="I84" s="10"/>
      <c r="J84" s="21">
        <f>J75</f>
        <v>80.640614946899987</v>
      </c>
      <c r="K84" s="10"/>
      <c r="L84" s="21">
        <f>L75</f>
        <v>88.462685340299984</v>
      </c>
      <c r="M84" s="10"/>
      <c r="N84" s="21">
        <f>N75</f>
        <v>88.462685340299984</v>
      </c>
      <c r="O84" s="10"/>
      <c r="P84" s="21">
        <f>P75</f>
        <v>88.462685340299984</v>
      </c>
      <c r="Q84" s="10"/>
      <c r="R84" s="43">
        <f>R75</f>
        <v>90.422345818800011</v>
      </c>
      <c r="S84" s="10"/>
      <c r="T84" s="43">
        <f>T75</f>
        <v>94.202059531499984</v>
      </c>
    </row>
    <row r="85" spans="1:20" x14ac:dyDescent="0.25">
      <c r="A85" s="39" t="s">
        <v>130</v>
      </c>
      <c r="B85" s="10" t="s">
        <v>135</v>
      </c>
      <c r="C85" s="10"/>
      <c r="D85" s="59">
        <f>D80</f>
        <v>0</v>
      </c>
      <c r="E85" s="55"/>
      <c r="F85" s="12">
        <f>F80</f>
        <v>0</v>
      </c>
      <c r="G85" s="10"/>
      <c r="H85" s="12">
        <f>H80</f>
        <v>0</v>
      </c>
      <c r="I85" s="10"/>
      <c r="J85" s="12">
        <f>J80</f>
        <v>0</v>
      </c>
      <c r="K85" s="10"/>
      <c r="L85" s="12">
        <f>L80</f>
        <v>0</v>
      </c>
      <c r="M85" s="10"/>
      <c r="N85" s="12">
        <f>N80</f>
        <v>0</v>
      </c>
      <c r="O85" s="10"/>
      <c r="P85" s="12">
        <f>P80</f>
        <v>0</v>
      </c>
      <c r="Q85" s="10"/>
      <c r="R85" s="42">
        <f>R80</f>
        <v>0</v>
      </c>
      <c r="S85" s="10"/>
      <c r="T85" s="42">
        <f>T80</f>
        <v>0</v>
      </c>
    </row>
    <row r="86" spans="1:20" x14ac:dyDescent="0.25">
      <c r="A86" s="339" t="s">
        <v>32</v>
      </c>
      <c r="B86" s="340"/>
      <c r="C86" s="340"/>
      <c r="D86" s="60">
        <f>SUM(D84:D85)</f>
        <v>75.534554245799995</v>
      </c>
      <c r="E86" s="55"/>
      <c r="F86" s="23">
        <f>SUM(F84:F85)</f>
        <v>80.640614946899987</v>
      </c>
      <c r="G86" s="10"/>
      <c r="H86" s="23">
        <f>SUM(H84:H85)</f>
        <v>80.640614946899987</v>
      </c>
      <c r="I86" s="10"/>
      <c r="J86" s="23">
        <f>SUM(J84:J85)</f>
        <v>80.640614946899987</v>
      </c>
      <c r="K86" s="10"/>
      <c r="L86" s="23">
        <f>SUM(L84:L85)</f>
        <v>88.462685340299984</v>
      </c>
      <c r="M86" s="10"/>
      <c r="N86" s="23">
        <f>SUM(N84:N85)</f>
        <v>88.462685340299984</v>
      </c>
      <c r="O86" s="10"/>
      <c r="P86" s="23">
        <f>SUM(P84:P85)</f>
        <v>88.462685340299984</v>
      </c>
      <c r="Q86" s="10"/>
      <c r="R86" s="169">
        <f>SUM(R84:R85)</f>
        <v>90.422345818800011</v>
      </c>
      <c r="S86" s="10"/>
      <c r="T86" s="169">
        <f>SUM(T84:T85)</f>
        <v>94.202059531499984</v>
      </c>
    </row>
    <row r="87" spans="1:20" x14ac:dyDescent="0.25">
      <c r="A87" s="137"/>
      <c r="E87" s="55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39"/>
      <c r="S87" s="10"/>
      <c r="T87" s="139"/>
    </row>
    <row r="88" spans="1:20" x14ac:dyDescent="0.25">
      <c r="A88" s="275" t="s">
        <v>136</v>
      </c>
      <c r="B88" s="276"/>
      <c r="C88" s="276"/>
      <c r="D88" s="332"/>
      <c r="E88" s="55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39"/>
      <c r="S88" s="10"/>
      <c r="T88" s="139"/>
    </row>
    <row r="89" spans="1:20" x14ac:dyDescent="0.25">
      <c r="A89" s="162">
        <v>5</v>
      </c>
      <c r="B89" s="340" t="s">
        <v>137</v>
      </c>
      <c r="C89" s="340"/>
      <c r="D89" s="164" t="s">
        <v>30</v>
      </c>
      <c r="E89" s="55"/>
      <c r="F89" s="163" t="s">
        <v>30</v>
      </c>
      <c r="G89" s="10"/>
      <c r="H89" s="163" t="s">
        <v>30</v>
      </c>
      <c r="I89" s="10"/>
      <c r="J89" s="163" t="s">
        <v>30</v>
      </c>
      <c r="K89" s="10"/>
      <c r="L89" s="163" t="s">
        <v>30</v>
      </c>
      <c r="M89" s="10"/>
      <c r="N89" s="163" t="s">
        <v>30</v>
      </c>
      <c r="O89" s="10"/>
      <c r="P89" s="163" t="s">
        <v>30</v>
      </c>
      <c r="Q89" s="10"/>
      <c r="R89" s="163" t="s">
        <v>30</v>
      </c>
      <c r="S89" s="10"/>
      <c r="T89" s="163" t="s">
        <v>30</v>
      </c>
    </row>
    <row r="90" spans="1:20" x14ac:dyDescent="0.25">
      <c r="A90" s="39" t="s">
        <v>69</v>
      </c>
      <c r="B90" s="312" t="s">
        <v>138</v>
      </c>
      <c r="C90" s="312"/>
      <c r="D90" s="59">
        <f>Uniforme!$D$14</f>
        <v>53.795000000000002</v>
      </c>
      <c r="E90" s="55"/>
      <c r="F90" s="12">
        <f>Uniforme!$D$14</f>
        <v>53.795000000000002</v>
      </c>
      <c r="G90" s="10"/>
      <c r="H90" s="12">
        <f>Uniforme!$D$14</f>
        <v>53.795000000000002</v>
      </c>
      <c r="I90" s="10"/>
      <c r="J90" s="12">
        <f>Uniforme!$D$14</f>
        <v>53.795000000000002</v>
      </c>
      <c r="K90" s="10"/>
      <c r="L90" s="12">
        <f>Uniforme!$D$14</f>
        <v>53.795000000000002</v>
      </c>
      <c r="M90" s="10"/>
      <c r="N90" s="12">
        <f>Uniforme!$D$29</f>
        <v>57.994999999999997</v>
      </c>
      <c r="O90" s="10"/>
      <c r="P90" s="12">
        <f>Uniforme!$D$29</f>
        <v>57.994999999999997</v>
      </c>
      <c r="Q90" s="10"/>
      <c r="R90" s="12">
        <f>Uniforme!$D$29</f>
        <v>57.994999999999997</v>
      </c>
      <c r="S90" s="10"/>
      <c r="T90" s="12">
        <f>Uniforme!$D$29</f>
        <v>57.994999999999997</v>
      </c>
    </row>
    <row r="91" spans="1:20" x14ac:dyDescent="0.25">
      <c r="A91" s="39" t="s">
        <v>71</v>
      </c>
      <c r="B91" s="312" t="s">
        <v>139</v>
      </c>
      <c r="C91" s="312"/>
      <c r="D91" s="61">
        <v>0</v>
      </c>
      <c r="E91" s="55"/>
      <c r="F91" s="22">
        <v>0</v>
      </c>
      <c r="G91" s="10"/>
      <c r="H91" s="22">
        <v>0</v>
      </c>
      <c r="I91" s="10"/>
      <c r="J91" s="22">
        <v>0</v>
      </c>
      <c r="K91" s="10"/>
      <c r="L91" s="22">
        <v>0</v>
      </c>
      <c r="M91" s="10"/>
      <c r="N91" s="22">
        <v>0</v>
      </c>
      <c r="O91" s="10"/>
      <c r="P91" s="22">
        <v>0</v>
      </c>
      <c r="Q91" s="10"/>
      <c r="R91" s="22">
        <v>0</v>
      </c>
      <c r="S91" s="10"/>
      <c r="T91" s="22">
        <v>0</v>
      </c>
    </row>
    <row r="92" spans="1:20" x14ac:dyDescent="0.25">
      <c r="A92" s="39" t="s">
        <v>73</v>
      </c>
      <c r="B92" s="312" t="s">
        <v>140</v>
      </c>
      <c r="C92" s="312"/>
      <c r="D92" s="61">
        <v>0</v>
      </c>
      <c r="E92" s="55"/>
      <c r="F92" s="22">
        <v>0</v>
      </c>
      <c r="G92" s="10"/>
      <c r="H92" s="22">
        <v>0</v>
      </c>
      <c r="I92" s="10"/>
      <c r="J92" s="22">
        <v>0</v>
      </c>
      <c r="K92" s="10"/>
      <c r="L92" s="22">
        <v>0</v>
      </c>
      <c r="M92" s="10"/>
      <c r="N92" s="22">
        <v>0</v>
      </c>
      <c r="O92" s="10"/>
      <c r="P92" s="22">
        <v>0</v>
      </c>
      <c r="Q92" s="10"/>
      <c r="R92" s="22">
        <v>0</v>
      </c>
      <c r="S92" s="10"/>
      <c r="T92" s="22">
        <v>0</v>
      </c>
    </row>
    <row r="93" spans="1:20" x14ac:dyDescent="0.25">
      <c r="A93" s="39" t="s">
        <v>75</v>
      </c>
      <c r="B93" s="312" t="s">
        <v>80</v>
      </c>
      <c r="C93" s="312"/>
      <c r="D93" s="61">
        <v>0</v>
      </c>
      <c r="E93" s="55"/>
      <c r="F93" s="22">
        <v>0</v>
      </c>
      <c r="G93" s="10"/>
      <c r="H93" s="22">
        <v>0</v>
      </c>
      <c r="I93" s="10"/>
      <c r="J93" s="22">
        <v>0</v>
      </c>
      <c r="K93" s="10"/>
      <c r="L93" s="22">
        <v>0</v>
      </c>
      <c r="M93" s="10"/>
      <c r="N93" s="22">
        <v>0</v>
      </c>
      <c r="O93" s="10"/>
      <c r="P93" s="22">
        <v>0</v>
      </c>
      <c r="Q93" s="10"/>
      <c r="R93" s="22">
        <v>0</v>
      </c>
      <c r="S93" s="10"/>
      <c r="T93" s="22">
        <v>0</v>
      </c>
    </row>
    <row r="94" spans="1:20" x14ac:dyDescent="0.25">
      <c r="A94" s="339" t="s">
        <v>32</v>
      </c>
      <c r="B94" s="340"/>
      <c r="C94" s="340"/>
      <c r="D94" s="60">
        <f>SUM(D90:D93)</f>
        <v>53.795000000000002</v>
      </c>
      <c r="E94" s="55"/>
      <c r="F94" s="60">
        <f>SUM(F90:F93)</f>
        <v>53.795000000000002</v>
      </c>
      <c r="G94" s="10"/>
      <c r="H94" s="60">
        <f>SUM(H90:H93)</f>
        <v>53.795000000000002</v>
      </c>
      <c r="I94" s="10"/>
      <c r="J94" s="60">
        <f>SUM(J90:J93)</f>
        <v>53.795000000000002</v>
      </c>
      <c r="K94" s="10"/>
      <c r="L94" s="60">
        <f>SUM(L90:L93)</f>
        <v>53.795000000000002</v>
      </c>
      <c r="M94" s="10"/>
      <c r="N94" s="60">
        <f>SUM(N90:N93)</f>
        <v>57.994999999999997</v>
      </c>
      <c r="O94" s="10"/>
      <c r="P94" s="60">
        <f>SUM(P90:P93)</f>
        <v>57.994999999999997</v>
      </c>
      <c r="Q94" s="10"/>
      <c r="R94" s="60">
        <f>SUM(R90:R93)</f>
        <v>57.994999999999997</v>
      </c>
      <c r="S94" s="10"/>
      <c r="T94" s="60">
        <f>SUM(T90:T93)</f>
        <v>57.994999999999997</v>
      </c>
    </row>
    <row r="95" spans="1:20" x14ac:dyDescent="0.25">
      <c r="A95" s="137"/>
      <c r="E95" s="5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39"/>
      <c r="S95" s="10"/>
      <c r="T95" s="139"/>
    </row>
    <row r="96" spans="1:20" x14ac:dyDescent="0.25">
      <c r="A96" s="275" t="s">
        <v>141</v>
      </c>
      <c r="B96" s="276"/>
      <c r="C96" s="276"/>
      <c r="D96" s="332"/>
      <c r="E96" s="5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39"/>
      <c r="S96" s="10"/>
      <c r="T96" s="139"/>
    </row>
    <row r="97" spans="1:20" x14ac:dyDescent="0.25">
      <c r="A97" s="356" t="s">
        <v>142</v>
      </c>
      <c r="B97" s="357"/>
      <c r="C97" s="276" t="s">
        <v>143</v>
      </c>
      <c r="D97" s="332"/>
      <c r="E97" s="275" t="s">
        <v>143</v>
      </c>
      <c r="F97" s="276"/>
      <c r="G97" s="332" t="s">
        <v>143</v>
      </c>
      <c r="H97" s="333"/>
      <c r="I97" s="276" t="s">
        <v>143</v>
      </c>
      <c r="J97" s="276"/>
      <c r="K97" s="276" t="s">
        <v>143</v>
      </c>
      <c r="L97" s="276"/>
      <c r="M97" s="276" t="s">
        <v>143</v>
      </c>
      <c r="N97" s="276"/>
      <c r="O97" s="276" t="s">
        <v>143</v>
      </c>
      <c r="P97" s="276"/>
      <c r="Q97" s="276" t="s">
        <v>143</v>
      </c>
      <c r="R97" s="338"/>
      <c r="S97" s="276" t="s">
        <v>143</v>
      </c>
      <c r="T97" s="338"/>
    </row>
    <row r="98" spans="1:20" x14ac:dyDescent="0.25">
      <c r="A98" s="162">
        <v>6</v>
      </c>
      <c r="B98" s="163" t="s">
        <v>144</v>
      </c>
      <c r="C98" s="163" t="s">
        <v>85</v>
      </c>
      <c r="D98" s="164" t="s">
        <v>30</v>
      </c>
      <c r="E98" s="162" t="s">
        <v>85</v>
      </c>
      <c r="F98" s="163" t="s">
        <v>30</v>
      </c>
      <c r="G98" s="163" t="s">
        <v>85</v>
      </c>
      <c r="H98" s="163" t="s">
        <v>30</v>
      </c>
      <c r="I98" s="163" t="s">
        <v>85</v>
      </c>
      <c r="J98" s="163" t="s">
        <v>30</v>
      </c>
      <c r="K98" s="163" t="s">
        <v>85</v>
      </c>
      <c r="L98" s="163" t="s">
        <v>30</v>
      </c>
      <c r="M98" s="163" t="s">
        <v>85</v>
      </c>
      <c r="N98" s="163" t="s">
        <v>30</v>
      </c>
      <c r="O98" s="163" t="s">
        <v>85</v>
      </c>
      <c r="P98" s="163" t="s">
        <v>30</v>
      </c>
      <c r="Q98" s="163" t="s">
        <v>85</v>
      </c>
      <c r="R98" s="41" t="s">
        <v>30</v>
      </c>
      <c r="S98" s="163" t="s">
        <v>85</v>
      </c>
      <c r="T98" s="41" t="s">
        <v>30</v>
      </c>
    </row>
    <row r="99" spans="1:20" x14ac:dyDescent="0.25">
      <c r="A99" s="39" t="s">
        <v>69</v>
      </c>
      <c r="B99" s="10" t="s">
        <v>145</v>
      </c>
      <c r="C99" s="17">
        <v>4.9599999999999998E-2</v>
      </c>
      <c r="D99" s="62">
        <f>C99*D117</f>
        <v>392.98682242648647</v>
      </c>
      <c r="E99" s="52">
        <v>4.9599999999999998E-2</v>
      </c>
      <c r="F99" s="21">
        <f>E99*F117</f>
        <v>418.15104276652181</v>
      </c>
      <c r="G99" s="17">
        <v>4.9599999999999998E-2</v>
      </c>
      <c r="H99" s="21">
        <f>G99*H117</f>
        <v>418.15104276652181</v>
      </c>
      <c r="I99" s="17">
        <v>4.9599999999999998E-2</v>
      </c>
      <c r="J99" s="21">
        <f>I99*J117</f>
        <v>422.44627876652186</v>
      </c>
      <c r="K99" s="17">
        <v>4.9599999999999998E-2</v>
      </c>
      <c r="L99" s="21">
        <f>K99*L117</f>
        <v>457.38041456241103</v>
      </c>
      <c r="M99" s="17">
        <v>4.9599999999999998E-2</v>
      </c>
      <c r="N99" s="21">
        <f>M99*N117</f>
        <v>450.7710294583801</v>
      </c>
      <c r="O99" s="17">
        <v>4.9599999999999998E-2</v>
      </c>
      <c r="P99" s="21">
        <f>O99*P117</f>
        <v>450.7710294583801</v>
      </c>
      <c r="Q99" s="17">
        <v>4.9599999999999998E-2</v>
      </c>
      <c r="R99" s="43">
        <f>Q99*R117</f>
        <v>459.59182034255821</v>
      </c>
      <c r="S99" s="17">
        <v>4.9599999999999998E-2</v>
      </c>
      <c r="T99" s="43">
        <f>S99*T117</f>
        <v>477.9209346585431</v>
      </c>
    </row>
    <row r="100" spans="1:20" x14ac:dyDescent="0.25">
      <c r="A100" s="39" t="s">
        <v>71</v>
      </c>
      <c r="B100" s="10" t="s">
        <v>146</v>
      </c>
      <c r="C100" s="17">
        <v>0.05</v>
      </c>
      <c r="D100" s="62">
        <f>C100*D117</f>
        <v>396.15607099444202</v>
      </c>
      <c r="E100" s="52">
        <v>0.05</v>
      </c>
      <c r="F100" s="21">
        <f>E100*F117</f>
        <v>421.52322859528414</v>
      </c>
      <c r="G100" s="17">
        <v>0.05</v>
      </c>
      <c r="H100" s="21">
        <f>G100*H117</f>
        <v>421.52322859528414</v>
      </c>
      <c r="I100" s="17">
        <v>0.05</v>
      </c>
      <c r="J100" s="21">
        <f>I100*J117</f>
        <v>425.85310359528415</v>
      </c>
      <c r="K100" s="17">
        <v>0.05</v>
      </c>
      <c r="L100" s="21">
        <f>K100*L117</f>
        <v>461.06896629275309</v>
      </c>
      <c r="M100" s="17">
        <v>0.05</v>
      </c>
      <c r="N100" s="21">
        <f>M100*N117</f>
        <v>454.40627969594772</v>
      </c>
      <c r="O100" s="17">
        <v>0.05</v>
      </c>
      <c r="P100" s="21">
        <f>O100*P117</f>
        <v>454.40627969594772</v>
      </c>
      <c r="Q100" s="17">
        <v>0.05</v>
      </c>
      <c r="R100" s="43">
        <f>Q100*R117</f>
        <v>463.29820599048207</v>
      </c>
      <c r="S100" s="17">
        <v>0.05</v>
      </c>
      <c r="T100" s="43">
        <f>S100*T117</f>
        <v>481.77513574449915</v>
      </c>
    </row>
    <row r="101" spans="1:20" x14ac:dyDescent="0.25">
      <c r="A101" s="39" t="s">
        <v>73</v>
      </c>
      <c r="B101" s="10" t="s">
        <v>147</v>
      </c>
      <c r="C101" s="24">
        <f t="shared" ref="C101:R101" si="35">SUM(C102:C105)</f>
        <v>0.10149999999999999</v>
      </c>
      <c r="D101" s="62">
        <f t="shared" si="35"/>
        <v>984.19012554361893</v>
      </c>
      <c r="E101" s="56">
        <f t="shared" si="35"/>
        <v>0.10149999999999999</v>
      </c>
      <c r="F101" s="21">
        <f t="shared" si="35"/>
        <v>1047.2110101186981</v>
      </c>
      <c r="G101" s="24">
        <f t="shared" si="35"/>
        <v>0.10149999999999999</v>
      </c>
      <c r="H101" s="21">
        <f t="shared" si="35"/>
        <v>1047.2110101186981</v>
      </c>
      <c r="I101" s="24">
        <f t="shared" si="35"/>
        <v>0.10149999999999999</v>
      </c>
      <c r="J101" s="21">
        <f t="shared" si="35"/>
        <v>1057.967932785921</v>
      </c>
      <c r="K101" s="24">
        <f t="shared" si="35"/>
        <v>0.10149999999999999</v>
      </c>
      <c r="L101" s="21">
        <f t="shared" si="35"/>
        <v>1145.4564426611996</v>
      </c>
      <c r="M101" s="24">
        <f t="shared" si="35"/>
        <v>0.10149999999999999</v>
      </c>
      <c r="N101" s="21">
        <f t="shared" si="35"/>
        <v>1128.9040007367146</v>
      </c>
      <c r="O101" s="24">
        <f t="shared" si="35"/>
        <v>0.10149999999999999</v>
      </c>
      <c r="P101" s="21">
        <f t="shared" si="35"/>
        <v>1128.9040007367146</v>
      </c>
      <c r="Q101" s="24">
        <f t="shared" si="35"/>
        <v>0.10149999999999999</v>
      </c>
      <c r="R101" s="43">
        <f t="shared" si="35"/>
        <v>1150.9946531257456</v>
      </c>
      <c r="S101" s="24">
        <f t="shared" ref="S101:T101" si="36">SUM(S102:S105)</f>
        <v>0.10149999999999999</v>
      </c>
      <c r="T101" s="43">
        <f t="shared" si="36"/>
        <v>1196.8978037921447</v>
      </c>
    </row>
    <row r="102" spans="1:20" x14ac:dyDescent="0.25">
      <c r="A102" s="39" t="s">
        <v>148</v>
      </c>
      <c r="B102" s="10" t="s">
        <v>149</v>
      </c>
      <c r="C102" s="24">
        <v>6.4999999999999997E-3</v>
      </c>
      <c r="D102" s="62">
        <f>((D117+D99+D100)/(1-$C$101))*C102</f>
        <v>63.026953852547024</v>
      </c>
      <c r="E102" s="56">
        <v>6.4999999999999997E-3</v>
      </c>
      <c r="F102" s="21">
        <f>((F117+F99+F100)/(1-$C$101))*E102</f>
        <v>67.062774047010222</v>
      </c>
      <c r="G102" s="24">
        <v>6.4999999999999997E-3</v>
      </c>
      <c r="H102" s="21">
        <f>((H117+H99+H100)/(1-$C$101))*G102</f>
        <v>67.062774047010222</v>
      </c>
      <c r="I102" s="24">
        <v>6.4999999999999997E-3</v>
      </c>
      <c r="J102" s="21">
        <f>((J117+J99+J100)/(1-$C$101))*I102</f>
        <v>67.751641015847156</v>
      </c>
      <c r="K102" s="24">
        <v>6.4999999999999997E-3</v>
      </c>
      <c r="L102" s="21">
        <f>((L117+L99+L100)/(1-$C$101))*K102</f>
        <v>73.354353470914248</v>
      </c>
      <c r="M102" s="24">
        <v>6.4999999999999997E-3</v>
      </c>
      <c r="N102" s="21">
        <f>((N117+N99+N100)/(1-$C$101))*M102</f>
        <v>72.294344874764974</v>
      </c>
      <c r="O102" s="24">
        <v>6.4999999999999997E-3</v>
      </c>
      <c r="P102" s="21">
        <f>((P117+P99+P100)/(1-$C$101))*O102</f>
        <v>72.294344874764974</v>
      </c>
      <c r="Q102" s="24">
        <v>6.4999999999999997E-3</v>
      </c>
      <c r="R102" s="43">
        <f>((R117+R99+R100)/(1-$C$101))*Q102</f>
        <v>73.709017195244783</v>
      </c>
      <c r="S102" s="24">
        <v>6.4999999999999997E-3</v>
      </c>
      <c r="T102" s="43">
        <f>((T117+T99+T100)/(1-$C$101))*S102</f>
        <v>76.648627829053609</v>
      </c>
    </row>
    <row r="103" spans="1:20" x14ac:dyDescent="0.25">
      <c r="A103" s="39" t="s">
        <v>150</v>
      </c>
      <c r="B103" s="10" t="s">
        <v>151</v>
      </c>
      <c r="C103" s="24">
        <v>0.03</v>
      </c>
      <c r="D103" s="62">
        <f>((D117+D99+D100)/(1-$C$101))*C103</f>
        <v>290.89363316560167</v>
      </c>
      <c r="E103" s="56">
        <v>0.03</v>
      </c>
      <c r="F103" s="21">
        <f>((F117+F99+F100)/(1-$C$101))*E103</f>
        <v>309.52049560158559</v>
      </c>
      <c r="G103" s="24">
        <v>0.03</v>
      </c>
      <c r="H103" s="21">
        <f>((H117+H99+H100)/(1-$C$101))*G103</f>
        <v>309.52049560158559</v>
      </c>
      <c r="I103" s="24">
        <v>0.03</v>
      </c>
      <c r="J103" s="21">
        <f>((J117+J99+J100)/(1-$C$101))*I103</f>
        <v>312.69988161160228</v>
      </c>
      <c r="K103" s="24">
        <v>0.03</v>
      </c>
      <c r="L103" s="21">
        <f>((L117+L99+L100)/(1-$C$101))*K103</f>
        <v>338.55855448114272</v>
      </c>
      <c r="M103" s="24">
        <v>0.03</v>
      </c>
      <c r="N103" s="21">
        <f>((N117+N99+N100)/(1-$C$101))*M103</f>
        <v>333.66620711429988</v>
      </c>
      <c r="O103" s="24">
        <v>0.03</v>
      </c>
      <c r="P103" s="21">
        <f>((P117+P99+P100)/(1-$C$101))*O103</f>
        <v>333.66620711429988</v>
      </c>
      <c r="Q103" s="24">
        <v>0.03</v>
      </c>
      <c r="R103" s="43">
        <f>((R117+R99+R100)/(1-$C$101))*Q103</f>
        <v>340.19546397805289</v>
      </c>
      <c r="S103" s="24">
        <v>0.03</v>
      </c>
      <c r="T103" s="43">
        <f>((T117+T99+T100)/(1-$C$101))*S103</f>
        <v>353.76289767255514</v>
      </c>
    </row>
    <row r="104" spans="1:20" x14ac:dyDescent="0.25">
      <c r="A104" s="39" t="s">
        <v>152</v>
      </c>
      <c r="B104" s="10" t="s">
        <v>153</v>
      </c>
      <c r="C104" s="24">
        <v>0.02</v>
      </c>
      <c r="D104" s="62">
        <f>((D117+D99+D100)/(1-$C$101))*C104</f>
        <v>193.92908877706779</v>
      </c>
      <c r="E104" s="56">
        <v>0.02</v>
      </c>
      <c r="F104" s="21">
        <f>((F117+F99+F100)/(1-$C$101))*E104</f>
        <v>206.34699706772375</v>
      </c>
      <c r="G104" s="24">
        <v>0.02</v>
      </c>
      <c r="H104" s="21">
        <f>((H117+H99+H100)/(1-$C$101))*G104</f>
        <v>206.34699706772375</v>
      </c>
      <c r="I104" s="24">
        <v>0.02</v>
      </c>
      <c r="J104" s="21">
        <f>((J117+J99+J100)/(1-$C$101))*I104</f>
        <v>208.4665877410682</v>
      </c>
      <c r="K104" s="24">
        <v>0.02</v>
      </c>
      <c r="L104" s="21">
        <f>((L117+L99+L100)/(1-$C$101))*K104</f>
        <v>225.70570298742848</v>
      </c>
      <c r="M104" s="24">
        <v>0.02</v>
      </c>
      <c r="N104" s="21">
        <f>((N117+N99+N100)/(1-$C$101))*M104</f>
        <v>222.44413807619992</v>
      </c>
      <c r="O104" s="24">
        <v>0.02</v>
      </c>
      <c r="P104" s="21">
        <f>((P117+P99+P100)/(1-$C$101))*O104</f>
        <v>222.44413807619992</v>
      </c>
      <c r="Q104" s="24">
        <v>0.02</v>
      </c>
      <c r="R104" s="43">
        <f>((R117+R99+R100)/(1-$C$101))*Q104</f>
        <v>226.79697598536859</v>
      </c>
      <c r="S104" s="24">
        <v>0.02</v>
      </c>
      <c r="T104" s="43">
        <f>((T117+T99+T100)/(1-$C$101))*S104</f>
        <v>235.84193178170344</v>
      </c>
    </row>
    <row r="105" spans="1:20" x14ac:dyDescent="0.25">
      <c r="A105" s="39" t="s">
        <v>75</v>
      </c>
      <c r="B105" s="8" t="s">
        <v>154</v>
      </c>
      <c r="C105" s="17">
        <v>4.4999999999999998E-2</v>
      </c>
      <c r="D105" s="59">
        <f>((D117+D99+D100)/(1-$C$101))*C105</f>
        <v>436.34044974840248</v>
      </c>
      <c r="E105" s="52">
        <v>4.4999999999999998E-2</v>
      </c>
      <c r="F105" s="12">
        <f>((F117+F99+F100)/(1-$C$101))*E105</f>
        <v>464.28074340237845</v>
      </c>
      <c r="G105" s="17">
        <v>4.4999999999999998E-2</v>
      </c>
      <c r="H105" s="12">
        <f>((H117+H99+H100)/(1-$C$101))*G105</f>
        <v>464.28074340237845</v>
      </c>
      <c r="I105" s="17">
        <v>4.4999999999999998E-2</v>
      </c>
      <c r="J105" s="12">
        <f>((J117+J99+J100)/(1-$C$101))*I105</f>
        <v>469.04982241740339</v>
      </c>
      <c r="K105" s="17">
        <v>4.4999999999999998E-2</v>
      </c>
      <c r="L105" s="12">
        <f>((L117+L99+L100)/(1-$C$101))*K105</f>
        <v>507.83783172171405</v>
      </c>
      <c r="M105" s="17">
        <v>4.4999999999999998E-2</v>
      </c>
      <c r="N105" s="12">
        <f>((N117+N99+N100)/(1-$C$101))*M105</f>
        <v>500.49931067144979</v>
      </c>
      <c r="O105" s="17">
        <v>4.4999999999999998E-2</v>
      </c>
      <c r="P105" s="12">
        <f>((P117+P99+P100)/(1-$C$101))*O105</f>
        <v>500.49931067144979</v>
      </c>
      <c r="Q105" s="17">
        <v>4.4999999999999998E-2</v>
      </c>
      <c r="R105" s="42">
        <f>((R117+R99+R100)/(1-$C$101))*Q105</f>
        <v>510.29319596707933</v>
      </c>
      <c r="S105" s="17">
        <v>4.4999999999999998E-2</v>
      </c>
      <c r="T105" s="42">
        <f>((T117+T99+T100)/(1-$C$101))*S105</f>
        <v>530.64434650883265</v>
      </c>
    </row>
    <row r="106" spans="1:20" x14ac:dyDescent="0.25">
      <c r="A106" s="339" t="s">
        <v>32</v>
      </c>
      <c r="B106" s="340"/>
      <c r="C106" s="29">
        <f>SUM(C99:C101)</f>
        <v>0.2011</v>
      </c>
      <c r="D106" s="60">
        <f>D99+D100+D101</f>
        <v>1773.3330189645474</v>
      </c>
      <c r="E106" s="57">
        <f>SUM(E99:E101)</f>
        <v>0.2011</v>
      </c>
      <c r="F106" s="23">
        <f>F99+F100+F101</f>
        <v>1886.8852814805041</v>
      </c>
      <c r="G106" s="29">
        <f>SUM(G99:G101)</f>
        <v>0.2011</v>
      </c>
      <c r="H106" s="23">
        <f>H99+H100+H101</f>
        <v>1886.8852814805041</v>
      </c>
      <c r="I106" s="29">
        <f>SUM(I99:I101)</f>
        <v>0.2011</v>
      </c>
      <c r="J106" s="23">
        <f>J99+J100+J101</f>
        <v>1906.267315147727</v>
      </c>
      <c r="K106" s="29">
        <f>SUM(K99:K101)</f>
        <v>0.2011</v>
      </c>
      <c r="L106" s="23">
        <f>L99+L100+L101</f>
        <v>2063.9058235163639</v>
      </c>
      <c r="M106" s="29">
        <f>SUM(M99:M101)</f>
        <v>0.2011</v>
      </c>
      <c r="N106" s="23">
        <f>N99+N100+N101</f>
        <v>2034.0813098910423</v>
      </c>
      <c r="O106" s="29">
        <f>SUM(O99:O101)</f>
        <v>0.2011</v>
      </c>
      <c r="P106" s="23">
        <f>P99+P100+P101</f>
        <v>2034.0813098910423</v>
      </c>
      <c r="Q106" s="29">
        <f>SUM(Q99:Q101)</f>
        <v>0.2011</v>
      </c>
      <c r="R106" s="169">
        <f>R99+R100+R101</f>
        <v>2073.8846794587857</v>
      </c>
      <c r="S106" s="29">
        <f>SUM(S99:S101)</f>
        <v>0.2011</v>
      </c>
      <c r="T106" s="169">
        <f>T99+T100+T101</f>
        <v>2156.5938741951868</v>
      </c>
    </row>
    <row r="107" spans="1:20" x14ac:dyDescent="0.25">
      <c r="A107" s="354" t="s">
        <v>155</v>
      </c>
      <c r="B107" s="355"/>
      <c r="C107" s="355"/>
      <c r="D107" s="355"/>
      <c r="E107" s="55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39"/>
      <c r="S107" s="10"/>
      <c r="T107" s="139"/>
    </row>
    <row r="108" spans="1:20" ht="30" customHeight="1" x14ac:dyDescent="0.25">
      <c r="A108" s="354" t="s">
        <v>156</v>
      </c>
      <c r="B108" s="355"/>
      <c r="C108" s="355"/>
      <c r="D108" s="355"/>
      <c r="E108" s="55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39"/>
      <c r="S108" s="10"/>
      <c r="T108" s="139"/>
    </row>
    <row r="109" spans="1:20" x14ac:dyDescent="0.25">
      <c r="A109" s="137"/>
      <c r="E109" s="55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39"/>
      <c r="S109" s="10"/>
      <c r="T109" s="139"/>
    </row>
    <row r="110" spans="1:20" x14ac:dyDescent="0.25">
      <c r="A110" s="275" t="s">
        <v>157</v>
      </c>
      <c r="B110" s="276"/>
      <c r="C110" s="276"/>
      <c r="D110" s="332"/>
      <c r="E110" s="5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39"/>
      <c r="S110" s="10"/>
      <c r="T110" s="139"/>
    </row>
    <row r="111" spans="1:20" x14ac:dyDescent="0.25">
      <c r="A111" s="342" t="s">
        <v>158</v>
      </c>
      <c r="B111" s="350"/>
      <c r="C111" s="343"/>
      <c r="D111" s="164" t="s">
        <v>30</v>
      </c>
      <c r="E111" s="55"/>
      <c r="F111" s="163" t="s">
        <v>30</v>
      </c>
      <c r="G111" s="10"/>
      <c r="H111" s="163" t="s">
        <v>30</v>
      </c>
      <c r="I111" s="10"/>
      <c r="J111" s="163" t="s">
        <v>30</v>
      </c>
      <c r="K111" s="10"/>
      <c r="L111" s="163" t="s">
        <v>30</v>
      </c>
      <c r="M111" s="10"/>
      <c r="N111" s="163" t="s">
        <v>30</v>
      </c>
      <c r="O111" s="10"/>
      <c r="P111" s="163" t="s">
        <v>30</v>
      </c>
      <c r="Q111" s="10"/>
      <c r="R111" s="41" t="s">
        <v>30</v>
      </c>
      <c r="S111" s="10"/>
      <c r="T111" s="41" t="s">
        <v>30</v>
      </c>
    </row>
    <row r="112" spans="1:20" x14ac:dyDescent="0.25">
      <c r="A112" s="39" t="s">
        <v>69</v>
      </c>
      <c r="B112" s="320" t="s">
        <v>67</v>
      </c>
      <c r="C112" s="320"/>
      <c r="D112" s="62">
        <f>D18</f>
        <v>4831.58</v>
      </c>
      <c r="E112" s="55"/>
      <c r="F112" s="21">
        <f>F18</f>
        <v>5158.1899999999996</v>
      </c>
      <c r="G112" s="10"/>
      <c r="H112" s="21">
        <f>H18</f>
        <v>5158.1899999999996</v>
      </c>
      <c r="I112" s="10"/>
      <c r="J112" s="21">
        <f>J18</f>
        <v>5158.1899999999996</v>
      </c>
      <c r="K112" s="10"/>
      <c r="L112" s="21">
        <f>L18</f>
        <v>5658.53</v>
      </c>
      <c r="M112" s="10"/>
      <c r="N112" s="21">
        <f>N18</f>
        <v>5658.53</v>
      </c>
      <c r="O112" s="10"/>
      <c r="P112" s="21">
        <f>P18</f>
        <v>5658.53</v>
      </c>
      <c r="Q112" s="10"/>
      <c r="R112" s="43">
        <f>R18</f>
        <v>5783.88</v>
      </c>
      <c r="S112" s="10"/>
      <c r="T112" s="43">
        <f>T18</f>
        <v>6025.65</v>
      </c>
    </row>
    <row r="113" spans="1:20" x14ac:dyDescent="0.25">
      <c r="A113" s="39" t="s">
        <v>71</v>
      </c>
      <c r="B113" s="320" t="s">
        <v>81</v>
      </c>
      <c r="C113" s="320"/>
      <c r="D113" s="62">
        <f>D52</f>
        <v>2599.9459886960003</v>
      </c>
      <c r="E113" s="67"/>
      <c r="F113" s="21">
        <f>F52</f>
        <v>2751.084267228</v>
      </c>
      <c r="G113" s="65"/>
      <c r="H113" s="21">
        <f>H52</f>
        <v>2751.084267228</v>
      </c>
      <c r="I113" s="65"/>
      <c r="J113" s="21">
        <f>J52</f>
        <v>2837.6817672279999</v>
      </c>
      <c r="K113" s="65"/>
      <c r="L113" s="21">
        <f>L52</f>
        <v>2996.3220780360002</v>
      </c>
      <c r="M113" s="65"/>
      <c r="N113" s="21">
        <f>N52</f>
        <v>2996.3220780360002</v>
      </c>
      <c r="O113" s="65"/>
      <c r="P113" s="21">
        <f>P52</f>
        <v>2996.3220780360002</v>
      </c>
      <c r="Q113" s="65"/>
      <c r="R113" s="43">
        <f>R52</f>
        <v>3040.4972854560001</v>
      </c>
      <c r="S113" s="65"/>
      <c r="T113" s="43">
        <f>T52</f>
        <v>3152.2314887799994</v>
      </c>
    </row>
    <row r="114" spans="1:20" x14ac:dyDescent="0.25">
      <c r="A114" s="39" t="s">
        <v>73</v>
      </c>
      <c r="B114" s="320" t="s">
        <v>110</v>
      </c>
      <c r="C114" s="320"/>
      <c r="D114" s="62">
        <f>D62</f>
        <v>362.26587694703994</v>
      </c>
      <c r="E114" s="68"/>
      <c r="F114" s="21">
        <f>F62</f>
        <v>386.75468973078205</v>
      </c>
      <c r="G114" s="66"/>
      <c r="H114" s="21">
        <f>H62</f>
        <v>386.75468973078205</v>
      </c>
      <c r="I114" s="66"/>
      <c r="J114" s="21">
        <f>J62</f>
        <v>386.75468973078205</v>
      </c>
      <c r="K114" s="66"/>
      <c r="L114" s="21">
        <f>L62</f>
        <v>424.26956247876137</v>
      </c>
      <c r="M114" s="66"/>
      <c r="N114" s="21">
        <f>N62</f>
        <v>286.8158305426528</v>
      </c>
      <c r="O114" s="66"/>
      <c r="P114" s="21">
        <f>P62</f>
        <v>286.8158305426528</v>
      </c>
      <c r="Q114" s="66"/>
      <c r="R114" s="43">
        <f>R62</f>
        <v>293.16948853483837</v>
      </c>
      <c r="S114" s="66"/>
      <c r="T114" s="43">
        <f>T62</f>
        <v>305.42416657848167</v>
      </c>
    </row>
    <row r="115" spans="1:20" x14ac:dyDescent="0.25">
      <c r="A115" s="39" t="s">
        <v>75</v>
      </c>
      <c r="B115" s="320" t="s">
        <v>118</v>
      </c>
      <c r="C115" s="320"/>
      <c r="D115" s="62">
        <f>D86</f>
        <v>75.534554245799995</v>
      </c>
      <c r="E115" s="68"/>
      <c r="F115" s="21">
        <f>F86</f>
        <v>80.640614946899987</v>
      </c>
      <c r="G115" s="66"/>
      <c r="H115" s="21">
        <f>H86</f>
        <v>80.640614946899987</v>
      </c>
      <c r="I115" s="66"/>
      <c r="J115" s="21">
        <f>J86</f>
        <v>80.640614946899987</v>
      </c>
      <c r="K115" s="66"/>
      <c r="L115" s="21">
        <f>L86</f>
        <v>88.462685340299984</v>
      </c>
      <c r="M115" s="66"/>
      <c r="N115" s="21">
        <f>N86</f>
        <v>88.462685340299984</v>
      </c>
      <c r="O115" s="66"/>
      <c r="P115" s="21">
        <f>P86</f>
        <v>88.462685340299984</v>
      </c>
      <c r="Q115" s="66"/>
      <c r="R115" s="43">
        <f>R86</f>
        <v>90.422345818800011</v>
      </c>
      <c r="S115" s="66"/>
      <c r="T115" s="43">
        <f>T86</f>
        <v>94.202059531499984</v>
      </c>
    </row>
    <row r="116" spans="1:20" x14ac:dyDescent="0.25">
      <c r="A116" s="39" t="s">
        <v>77</v>
      </c>
      <c r="B116" s="320" t="s">
        <v>136</v>
      </c>
      <c r="C116" s="320"/>
      <c r="D116" s="59">
        <f>D94</f>
        <v>53.795000000000002</v>
      </c>
      <c r="E116" s="55"/>
      <c r="F116" s="12">
        <f>F94</f>
        <v>53.795000000000002</v>
      </c>
      <c r="G116" s="10"/>
      <c r="H116" s="12">
        <f>H94</f>
        <v>53.795000000000002</v>
      </c>
      <c r="I116" s="10"/>
      <c r="J116" s="12">
        <f>J94</f>
        <v>53.795000000000002</v>
      </c>
      <c r="K116" s="10"/>
      <c r="L116" s="12">
        <f>L94</f>
        <v>53.795000000000002</v>
      </c>
      <c r="M116" s="10"/>
      <c r="N116" s="12">
        <f>N94</f>
        <v>57.994999999999997</v>
      </c>
      <c r="O116" s="10"/>
      <c r="P116" s="12">
        <f>P94</f>
        <v>57.994999999999997</v>
      </c>
      <c r="Q116" s="10"/>
      <c r="R116" s="42">
        <f>R94</f>
        <v>57.994999999999997</v>
      </c>
      <c r="S116" s="10"/>
      <c r="T116" s="42">
        <f>T94</f>
        <v>57.994999999999997</v>
      </c>
    </row>
    <row r="117" spans="1:20" x14ac:dyDescent="0.25">
      <c r="A117" s="339" t="s">
        <v>159</v>
      </c>
      <c r="B117" s="340"/>
      <c r="C117" s="340"/>
      <c r="D117" s="60">
        <f>SUM(D112:D116)</f>
        <v>7923.1214198888401</v>
      </c>
      <c r="E117" s="150"/>
      <c r="F117" s="23">
        <f>SUM(F112:F116)</f>
        <v>8430.4645719056825</v>
      </c>
      <c r="G117" s="12"/>
      <c r="H117" s="23">
        <f>SUM(H112:H116)</f>
        <v>8430.4645719056825</v>
      </c>
      <c r="I117" s="12"/>
      <c r="J117" s="23">
        <f>SUM(J112:J116)</f>
        <v>8517.0620719056824</v>
      </c>
      <c r="K117" s="12"/>
      <c r="L117" s="23">
        <f>SUM(L112:L116)</f>
        <v>9221.3793258550613</v>
      </c>
      <c r="M117" s="12"/>
      <c r="N117" s="23">
        <f>SUM(N112:N116)</f>
        <v>9088.1255939189541</v>
      </c>
      <c r="O117" s="12"/>
      <c r="P117" s="23">
        <f>SUM(P112:P116)</f>
        <v>9088.1255939189541</v>
      </c>
      <c r="Q117" s="12"/>
      <c r="R117" s="169">
        <f>SUM(R112:R116)</f>
        <v>9265.9641198096415</v>
      </c>
      <c r="S117" s="12"/>
      <c r="T117" s="169">
        <f>SUM(T112:T116)</f>
        <v>9635.5027148899826</v>
      </c>
    </row>
    <row r="118" spans="1:20" x14ac:dyDescent="0.25">
      <c r="A118" s="39" t="s">
        <v>79</v>
      </c>
      <c r="B118" s="312" t="s">
        <v>141</v>
      </c>
      <c r="C118" s="312"/>
      <c r="D118" s="59">
        <f>D106</f>
        <v>1773.3330189645474</v>
      </c>
      <c r="E118" s="150"/>
      <c r="F118" s="12">
        <f>F106</f>
        <v>1886.8852814805041</v>
      </c>
      <c r="G118" s="12"/>
      <c r="H118" s="12">
        <f>H106</f>
        <v>1886.8852814805041</v>
      </c>
      <c r="I118" s="12"/>
      <c r="J118" s="12">
        <f>J106</f>
        <v>1906.267315147727</v>
      </c>
      <c r="K118" s="12"/>
      <c r="L118" s="12">
        <f>L106</f>
        <v>2063.9058235163639</v>
      </c>
      <c r="M118" s="12"/>
      <c r="N118" s="12">
        <f>N106</f>
        <v>2034.0813098910423</v>
      </c>
      <c r="O118" s="12"/>
      <c r="P118" s="12">
        <f>P106</f>
        <v>2034.0813098910423</v>
      </c>
      <c r="Q118" s="12"/>
      <c r="R118" s="42">
        <f>R106</f>
        <v>2073.8846794587857</v>
      </c>
      <c r="S118" s="12"/>
      <c r="T118" s="42">
        <f>T106</f>
        <v>2156.5938741951868</v>
      </c>
    </row>
    <row r="119" spans="1:20" ht="15.75" thickBot="1" x14ac:dyDescent="0.3">
      <c r="A119" s="347" t="s">
        <v>160</v>
      </c>
      <c r="B119" s="348"/>
      <c r="C119" s="348"/>
      <c r="D119" s="64">
        <f>SUM(D117:D118)</f>
        <v>9696.4544388533868</v>
      </c>
      <c r="E119" s="151"/>
      <c r="F119" s="69">
        <f>SUM(F117:F118)</f>
        <v>10317.349853386186</v>
      </c>
      <c r="G119" s="152"/>
      <c r="H119" s="69">
        <f>SUM(H117:H118)</f>
        <v>10317.349853386186</v>
      </c>
      <c r="I119" s="152"/>
      <c r="J119" s="69">
        <f>SUM(J117:J118)</f>
        <v>10423.329387053409</v>
      </c>
      <c r="K119" s="152"/>
      <c r="L119" s="69">
        <f>SUM(L117:L118)</f>
        <v>11285.285149371426</v>
      </c>
      <c r="M119" s="152"/>
      <c r="N119" s="69">
        <f>SUM(N117:N118)</f>
        <v>11122.206903809996</v>
      </c>
      <c r="O119" s="152"/>
      <c r="P119" s="69">
        <f>SUM(P117:P118)</f>
        <v>11122.206903809996</v>
      </c>
      <c r="Q119" s="152"/>
      <c r="R119" s="178">
        <f>SUM(R117:R118)</f>
        <v>11339.848799268428</v>
      </c>
      <c r="S119" s="152"/>
      <c r="T119" s="178">
        <f>SUM(T117:T118)</f>
        <v>11792.096589085169</v>
      </c>
    </row>
  </sheetData>
  <mergeCells count="131">
    <mergeCell ref="U9:V9"/>
    <mergeCell ref="S97:T97"/>
    <mergeCell ref="A107:D107"/>
    <mergeCell ref="B90:C90"/>
    <mergeCell ref="B91:C91"/>
    <mergeCell ref="B92:C92"/>
    <mergeCell ref="B93:C93"/>
    <mergeCell ref="A94:C94"/>
    <mergeCell ref="A96:D96"/>
    <mergeCell ref="A97:B97"/>
    <mergeCell ref="C97:D97"/>
    <mergeCell ref="A106:B106"/>
    <mergeCell ref="A75:B75"/>
    <mergeCell ref="A77:D77"/>
    <mergeCell ref="A80:B80"/>
    <mergeCell ref="A82:D82"/>
    <mergeCell ref="B83:C83"/>
    <mergeCell ref="B84:C84"/>
    <mergeCell ref="A86:C86"/>
    <mergeCell ref="A88:D88"/>
    <mergeCell ref="B89:C89"/>
    <mergeCell ref="A62:B62"/>
    <mergeCell ref="A64:D64"/>
    <mergeCell ref="A67:D67"/>
    <mergeCell ref="A108:D108"/>
    <mergeCell ref="A119:C119"/>
    <mergeCell ref="A110:D110"/>
    <mergeCell ref="A111:C111"/>
    <mergeCell ref="B112:C112"/>
    <mergeCell ref="B113:C113"/>
    <mergeCell ref="B114:C114"/>
    <mergeCell ref="B115:C115"/>
    <mergeCell ref="B116:C116"/>
    <mergeCell ref="A117:C117"/>
    <mergeCell ref="B118:C118"/>
    <mergeCell ref="B49:C49"/>
    <mergeCell ref="B50:C50"/>
    <mergeCell ref="B51:C51"/>
    <mergeCell ref="A52:C52"/>
    <mergeCell ref="A65:D65"/>
    <mergeCell ref="A54:D54"/>
    <mergeCell ref="A39:D39"/>
    <mergeCell ref="A45:C45"/>
    <mergeCell ref="A47:D47"/>
    <mergeCell ref="Q97:R97"/>
    <mergeCell ref="B17:C17"/>
    <mergeCell ref="A18:C18"/>
    <mergeCell ref="A20:D20"/>
    <mergeCell ref="A21:D21"/>
    <mergeCell ref="A25:B25"/>
    <mergeCell ref="A27:D27"/>
    <mergeCell ref="A37:B37"/>
    <mergeCell ref="A1:D1"/>
    <mergeCell ref="A2:D2"/>
    <mergeCell ref="C3:D3"/>
    <mergeCell ref="C4:D4"/>
    <mergeCell ref="C5:D5"/>
    <mergeCell ref="B15:C15"/>
    <mergeCell ref="B16:C16"/>
    <mergeCell ref="C6:D6"/>
    <mergeCell ref="C7:D7"/>
    <mergeCell ref="C8:D8"/>
    <mergeCell ref="A10:D10"/>
    <mergeCell ref="B11:C11"/>
    <mergeCell ref="B12:C12"/>
    <mergeCell ref="B13:C13"/>
    <mergeCell ref="B14:C14"/>
    <mergeCell ref="B48:C48"/>
    <mergeCell ref="E8:F8"/>
    <mergeCell ref="E7:F7"/>
    <mergeCell ref="I7:J7"/>
    <mergeCell ref="I8:J8"/>
    <mergeCell ref="K7:L7"/>
    <mergeCell ref="K8:L8"/>
    <mergeCell ref="M7:N7"/>
    <mergeCell ref="M8:N8"/>
    <mergeCell ref="G8:H8"/>
    <mergeCell ref="G7:H7"/>
    <mergeCell ref="E97:F97"/>
    <mergeCell ref="G9:H9"/>
    <mergeCell ref="O9:P9"/>
    <mergeCell ref="G97:H97"/>
    <mergeCell ref="O97:P97"/>
    <mergeCell ref="M9:N9"/>
    <mergeCell ref="K9:L9"/>
    <mergeCell ref="I9:J9"/>
    <mergeCell ref="K97:L97"/>
    <mergeCell ref="M97:N97"/>
    <mergeCell ref="I97:J97"/>
    <mergeCell ref="E9:F9"/>
    <mergeCell ref="S9:T9"/>
    <mergeCell ref="Q7:R7"/>
    <mergeCell ref="Q8:R8"/>
    <mergeCell ref="S3:T3"/>
    <mergeCell ref="S4:T4"/>
    <mergeCell ref="S5:T5"/>
    <mergeCell ref="I6:J6"/>
    <mergeCell ref="K6:L6"/>
    <mergeCell ref="Q9:R9"/>
    <mergeCell ref="S6:T6"/>
    <mergeCell ref="S7:T7"/>
    <mergeCell ref="S8:T8"/>
    <mergeCell ref="O5:P5"/>
    <mergeCell ref="O6:P6"/>
    <mergeCell ref="O7:P7"/>
    <mergeCell ref="M5:N5"/>
    <mergeCell ref="O8:P8"/>
    <mergeCell ref="E1:R2"/>
    <mergeCell ref="G4:H4"/>
    <mergeCell ref="G5:H5"/>
    <mergeCell ref="G6:H6"/>
    <mergeCell ref="I3:J3"/>
    <mergeCell ref="G3:H3"/>
    <mergeCell ref="K3:L3"/>
    <mergeCell ref="M3:N3"/>
    <mergeCell ref="O3:P3"/>
    <mergeCell ref="Q3:R3"/>
    <mergeCell ref="O4:P4"/>
    <mergeCell ref="E3:F3"/>
    <mergeCell ref="E4:F4"/>
    <mergeCell ref="E5:F5"/>
    <mergeCell ref="E6:F6"/>
    <mergeCell ref="I4:J4"/>
    <mergeCell ref="I5:J5"/>
    <mergeCell ref="M6:N6"/>
    <mergeCell ref="K4:L4"/>
    <mergeCell ref="K5:L5"/>
    <mergeCell ref="M4:N4"/>
    <mergeCell ref="Q4:R4"/>
    <mergeCell ref="Q5:R5"/>
    <mergeCell ref="Q6:R6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  <rowBreaks count="2" manualBreakCount="2">
    <brk id="38" max="4" man="1"/>
    <brk id="8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19"/>
  <sheetViews>
    <sheetView topLeftCell="G1" zoomScaleNormal="100" zoomScaleSheetLayoutView="100" workbookViewId="0">
      <selection activeCell="T12" sqref="T12"/>
    </sheetView>
  </sheetViews>
  <sheetFormatPr defaultRowHeight="15" x14ac:dyDescent="0.25"/>
  <cols>
    <col min="1" max="1" width="4.7109375" style="9" bestFit="1" customWidth="1"/>
    <col min="2" max="2" width="86.28515625" style="9" bestFit="1" customWidth="1"/>
    <col min="3" max="3" width="10.5703125" style="9" bestFit="1" customWidth="1"/>
    <col min="4" max="4" width="11.7109375" style="9" bestFit="1" customWidth="1"/>
    <col min="5" max="18" width="15.7109375" style="9" customWidth="1"/>
    <col min="19" max="20" width="15.7109375" style="180" customWidth="1"/>
    <col min="21" max="16384" width="9.140625" style="9"/>
  </cols>
  <sheetData>
    <row r="1" spans="1:20" x14ac:dyDescent="0.25">
      <c r="A1" s="362" t="s">
        <v>161</v>
      </c>
      <c r="B1" s="362"/>
      <c r="C1" s="362"/>
      <c r="D1" s="362"/>
      <c r="E1" s="292" t="s">
        <v>46</v>
      </c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4"/>
      <c r="S1" s="179"/>
      <c r="T1" s="179"/>
    </row>
    <row r="2" spans="1:20" ht="15.75" thickBot="1" x14ac:dyDescent="0.3">
      <c r="A2" s="340" t="s">
        <v>47</v>
      </c>
      <c r="B2" s="340"/>
      <c r="C2" s="340"/>
      <c r="D2" s="340"/>
      <c r="E2" s="295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7"/>
      <c r="S2" s="179"/>
      <c r="T2" s="179"/>
    </row>
    <row r="3" spans="1:20" s="251" customFormat="1" ht="80.099999999999994" customHeight="1" x14ac:dyDescent="0.25">
      <c r="A3" s="153">
        <v>1</v>
      </c>
      <c r="B3" s="167" t="s">
        <v>48</v>
      </c>
      <c r="C3" s="360" t="s">
        <v>13</v>
      </c>
      <c r="D3" s="360"/>
      <c r="E3" s="360" t="s">
        <v>13</v>
      </c>
      <c r="F3" s="360"/>
      <c r="G3" s="305"/>
      <c r="H3" s="306"/>
      <c r="I3" s="360" t="s">
        <v>13</v>
      </c>
      <c r="J3" s="360"/>
      <c r="K3" s="304"/>
      <c r="L3" s="304"/>
      <c r="M3" s="304"/>
      <c r="N3" s="304"/>
      <c r="O3" s="304"/>
      <c r="P3" s="304"/>
      <c r="Q3" s="304"/>
      <c r="R3" s="363"/>
      <c r="S3" s="360" t="s">
        <v>13</v>
      </c>
      <c r="T3" s="360"/>
    </row>
    <row r="4" spans="1:20" x14ac:dyDescent="0.25">
      <c r="A4" s="155">
        <v>2</v>
      </c>
      <c r="B4" s="8" t="s">
        <v>50</v>
      </c>
      <c r="C4" s="312" t="s">
        <v>14</v>
      </c>
      <c r="D4" s="312"/>
      <c r="E4" s="312" t="s">
        <v>14</v>
      </c>
      <c r="F4" s="312"/>
      <c r="G4" s="298"/>
      <c r="H4" s="299"/>
      <c r="I4" s="312" t="s">
        <v>14</v>
      </c>
      <c r="J4" s="312"/>
      <c r="K4" s="309"/>
      <c r="L4" s="309"/>
      <c r="M4" s="309"/>
      <c r="N4" s="309"/>
      <c r="O4" s="309"/>
      <c r="P4" s="309"/>
      <c r="Q4" s="309"/>
      <c r="R4" s="317"/>
      <c r="S4" s="312" t="s">
        <v>14</v>
      </c>
      <c r="T4" s="312"/>
    </row>
    <row r="5" spans="1:20" x14ac:dyDescent="0.25">
      <c r="A5" s="155">
        <v>3</v>
      </c>
      <c r="B5" s="8" t="s">
        <v>51</v>
      </c>
      <c r="C5" s="361">
        <v>1300.72</v>
      </c>
      <c r="D5" s="361"/>
      <c r="E5" s="361">
        <v>1300.72</v>
      </c>
      <c r="F5" s="361"/>
      <c r="G5" s="300"/>
      <c r="H5" s="301"/>
      <c r="I5" s="361">
        <v>1300.72</v>
      </c>
      <c r="J5" s="361"/>
      <c r="K5" s="316"/>
      <c r="L5" s="316"/>
      <c r="M5" s="316"/>
      <c r="N5" s="316"/>
      <c r="O5" s="316"/>
      <c r="P5" s="316"/>
      <c r="Q5" s="316"/>
      <c r="R5" s="318"/>
      <c r="S5" s="361">
        <v>1300.72</v>
      </c>
      <c r="T5" s="361"/>
    </row>
    <row r="6" spans="1:20" x14ac:dyDescent="0.25">
      <c r="A6" s="155">
        <v>4</v>
      </c>
      <c r="B6" s="8" t="s">
        <v>52</v>
      </c>
      <c r="C6" s="320" t="s">
        <v>162</v>
      </c>
      <c r="D6" s="320"/>
      <c r="E6" s="314" t="s">
        <v>53</v>
      </c>
      <c r="F6" s="315"/>
      <c r="G6" s="302"/>
      <c r="H6" s="303"/>
      <c r="I6" s="320" t="s">
        <v>53</v>
      </c>
      <c r="J6" s="320"/>
      <c r="K6" s="315"/>
      <c r="L6" s="315"/>
      <c r="M6" s="315"/>
      <c r="N6" s="315"/>
      <c r="O6" s="315"/>
      <c r="P6" s="315"/>
      <c r="Q6" s="315"/>
      <c r="R6" s="319"/>
      <c r="S6" s="320" t="s">
        <v>162</v>
      </c>
      <c r="T6" s="320"/>
    </row>
    <row r="7" spans="1:20" x14ac:dyDescent="0.25">
      <c r="A7" s="155">
        <v>5</v>
      </c>
      <c r="B7" s="8" t="s">
        <v>54</v>
      </c>
      <c r="C7" s="328">
        <v>43952</v>
      </c>
      <c r="D7" s="312"/>
      <c r="E7" s="335">
        <v>44317</v>
      </c>
      <c r="F7" s="328"/>
      <c r="G7" s="336"/>
      <c r="H7" s="337"/>
      <c r="I7" s="328">
        <v>44682</v>
      </c>
      <c r="J7" s="328"/>
      <c r="K7" s="322"/>
      <c r="L7" s="322"/>
      <c r="M7" s="322"/>
      <c r="N7" s="322"/>
      <c r="O7" s="322"/>
      <c r="P7" s="322"/>
      <c r="Q7" s="322"/>
      <c r="R7" s="323"/>
      <c r="S7" s="328">
        <v>45047</v>
      </c>
      <c r="T7" s="312"/>
    </row>
    <row r="8" spans="1:20" x14ac:dyDescent="0.25">
      <c r="A8" s="155">
        <v>6</v>
      </c>
      <c r="B8" s="8" t="s">
        <v>55</v>
      </c>
      <c r="C8" s="328" t="s">
        <v>163</v>
      </c>
      <c r="D8" s="312"/>
      <c r="E8" s="335" t="s">
        <v>56</v>
      </c>
      <c r="F8" s="328"/>
      <c r="G8" s="336"/>
      <c r="H8" s="337"/>
      <c r="I8" s="328" t="s">
        <v>57</v>
      </c>
      <c r="J8" s="328"/>
      <c r="K8" s="322"/>
      <c r="L8" s="322"/>
      <c r="M8" s="322"/>
      <c r="N8" s="322"/>
      <c r="O8" s="322"/>
      <c r="P8" s="322"/>
      <c r="Q8" s="322"/>
      <c r="R8" s="323"/>
      <c r="S8" s="328" t="s">
        <v>58</v>
      </c>
      <c r="T8" s="312"/>
    </row>
    <row r="9" spans="1:20" ht="75" customHeight="1" x14ac:dyDescent="0.25">
      <c r="E9" s="334" t="s">
        <v>59</v>
      </c>
      <c r="F9" s="331"/>
      <c r="G9" s="329" t="s">
        <v>60</v>
      </c>
      <c r="H9" s="330"/>
      <c r="I9" s="331" t="s">
        <v>61</v>
      </c>
      <c r="J9" s="331"/>
      <c r="K9" s="331" t="s">
        <v>62</v>
      </c>
      <c r="L9" s="331"/>
      <c r="M9" s="331" t="s">
        <v>63</v>
      </c>
      <c r="N9" s="331"/>
      <c r="O9" s="331" t="s">
        <v>64</v>
      </c>
      <c r="P9" s="331"/>
      <c r="Q9" s="320" t="s">
        <v>164</v>
      </c>
      <c r="R9" s="321"/>
      <c r="S9" s="320" t="s">
        <v>165</v>
      </c>
      <c r="T9" s="321"/>
    </row>
    <row r="10" spans="1:20" ht="15" customHeight="1" x14ac:dyDescent="0.25">
      <c r="A10" s="276" t="s">
        <v>67</v>
      </c>
      <c r="B10" s="276"/>
      <c r="C10" s="276"/>
      <c r="D10" s="276"/>
      <c r="E10" s="171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0"/>
      <c r="R10" s="139"/>
      <c r="S10" s="10"/>
      <c r="T10" s="139"/>
    </row>
    <row r="11" spans="1:20" x14ac:dyDescent="0.25">
      <c r="A11" s="163">
        <v>1</v>
      </c>
      <c r="B11" s="340" t="s">
        <v>68</v>
      </c>
      <c r="C11" s="340"/>
      <c r="D11" s="163" t="s">
        <v>30</v>
      </c>
      <c r="E11" s="55"/>
      <c r="F11" s="163" t="s">
        <v>30</v>
      </c>
      <c r="G11" s="10"/>
      <c r="H11" s="163" t="s">
        <v>30</v>
      </c>
      <c r="I11" s="10"/>
      <c r="J11" s="163" t="s">
        <v>30</v>
      </c>
      <c r="K11" s="10"/>
      <c r="L11" s="163" t="s">
        <v>30</v>
      </c>
      <c r="M11" s="10"/>
      <c r="N11" s="163" t="s">
        <v>30</v>
      </c>
      <c r="O11" s="10"/>
      <c r="P11" s="163" t="s">
        <v>30</v>
      </c>
      <c r="Q11" s="10"/>
      <c r="R11" s="41" t="s">
        <v>30</v>
      </c>
      <c r="S11" s="10"/>
      <c r="T11" s="41" t="s">
        <v>30</v>
      </c>
    </row>
    <row r="12" spans="1:20" x14ac:dyDescent="0.25">
      <c r="A12" s="6" t="s">
        <v>69</v>
      </c>
      <c r="B12" s="312" t="s">
        <v>70</v>
      </c>
      <c r="C12" s="312"/>
      <c r="D12" s="20">
        <v>3511.21</v>
      </c>
      <c r="E12" s="55"/>
      <c r="F12" s="72">
        <f>ROUND(D12*(1+6.76%),2)</f>
        <v>3748.57</v>
      </c>
      <c r="G12" s="10"/>
      <c r="H12" s="72">
        <f>F12</f>
        <v>3748.57</v>
      </c>
      <c r="I12" s="10"/>
      <c r="J12" s="72">
        <f>H12</f>
        <v>3748.57</v>
      </c>
      <c r="K12" s="10"/>
      <c r="L12" s="72">
        <f>ROUND(J12*(1+9.7%),2)</f>
        <v>4112.18</v>
      </c>
      <c r="M12" s="10"/>
      <c r="N12" s="72">
        <f>L12</f>
        <v>4112.18</v>
      </c>
      <c r="O12" s="10"/>
      <c r="P12" s="72">
        <f>N12</f>
        <v>4112.18</v>
      </c>
      <c r="Q12" s="10"/>
      <c r="R12" s="74">
        <f>ROUND(J12*(1+12.13%),2)</f>
        <v>4203.2700000000004</v>
      </c>
      <c r="S12" s="10"/>
      <c r="T12" s="74">
        <f>ROUND(R12*(1+4.18%),2)</f>
        <v>4378.97</v>
      </c>
    </row>
    <row r="13" spans="1:20" x14ac:dyDescent="0.25">
      <c r="A13" s="6" t="s">
        <v>71</v>
      </c>
      <c r="B13" s="312" t="s">
        <v>72</v>
      </c>
      <c r="C13" s="312"/>
      <c r="D13" s="20">
        <v>0</v>
      </c>
      <c r="E13" s="55"/>
      <c r="F13" s="72" t="s">
        <v>38</v>
      </c>
      <c r="G13" s="10"/>
      <c r="H13" s="72" t="s">
        <v>38</v>
      </c>
      <c r="I13" s="10"/>
      <c r="J13" s="72" t="s">
        <v>38</v>
      </c>
      <c r="K13" s="10"/>
      <c r="L13" s="72" t="s">
        <v>38</v>
      </c>
      <c r="M13" s="10"/>
      <c r="N13" s="72" t="s">
        <v>38</v>
      </c>
      <c r="O13" s="10"/>
      <c r="P13" s="72" t="s">
        <v>38</v>
      </c>
      <c r="Q13" s="10"/>
      <c r="R13" s="74" t="s">
        <v>38</v>
      </c>
      <c r="S13" s="10"/>
      <c r="T13" s="74" t="s">
        <v>38</v>
      </c>
    </row>
    <row r="14" spans="1:20" x14ac:dyDescent="0.25">
      <c r="A14" s="6" t="s">
        <v>73</v>
      </c>
      <c r="B14" s="312" t="s">
        <v>74</v>
      </c>
      <c r="C14" s="312"/>
      <c r="D14" s="20">
        <v>0</v>
      </c>
      <c r="E14" s="55"/>
      <c r="F14" s="72" t="s">
        <v>38</v>
      </c>
      <c r="G14" s="10"/>
      <c r="H14" s="72" t="s">
        <v>38</v>
      </c>
      <c r="I14" s="10"/>
      <c r="J14" s="72" t="s">
        <v>38</v>
      </c>
      <c r="K14" s="10"/>
      <c r="L14" s="72" t="s">
        <v>38</v>
      </c>
      <c r="M14" s="10"/>
      <c r="N14" s="72" t="s">
        <v>38</v>
      </c>
      <c r="O14" s="10"/>
      <c r="P14" s="72" t="s">
        <v>38</v>
      </c>
      <c r="Q14" s="10"/>
      <c r="R14" s="74" t="s">
        <v>38</v>
      </c>
      <c r="S14" s="10"/>
      <c r="T14" s="74" t="s">
        <v>38</v>
      </c>
    </row>
    <row r="15" spans="1:20" x14ac:dyDescent="0.25">
      <c r="A15" s="6" t="s">
        <v>75</v>
      </c>
      <c r="B15" s="312" t="s">
        <v>76</v>
      </c>
      <c r="C15" s="312"/>
      <c r="D15" s="20">
        <v>0</v>
      </c>
      <c r="E15" s="55"/>
      <c r="F15" s="72" t="s">
        <v>38</v>
      </c>
      <c r="G15" s="10"/>
      <c r="H15" s="72" t="s">
        <v>38</v>
      </c>
      <c r="I15" s="10"/>
      <c r="J15" s="72" t="s">
        <v>38</v>
      </c>
      <c r="K15" s="10"/>
      <c r="L15" s="72" t="s">
        <v>38</v>
      </c>
      <c r="M15" s="10"/>
      <c r="N15" s="72" t="s">
        <v>38</v>
      </c>
      <c r="O15" s="10"/>
      <c r="P15" s="72" t="s">
        <v>38</v>
      </c>
      <c r="Q15" s="10"/>
      <c r="R15" s="74" t="s">
        <v>38</v>
      </c>
      <c r="S15" s="10"/>
      <c r="T15" s="74" t="s">
        <v>38</v>
      </c>
    </row>
    <row r="16" spans="1:20" x14ac:dyDescent="0.25">
      <c r="A16" s="6" t="s">
        <v>77</v>
      </c>
      <c r="B16" s="312" t="s">
        <v>78</v>
      </c>
      <c r="C16" s="312"/>
      <c r="D16" s="20">
        <v>0</v>
      </c>
      <c r="E16" s="55"/>
      <c r="F16" s="72" t="s">
        <v>38</v>
      </c>
      <c r="G16" s="10"/>
      <c r="H16" s="72" t="s">
        <v>38</v>
      </c>
      <c r="I16" s="10"/>
      <c r="J16" s="72" t="s">
        <v>38</v>
      </c>
      <c r="K16" s="10"/>
      <c r="L16" s="72" t="s">
        <v>38</v>
      </c>
      <c r="M16" s="10"/>
      <c r="N16" s="72" t="s">
        <v>38</v>
      </c>
      <c r="O16" s="10"/>
      <c r="P16" s="72" t="s">
        <v>38</v>
      </c>
      <c r="Q16" s="10"/>
      <c r="R16" s="74" t="s">
        <v>38</v>
      </c>
      <c r="S16" s="10"/>
      <c r="T16" s="74" t="s">
        <v>38</v>
      </c>
    </row>
    <row r="17" spans="1:20" x14ac:dyDescent="0.25">
      <c r="A17" s="6" t="s">
        <v>79</v>
      </c>
      <c r="B17" s="312" t="s">
        <v>80</v>
      </c>
      <c r="C17" s="312"/>
      <c r="D17" s="20">
        <v>0</v>
      </c>
      <c r="E17" s="55"/>
      <c r="F17" s="72" t="s">
        <v>38</v>
      </c>
      <c r="G17" s="10"/>
      <c r="H17" s="72" t="s">
        <v>38</v>
      </c>
      <c r="I17" s="10"/>
      <c r="J17" s="72" t="s">
        <v>38</v>
      </c>
      <c r="K17" s="10"/>
      <c r="L17" s="72" t="s">
        <v>38</v>
      </c>
      <c r="M17" s="10"/>
      <c r="N17" s="72" t="s">
        <v>38</v>
      </c>
      <c r="O17" s="10"/>
      <c r="P17" s="72" t="s">
        <v>38</v>
      </c>
      <c r="Q17" s="10"/>
      <c r="R17" s="74" t="s">
        <v>38</v>
      </c>
      <c r="S17" s="10"/>
      <c r="T17" s="74" t="s">
        <v>38</v>
      </c>
    </row>
    <row r="18" spans="1:20" x14ac:dyDescent="0.25">
      <c r="A18" s="340" t="s">
        <v>32</v>
      </c>
      <c r="B18" s="340"/>
      <c r="C18" s="340"/>
      <c r="D18" s="28">
        <f>SUM(D12:D17)</f>
        <v>3511.21</v>
      </c>
      <c r="E18" s="55"/>
      <c r="F18" s="73">
        <f>SUM(F12:F17)</f>
        <v>3748.57</v>
      </c>
      <c r="G18" s="10"/>
      <c r="H18" s="73">
        <f>SUM(H12:H17)</f>
        <v>3748.57</v>
      </c>
      <c r="I18" s="10"/>
      <c r="J18" s="73">
        <f>SUM(J12:J17)</f>
        <v>3748.57</v>
      </c>
      <c r="K18" s="10"/>
      <c r="L18" s="73">
        <f>SUM(L12:L17)</f>
        <v>4112.18</v>
      </c>
      <c r="M18" s="10"/>
      <c r="N18" s="73">
        <f>SUM(N12:N17)</f>
        <v>4112.18</v>
      </c>
      <c r="O18" s="10"/>
      <c r="P18" s="73">
        <f>SUM(P12:P17)</f>
        <v>4112.18</v>
      </c>
      <c r="Q18" s="10"/>
      <c r="R18" s="173">
        <f>SUM(R12:R17)</f>
        <v>4203.2700000000004</v>
      </c>
      <c r="S18" s="10"/>
      <c r="T18" s="173">
        <f>SUM(T12:T17)</f>
        <v>4378.97</v>
      </c>
    </row>
    <row r="19" spans="1:20" x14ac:dyDescent="0.25">
      <c r="E19" s="5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39"/>
      <c r="S19" s="10"/>
      <c r="T19" s="139"/>
    </row>
    <row r="20" spans="1:20" x14ac:dyDescent="0.25">
      <c r="A20" s="340" t="s">
        <v>81</v>
      </c>
      <c r="B20" s="340"/>
      <c r="C20" s="340"/>
      <c r="D20" s="340"/>
      <c r="E20" s="5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39"/>
      <c r="S20" s="10"/>
      <c r="T20" s="139"/>
    </row>
    <row r="21" spans="1:20" x14ac:dyDescent="0.25">
      <c r="A21" s="340" t="s">
        <v>82</v>
      </c>
      <c r="B21" s="340"/>
      <c r="C21" s="340"/>
      <c r="D21" s="340"/>
      <c r="E21" s="5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39"/>
      <c r="S21" s="10"/>
      <c r="T21" s="139"/>
    </row>
    <row r="22" spans="1:20" x14ac:dyDescent="0.25">
      <c r="A22" s="156" t="s">
        <v>83</v>
      </c>
      <c r="B22" s="156" t="s">
        <v>84</v>
      </c>
      <c r="C22" s="163" t="s">
        <v>85</v>
      </c>
      <c r="D22" s="156" t="s">
        <v>30</v>
      </c>
      <c r="E22" s="162" t="s">
        <v>85</v>
      </c>
      <c r="F22" s="156" t="s">
        <v>30</v>
      </c>
      <c r="G22" s="163" t="s">
        <v>85</v>
      </c>
      <c r="H22" s="156" t="s">
        <v>30</v>
      </c>
      <c r="I22" s="163" t="s">
        <v>85</v>
      </c>
      <c r="J22" s="156" t="s">
        <v>30</v>
      </c>
      <c r="K22" s="163" t="s">
        <v>85</v>
      </c>
      <c r="L22" s="156" t="s">
        <v>30</v>
      </c>
      <c r="M22" s="163" t="s">
        <v>85</v>
      </c>
      <c r="N22" s="156" t="s">
        <v>30</v>
      </c>
      <c r="O22" s="163" t="s">
        <v>85</v>
      </c>
      <c r="P22" s="156" t="s">
        <v>30</v>
      </c>
      <c r="Q22" s="163" t="s">
        <v>85</v>
      </c>
      <c r="R22" s="157" t="s">
        <v>30</v>
      </c>
      <c r="S22" s="163" t="s">
        <v>85</v>
      </c>
      <c r="T22" s="157" t="s">
        <v>30</v>
      </c>
    </row>
    <row r="23" spans="1:20" x14ac:dyDescent="0.25">
      <c r="A23" s="6" t="s">
        <v>69</v>
      </c>
      <c r="B23" s="10" t="s">
        <v>86</v>
      </c>
      <c r="C23" s="11">
        <v>9.0899999999999995E-2</v>
      </c>
      <c r="D23" s="12">
        <f>C23*$D$18</f>
        <v>319.16898900000001</v>
      </c>
      <c r="E23" s="46">
        <v>9.0899999999999995E-2</v>
      </c>
      <c r="F23" s="12">
        <f>E23*F$18</f>
        <v>340.74501299999997</v>
      </c>
      <c r="G23" s="11">
        <v>9.0899999999999995E-2</v>
      </c>
      <c r="H23" s="12">
        <f>G23*H$18</f>
        <v>340.74501299999997</v>
      </c>
      <c r="I23" s="11">
        <v>9.0899999999999995E-2</v>
      </c>
      <c r="J23" s="12">
        <f>I23*J$18</f>
        <v>340.74501299999997</v>
      </c>
      <c r="K23" s="11">
        <v>9.0899999999999995E-2</v>
      </c>
      <c r="L23" s="12">
        <f>K23*L$18</f>
        <v>373.79716200000001</v>
      </c>
      <c r="M23" s="11">
        <v>9.0899999999999995E-2</v>
      </c>
      <c r="N23" s="12">
        <f>M23*N$18</f>
        <v>373.79716200000001</v>
      </c>
      <c r="O23" s="11">
        <v>9.0899999999999995E-2</v>
      </c>
      <c r="P23" s="12">
        <f>O23*P$18</f>
        <v>373.79716200000001</v>
      </c>
      <c r="Q23" s="11">
        <v>9.0899999999999995E-2</v>
      </c>
      <c r="R23" s="42">
        <f>Q23*R$18</f>
        <v>382.07724300000001</v>
      </c>
      <c r="S23" s="11">
        <v>9.0899999999999995E-2</v>
      </c>
      <c r="T23" s="42">
        <f>S23*T$18</f>
        <v>398.04837300000003</v>
      </c>
    </row>
    <row r="24" spans="1:20" x14ac:dyDescent="0.25">
      <c r="A24" s="6" t="s">
        <v>71</v>
      </c>
      <c r="B24" s="10" t="s">
        <v>87</v>
      </c>
      <c r="C24" s="11">
        <v>0.121</v>
      </c>
      <c r="D24" s="12">
        <f>C24*$D$18</f>
        <v>424.85640999999998</v>
      </c>
      <c r="E24" s="46">
        <v>0.121</v>
      </c>
      <c r="F24" s="12">
        <f>E24*F$18</f>
        <v>453.57697000000002</v>
      </c>
      <c r="G24" s="11">
        <v>0.121</v>
      </c>
      <c r="H24" s="12">
        <f>G24*H$18</f>
        <v>453.57697000000002</v>
      </c>
      <c r="I24" s="11">
        <v>0.121</v>
      </c>
      <c r="J24" s="12">
        <f>I24*J$18</f>
        <v>453.57697000000002</v>
      </c>
      <c r="K24" s="11">
        <v>0.121</v>
      </c>
      <c r="L24" s="12">
        <f>K24*L$18</f>
        <v>497.57378</v>
      </c>
      <c r="M24" s="11">
        <v>0.121</v>
      </c>
      <c r="N24" s="12">
        <f>M24*N$18</f>
        <v>497.57378</v>
      </c>
      <c r="O24" s="11">
        <v>0.121</v>
      </c>
      <c r="P24" s="12">
        <f>O24*P$18</f>
        <v>497.57378</v>
      </c>
      <c r="Q24" s="11">
        <v>0.121</v>
      </c>
      <c r="R24" s="42">
        <f>Q24*R$18</f>
        <v>508.59567000000004</v>
      </c>
      <c r="S24" s="11">
        <v>0.121</v>
      </c>
      <c r="T24" s="42">
        <f>S24*T$18</f>
        <v>529.85536999999999</v>
      </c>
    </row>
    <row r="25" spans="1:20" x14ac:dyDescent="0.25">
      <c r="A25" s="340" t="s">
        <v>32</v>
      </c>
      <c r="B25" s="340"/>
      <c r="C25" s="27">
        <f>SUM(C23:C24)</f>
        <v>0.21189999999999998</v>
      </c>
      <c r="D25" s="23">
        <f>SUM(D23:D24)</f>
        <v>744.02539899999999</v>
      </c>
      <c r="E25" s="47">
        <f t="shared" ref="E25:R25" si="0">SUM(E23:E24)</f>
        <v>0.21189999999999998</v>
      </c>
      <c r="F25" s="23">
        <f t="shared" si="0"/>
        <v>794.32198300000005</v>
      </c>
      <c r="G25" s="27">
        <f t="shared" si="0"/>
        <v>0.21189999999999998</v>
      </c>
      <c r="H25" s="23">
        <f t="shared" si="0"/>
        <v>794.32198300000005</v>
      </c>
      <c r="I25" s="27">
        <f t="shared" si="0"/>
        <v>0.21189999999999998</v>
      </c>
      <c r="J25" s="23">
        <f t="shared" si="0"/>
        <v>794.32198300000005</v>
      </c>
      <c r="K25" s="27">
        <f t="shared" si="0"/>
        <v>0.21189999999999998</v>
      </c>
      <c r="L25" s="23">
        <f t="shared" si="0"/>
        <v>871.37094200000001</v>
      </c>
      <c r="M25" s="27">
        <f t="shared" si="0"/>
        <v>0.21189999999999998</v>
      </c>
      <c r="N25" s="23">
        <f t="shared" si="0"/>
        <v>871.37094200000001</v>
      </c>
      <c r="O25" s="27">
        <f t="shared" si="0"/>
        <v>0.21189999999999998</v>
      </c>
      <c r="P25" s="23">
        <f t="shared" si="0"/>
        <v>871.37094200000001</v>
      </c>
      <c r="Q25" s="27">
        <f t="shared" si="0"/>
        <v>0.21189999999999998</v>
      </c>
      <c r="R25" s="169">
        <f t="shared" si="0"/>
        <v>890.67291300000011</v>
      </c>
      <c r="S25" s="27">
        <f t="shared" ref="S25:T25" si="1">SUM(S23:S24)</f>
        <v>0.21189999999999998</v>
      </c>
      <c r="T25" s="169">
        <f t="shared" si="1"/>
        <v>927.90374300000008</v>
      </c>
    </row>
    <row r="26" spans="1:20" x14ac:dyDescent="0.25">
      <c r="E26" s="5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39"/>
      <c r="S26" s="10"/>
      <c r="T26" s="139"/>
    </row>
    <row r="27" spans="1:20" ht="15" customHeight="1" x14ac:dyDescent="0.25">
      <c r="A27" s="276" t="s">
        <v>88</v>
      </c>
      <c r="B27" s="276"/>
      <c r="C27" s="276"/>
      <c r="D27" s="276"/>
      <c r="E27" s="55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39"/>
      <c r="S27" s="10"/>
      <c r="T27" s="139"/>
    </row>
    <row r="28" spans="1:20" x14ac:dyDescent="0.25">
      <c r="A28" s="163" t="s">
        <v>89</v>
      </c>
      <c r="B28" s="163" t="s">
        <v>90</v>
      </c>
      <c r="C28" s="163" t="s">
        <v>85</v>
      </c>
      <c r="D28" s="163" t="s">
        <v>30</v>
      </c>
      <c r="E28" s="162" t="s">
        <v>85</v>
      </c>
      <c r="F28" s="163" t="s">
        <v>30</v>
      </c>
      <c r="G28" s="163" t="s">
        <v>85</v>
      </c>
      <c r="H28" s="163" t="s">
        <v>30</v>
      </c>
      <c r="I28" s="163" t="s">
        <v>85</v>
      </c>
      <c r="J28" s="163" t="s">
        <v>30</v>
      </c>
      <c r="K28" s="163" t="s">
        <v>85</v>
      </c>
      <c r="L28" s="163" t="s">
        <v>30</v>
      </c>
      <c r="M28" s="163" t="s">
        <v>85</v>
      </c>
      <c r="N28" s="163" t="s">
        <v>30</v>
      </c>
      <c r="O28" s="163" t="s">
        <v>85</v>
      </c>
      <c r="P28" s="163" t="s">
        <v>30</v>
      </c>
      <c r="Q28" s="163" t="s">
        <v>85</v>
      </c>
      <c r="R28" s="41" t="s">
        <v>30</v>
      </c>
      <c r="S28" s="163" t="s">
        <v>85</v>
      </c>
      <c r="T28" s="41" t="s">
        <v>30</v>
      </c>
    </row>
    <row r="29" spans="1:20" x14ac:dyDescent="0.25">
      <c r="A29" s="6" t="s">
        <v>69</v>
      </c>
      <c r="B29" s="10" t="s">
        <v>91</v>
      </c>
      <c r="C29" s="13">
        <v>0</v>
      </c>
      <c r="D29" s="21">
        <f>C29*($D$18+$D$25)</f>
        <v>0</v>
      </c>
      <c r="E29" s="48">
        <v>0</v>
      </c>
      <c r="F29" s="21">
        <f t="shared" ref="F29:F36" si="2">E29*(F$18+F$25)</f>
        <v>0</v>
      </c>
      <c r="G29" s="13">
        <v>0</v>
      </c>
      <c r="H29" s="21">
        <f t="shared" ref="H29:H36" si="3">G29*(H$18+H$25)</f>
        <v>0</v>
      </c>
      <c r="I29" s="13">
        <v>0</v>
      </c>
      <c r="J29" s="21">
        <f t="shared" ref="J29:J36" si="4">I29*(J$18+J$25)</f>
        <v>0</v>
      </c>
      <c r="K29" s="13">
        <v>0</v>
      </c>
      <c r="L29" s="21">
        <f t="shared" ref="L29:L36" si="5">K29*(L$18+L$25)</f>
        <v>0</v>
      </c>
      <c r="M29" s="13">
        <v>0</v>
      </c>
      <c r="N29" s="21">
        <f t="shared" ref="N29:N36" si="6">M29*(N$18+N$25)</f>
        <v>0</v>
      </c>
      <c r="O29" s="13">
        <v>0</v>
      </c>
      <c r="P29" s="21">
        <f t="shared" ref="P29:P36" si="7">O29*(P$18+P$25)</f>
        <v>0</v>
      </c>
      <c r="Q29" s="13">
        <v>0</v>
      </c>
      <c r="R29" s="43">
        <f t="shared" ref="R29:R36" si="8">Q29*(R$18+R$25)</f>
        <v>0</v>
      </c>
      <c r="S29" s="13">
        <v>0</v>
      </c>
      <c r="T29" s="43">
        <f t="shared" ref="T29:T36" si="9">S29*(T$18+T$25)</f>
        <v>0</v>
      </c>
    </row>
    <row r="30" spans="1:20" x14ac:dyDescent="0.25">
      <c r="A30" s="6" t="s">
        <v>71</v>
      </c>
      <c r="B30" s="10" t="s">
        <v>92</v>
      </c>
      <c r="C30" s="13">
        <v>2.5000000000000001E-2</v>
      </c>
      <c r="D30" s="21">
        <f t="shared" ref="D30:D36" si="10">C30*($D$18+$D$25)</f>
        <v>106.38088497500001</v>
      </c>
      <c r="E30" s="48">
        <v>2.5000000000000001E-2</v>
      </c>
      <c r="F30" s="21">
        <f t="shared" si="2"/>
        <v>113.57229957500002</v>
      </c>
      <c r="G30" s="13">
        <v>2.5000000000000001E-2</v>
      </c>
      <c r="H30" s="21">
        <f t="shared" si="3"/>
        <v>113.57229957500002</v>
      </c>
      <c r="I30" s="13">
        <v>2.5000000000000001E-2</v>
      </c>
      <c r="J30" s="21">
        <f t="shared" si="4"/>
        <v>113.57229957500002</v>
      </c>
      <c r="K30" s="13">
        <v>2.5000000000000001E-2</v>
      </c>
      <c r="L30" s="21">
        <f t="shared" si="5"/>
        <v>124.58877355</v>
      </c>
      <c r="M30" s="13">
        <v>2.5000000000000001E-2</v>
      </c>
      <c r="N30" s="21">
        <f t="shared" si="6"/>
        <v>124.58877355</v>
      </c>
      <c r="O30" s="13">
        <v>2.5000000000000001E-2</v>
      </c>
      <c r="P30" s="21">
        <f t="shared" si="7"/>
        <v>124.58877355</v>
      </c>
      <c r="Q30" s="13">
        <v>2.5000000000000001E-2</v>
      </c>
      <c r="R30" s="43">
        <f t="shared" si="8"/>
        <v>127.34857282500002</v>
      </c>
      <c r="S30" s="13">
        <v>2.5000000000000001E-2</v>
      </c>
      <c r="T30" s="43">
        <f t="shared" si="9"/>
        <v>132.671843575</v>
      </c>
    </row>
    <row r="31" spans="1:20" x14ac:dyDescent="0.25">
      <c r="A31" s="6" t="s">
        <v>73</v>
      </c>
      <c r="B31" s="10" t="s">
        <v>166</v>
      </c>
      <c r="C31" s="13">
        <v>0.01</v>
      </c>
      <c r="D31" s="21">
        <f t="shared" si="10"/>
        <v>42.55235399</v>
      </c>
      <c r="E31" s="13">
        <f>0.5*2%</f>
        <v>0.01</v>
      </c>
      <c r="F31" s="21">
        <f t="shared" si="2"/>
        <v>45.428919830000005</v>
      </c>
      <c r="G31" s="13">
        <f>0.5*2%</f>
        <v>0.01</v>
      </c>
      <c r="H31" s="21">
        <f t="shared" si="3"/>
        <v>45.428919830000005</v>
      </c>
      <c r="I31" s="13">
        <f>0.5*2%</f>
        <v>0.01</v>
      </c>
      <c r="J31" s="21">
        <f t="shared" si="4"/>
        <v>45.428919830000005</v>
      </c>
      <c r="K31" s="13">
        <f>0.5*2%</f>
        <v>0.01</v>
      </c>
      <c r="L31" s="21">
        <f t="shared" si="5"/>
        <v>49.835509420000001</v>
      </c>
      <c r="M31" s="13">
        <f>0.5*2%</f>
        <v>0.01</v>
      </c>
      <c r="N31" s="21">
        <f t="shared" si="6"/>
        <v>49.835509420000001</v>
      </c>
      <c r="O31" s="13">
        <f>0.5*2%</f>
        <v>0.01</v>
      </c>
      <c r="P31" s="21">
        <f t="shared" si="7"/>
        <v>49.835509420000001</v>
      </c>
      <c r="Q31" s="13">
        <f>0.5*2%</f>
        <v>0.01</v>
      </c>
      <c r="R31" s="43">
        <f t="shared" si="8"/>
        <v>50.939429130000008</v>
      </c>
      <c r="S31" s="13">
        <f>0.5*2%</f>
        <v>0.01</v>
      </c>
      <c r="T31" s="43">
        <f t="shared" si="9"/>
        <v>53.068737429999999</v>
      </c>
    </row>
    <row r="32" spans="1:20" x14ac:dyDescent="0.25">
      <c r="A32" s="6" t="s">
        <v>75</v>
      </c>
      <c r="B32" s="10" t="s">
        <v>94</v>
      </c>
      <c r="C32" s="13">
        <v>1.4999999999999999E-2</v>
      </c>
      <c r="D32" s="21">
        <f t="shared" si="10"/>
        <v>63.828530985</v>
      </c>
      <c r="E32" s="48">
        <v>1.4999999999999999E-2</v>
      </c>
      <c r="F32" s="21">
        <f t="shared" si="2"/>
        <v>68.143379745000004</v>
      </c>
      <c r="G32" s="13">
        <v>1.4999999999999999E-2</v>
      </c>
      <c r="H32" s="21">
        <f t="shared" si="3"/>
        <v>68.143379745000004</v>
      </c>
      <c r="I32" s="13">
        <v>1.4999999999999999E-2</v>
      </c>
      <c r="J32" s="21">
        <f t="shared" si="4"/>
        <v>68.143379745000004</v>
      </c>
      <c r="K32" s="13">
        <v>1.4999999999999999E-2</v>
      </c>
      <c r="L32" s="21">
        <f t="shared" si="5"/>
        <v>74.753264129999991</v>
      </c>
      <c r="M32" s="13">
        <v>1.4999999999999999E-2</v>
      </c>
      <c r="N32" s="21">
        <f t="shared" si="6"/>
        <v>74.753264129999991</v>
      </c>
      <c r="O32" s="13">
        <v>1.4999999999999999E-2</v>
      </c>
      <c r="P32" s="21">
        <f t="shared" si="7"/>
        <v>74.753264129999991</v>
      </c>
      <c r="Q32" s="13">
        <v>1.4999999999999999E-2</v>
      </c>
      <c r="R32" s="43">
        <f t="shared" si="8"/>
        <v>76.409143695000012</v>
      </c>
      <c r="S32" s="13">
        <v>1.4999999999999999E-2</v>
      </c>
      <c r="T32" s="43">
        <f t="shared" si="9"/>
        <v>79.603106144999998</v>
      </c>
    </row>
    <row r="33" spans="1:20" x14ac:dyDescent="0.25">
      <c r="A33" s="6" t="s">
        <v>77</v>
      </c>
      <c r="B33" s="10" t="s">
        <v>95</v>
      </c>
      <c r="C33" s="13">
        <v>0.01</v>
      </c>
      <c r="D33" s="21">
        <f t="shared" si="10"/>
        <v>42.55235399</v>
      </c>
      <c r="E33" s="48">
        <v>0.01</v>
      </c>
      <c r="F33" s="21">
        <f t="shared" si="2"/>
        <v>45.428919830000005</v>
      </c>
      <c r="G33" s="13">
        <v>0.01</v>
      </c>
      <c r="H33" s="21">
        <f t="shared" si="3"/>
        <v>45.428919830000005</v>
      </c>
      <c r="I33" s="13">
        <v>0.01</v>
      </c>
      <c r="J33" s="21">
        <f t="shared" si="4"/>
        <v>45.428919830000005</v>
      </c>
      <c r="K33" s="13">
        <v>0.01</v>
      </c>
      <c r="L33" s="21">
        <f t="shared" si="5"/>
        <v>49.835509420000001</v>
      </c>
      <c r="M33" s="13">
        <v>0.01</v>
      </c>
      <c r="N33" s="21">
        <f t="shared" si="6"/>
        <v>49.835509420000001</v>
      </c>
      <c r="O33" s="13">
        <v>0.01</v>
      </c>
      <c r="P33" s="21">
        <f t="shared" si="7"/>
        <v>49.835509420000001</v>
      </c>
      <c r="Q33" s="13">
        <v>0.01</v>
      </c>
      <c r="R33" s="43">
        <f t="shared" si="8"/>
        <v>50.939429130000008</v>
      </c>
      <c r="S33" s="13">
        <v>0.01</v>
      </c>
      <c r="T33" s="43">
        <f>S33*(T$18+T$25)</f>
        <v>53.068737429999999</v>
      </c>
    </row>
    <row r="34" spans="1:20" x14ac:dyDescent="0.25">
      <c r="A34" s="6" t="s">
        <v>79</v>
      </c>
      <c r="B34" s="10" t="s">
        <v>96</v>
      </c>
      <c r="C34" s="13">
        <v>6.0000000000000001E-3</v>
      </c>
      <c r="D34" s="21">
        <f t="shared" si="10"/>
        <v>25.531412394</v>
      </c>
      <c r="E34" s="48">
        <v>6.0000000000000001E-3</v>
      </c>
      <c r="F34" s="21">
        <f t="shared" si="2"/>
        <v>27.257351898000003</v>
      </c>
      <c r="G34" s="13">
        <v>6.0000000000000001E-3</v>
      </c>
      <c r="H34" s="21">
        <f t="shared" si="3"/>
        <v>27.257351898000003</v>
      </c>
      <c r="I34" s="13">
        <v>6.0000000000000001E-3</v>
      </c>
      <c r="J34" s="21">
        <f t="shared" si="4"/>
        <v>27.257351898000003</v>
      </c>
      <c r="K34" s="13">
        <v>6.0000000000000001E-3</v>
      </c>
      <c r="L34" s="21">
        <f t="shared" si="5"/>
        <v>29.901305652000001</v>
      </c>
      <c r="M34" s="13">
        <v>6.0000000000000001E-3</v>
      </c>
      <c r="N34" s="21">
        <f t="shared" si="6"/>
        <v>29.901305652000001</v>
      </c>
      <c r="O34" s="13">
        <v>6.0000000000000001E-3</v>
      </c>
      <c r="P34" s="21">
        <f t="shared" si="7"/>
        <v>29.901305652000001</v>
      </c>
      <c r="Q34" s="13">
        <v>6.0000000000000001E-3</v>
      </c>
      <c r="R34" s="43">
        <f t="shared" si="8"/>
        <v>30.563657478000007</v>
      </c>
      <c r="S34" s="13">
        <v>6.0000000000000001E-3</v>
      </c>
      <c r="T34" s="43">
        <f t="shared" si="9"/>
        <v>31.841242458</v>
      </c>
    </row>
    <row r="35" spans="1:20" x14ac:dyDescent="0.25">
      <c r="A35" s="6" t="s">
        <v>97</v>
      </c>
      <c r="B35" s="10" t="s">
        <v>98</v>
      </c>
      <c r="C35" s="13">
        <v>2E-3</v>
      </c>
      <c r="D35" s="21">
        <f t="shared" si="10"/>
        <v>8.5104707980000001</v>
      </c>
      <c r="E35" s="48">
        <v>2E-3</v>
      </c>
      <c r="F35" s="21">
        <f t="shared" si="2"/>
        <v>9.085783966000001</v>
      </c>
      <c r="G35" s="13">
        <v>2E-3</v>
      </c>
      <c r="H35" s="21">
        <f t="shared" si="3"/>
        <v>9.085783966000001</v>
      </c>
      <c r="I35" s="13">
        <v>2E-3</v>
      </c>
      <c r="J35" s="21">
        <f t="shared" si="4"/>
        <v>9.085783966000001</v>
      </c>
      <c r="K35" s="13">
        <v>2E-3</v>
      </c>
      <c r="L35" s="21">
        <f t="shared" si="5"/>
        <v>9.9671018839999999</v>
      </c>
      <c r="M35" s="13">
        <v>2E-3</v>
      </c>
      <c r="N35" s="21">
        <f t="shared" si="6"/>
        <v>9.9671018839999999</v>
      </c>
      <c r="O35" s="13">
        <v>2E-3</v>
      </c>
      <c r="P35" s="21">
        <f t="shared" si="7"/>
        <v>9.9671018839999999</v>
      </c>
      <c r="Q35" s="13">
        <v>2E-3</v>
      </c>
      <c r="R35" s="43">
        <f t="shared" si="8"/>
        <v>10.187885826000002</v>
      </c>
      <c r="S35" s="13">
        <v>2E-3</v>
      </c>
      <c r="T35" s="43">
        <f>S35*(T$18+T$25)</f>
        <v>10.613747486000001</v>
      </c>
    </row>
    <row r="36" spans="1:20" x14ac:dyDescent="0.25">
      <c r="A36" s="6" t="s">
        <v>99</v>
      </c>
      <c r="B36" s="10" t="s">
        <v>100</v>
      </c>
      <c r="C36" s="13">
        <v>0.08</v>
      </c>
      <c r="D36" s="21">
        <f t="shared" si="10"/>
        <v>340.41883192</v>
      </c>
      <c r="E36" s="48">
        <v>0.08</v>
      </c>
      <c r="F36" s="21">
        <f t="shared" si="2"/>
        <v>363.43135864000004</v>
      </c>
      <c r="G36" s="13">
        <v>0.08</v>
      </c>
      <c r="H36" s="21">
        <f t="shared" si="3"/>
        <v>363.43135864000004</v>
      </c>
      <c r="I36" s="13">
        <v>0.08</v>
      </c>
      <c r="J36" s="21">
        <f t="shared" si="4"/>
        <v>363.43135864000004</v>
      </c>
      <c r="K36" s="13">
        <v>0.08</v>
      </c>
      <c r="L36" s="21">
        <f t="shared" si="5"/>
        <v>398.68407536000001</v>
      </c>
      <c r="M36" s="13">
        <v>0.08</v>
      </c>
      <c r="N36" s="21">
        <f t="shared" si="6"/>
        <v>398.68407536000001</v>
      </c>
      <c r="O36" s="13">
        <v>0.08</v>
      </c>
      <c r="P36" s="21">
        <f t="shared" si="7"/>
        <v>398.68407536000001</v>
      </c>
      <c r="Q36" s="13">
        <v>0.08</v>
      </c>
      <c r="R36" s="43">
        <f t="shared" si="8"/>
        <v>407.51543304000006</v>
      </c>
      <c r="S36" s="13">
        <v>0.08</v>
      </c>
      <c r="T36" s="43">
        <f t="shared" si="9"/>
        <v>424.54989943999999</v>
      </c>
    </row>
    <row r="37" spans="1:20" x14ac:dyDescent="0.25">
      <c r="A37" s="341" t="s">
        <v>32</v>
      </c>
      <c r="B37" s="343"/>
      <c r="C37" s="26">
        <f>SUM(C29:C36)</f>
        <v>0.14800000000000002</v>
      </c>
      <c r="D37" s="23">
        <f>SUM(D29:D36)</f>
        <v>629.77483905200006</v>
      </c>
      <c r="E37" s="49">
        <f t="shared" ref="E37:R37" si="11">SUM(E29:E36)</f>
        <v>0.14800000000000002</v>
      </c>
      <c r="F37" s="23">
        <f t="shared" si="11"/>
        <v>672.34801348400015</v>
      </c>
      <c r="G37" s="26">
        <f t="shared" si="11"/>
        <v>0.14800000000000002</v>
      </c>
      <c r="H37" s="23">
        <f t="shared" si="11"/>
        <v>672.34801348400015</v>
      </c>
      <c r="I37" s="26">
        <f t="shared" si="11"/>
        <v>0.14800000000000002</v>
      </c>
      <c r="J37" s="23">
        <f t="shared" si="11"/>
        <v>672.34801348400015</v>
      </c>
      <c r="K37" s="26">
        <f t="shared" si="11"/>
        <v>0.14800000000000002</v>
      </c>
      <c r="L37" s="23">
        <f t="shared" si="11"/>
        <v>737.56553941600009</v>
      </c>
      <c r="M37" s="26">
        <f t="shared" si="11"/>
        <v>0.14800000000000002</v>
      </c>
      <c r="N37" s="23">
        <f t="shared" si="11"/>
        <v>737.56553941600009</v>
      </c>
      <c r="O37" s="26">
        <f t="shared" si="11"/>
        <v>0.14800000000000002</v>
      </c>
      <c r="P37" s="23">
        <f t="shared" si="11"/>
        <v>737.56553941600009</v>
      </c>
      <c r="Q37" s="26">
        <f t="shared" si="11"/>
        <v>0.14800000000000002</v>
      </c>
      <c r="R37" s="169">
        <f t="shared" si="11"/>
        <v>753.90355112400016</v>
      </c>
      <c r="S37" s="26">
        <f t="shared" ref="S37:T37" si="12">SUM(S29:S36)</f>
        <v>0.14800000000000002</v>
      </c>
      <c r="T37" s="169">
        <f t="shared" si="12"/>
        <v>785.41731396399996</v>
      </c>
    </row>
    <row r="38" spans="1:20" x14ac:dyDescent="0.25">
      <c r="E38" s="55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39"/>
      <c r="S38" s="10"/>
      <c r="T38" s="139"/>
    </row>
    <row r="39" spans="1:20" ht="15" customHeight="1" x14ac:dyDescent="0.25">
      <c r="A39" s="276" t="s">
        <v>101</v>
      </c>
      <c r="B39" s="276"/>
      <c r="C39" s="276"/>
      <c r="D39" s="276"/>
      <c r="E39" s="55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39"/>
      <c r="S39" s="10"/>
      <c r="T39" s="139"/>
    </row>
    <row r="40" spans="1:20" x14ac:dyDescent="0.25">
      <c r="A40" s="163" t="s">
        <v>102</v>
      </c>
      <c r="B40" s="163" t="s">
        <v>103</v>
      </c>
      <c r="C40" s="174" t="s">
        <v>85</v>
      </c>
      <c r="D40" s="163" t="s">
        <v>30</v>
      </c>
      <c r="E40" s="175" t="s">
        <v>85</v>
      </c>
      <c r="F40" s="163" t="s">
        <v>30</v>
      </c>
      <c r="G40" s="174" t="s">
        <v>85</v>
      </c>
      <c r="H40" s="163" t="s">
        <v>30</v>
      </c>
      <c r="I40" s="174" t="s">
        <v>85</v>
      </c>
      <c r="J40" s="163" t="s">
        <v>30</v>
      </c>
      <c r="K40" s="174" t="s">
        <v>85</v>
      </c>
      <c r="L40" s="163" t="s">
        <v>30</v>
      </c>
      <c r="M40" s="174" t="s">
        <v>85</v>
      </c>
      <c r="N40" s="163" t="s">
        <v>30</v>
      </c>
      <c r="O40" s="174" t="s">
        <v>85</v>
      </c>
      <c r="P40" s="163" t="s">
        <v>30</v>
      </c>
      <c r="Q40" s="174" t="s">
        <v>85</v>
      </c>
      <c r="R40" s="41" t="s">
        <v>30</v>
      </c>
      <c r="S40" s="174" t="s">
        <v>85</v>
      </c>
      <c r="T40" s="41" t="s">
        <v>30</v>
      </c>
    </row>
    <row r="41" spans="1:20" x14ac:dyDescent="0.25">
      <c r="A41" s="6" t="s">
        <v>69</v>
      </c>
      <c r="B41" s="10" t="s">
        <v>104</v>
      </c>
      <c r="C41" s="155"/>
      <c r="D41" s="22">
        <f>(16.6*22)-(0.06*D18)</f>
        <v>154.52740000000006</v>
      </c>
      <c r="E41" s="40"/>
      <c r="F41" s="22">
        <f>(16.6*22)-(0.06*F18)</f>
        <v>140.28580000000005</v>
      </c>
      <c r="G41" s="155"/>
      <c r="H41" s="22">
        <f>(16.6*22)-(0.06*H18)</f>
        <v>140.28580000000005</v>
      </c>
      <c r="I41" s="155"/>
      <c r="J41" s="22">
        <f>(16.6*22)-(0.06*J18)</f>
        <v>140.28580000000005</v>
      </c>
      <c r="K41" s="155"/>
      <c r="L41" s="22">
        <f>(16.6*22)-(0.06*L18)</f>
        <v>118.46920000000003</v>
      </c>
      <c r="M41" s="155"/>
      <c r="N41" s="22">
        <f>(16.6*22)-(0.06*N18)</f>
        <v>118.46920000000003</v>
      </c>
      <c r="O41" s="155"/>
      <c r="P41" s="22">
        <f>(16.6*22)-(0.06*P18)</f>
        <v>118.46920000000003</v>
      </c>
      <c r="Q41" s="155"/>
      <c r="R41" s="170">
        <f>(16.6*22)-(0.06*R18)</f>
        <v>113.00380000000004</v>
      </c>
      <c r="S41" s="155"/>
      <c r="T41" s="170">
        <f>(16.6*22)-(0.06*T18)</f>
        <v>102.46180000000004</v>
      </c>
    </row>
    <row r="42" spans="1:20" x14ac:dyDescent="0.25">
      <c r="A42" s="6" t="s">
        <v>71</v>
      </c>
      <c r="B42" s="168" t="s">
        <v>167</v>
      </c>
      <c r="C42" s="15">
        <f>IF(D12&lt;=1861.34,0%,IF(AND(D12&gt;=1861.35,D12&lt;=3149.96),5%,IF(AND(D12&gt;=3149.97,D12&lt;=4581.75),7.5%,IF(AND(D12&gt;=4581.76,D12&lt;=5727.2),10%,IF(AND(D12&gt;=5727.21,D12&lt;=7015.83),15%,20%)))))</f>
        <v>7.4999999999999997E-2</v>
      </c>
      <c r="D42" s="21">
        <f>(26.87-(26.87*C42))*22</f>
        <v>546.80450000000008</v>
      </c>
      <c r="E42" s="51">
        <f>IF(F12&lt;=1987.18,0%,IF(AND(F12&gt;=1987.18,F12&lt;=3362.91),5%,IF(AND(F12&gt;=3362.91,F12&lt;=4891.49),7.5%,IF(AND(F12&gt;=4891.49,F12&lt;=6114.37),10%,IF(AND(F12&gt;=6114.37,F12&lt;=7490.12),15%,20%)))))</f>
        <v>7.4999999999999997E-2</v>
      </c>
      <c r="F42" s="21">
        <f>(28.69-(28.69*E42))*22</f>
        <v>583.8415</v>
      </c>
      <c r="G42" s="15">
        <f>IF(H12&lt;=1987.18,0%,IF(AND(H12&gt;=1987.18,H12&lt;=3362.91),5%,IF(AND(H12&gt;=3362.91,H12&lt;=4891.49),7.5%,IF(AND(H12&gt;=4891.49,H12&lt;=6114.37),10%,IF(AND(H12&gt;=6114.37,H12&lt;=7490.12),15%,20%)))))</f>
        <v>7.4999999999999997E-2</v>
      </c>
      <c r="H42" s="21">
        <f>(28.69-(28.69*G42))*22</f>
        <v>583.8415</v>
      </c>
      <c r="I42" s="15">
        <f>IF(J12&lt;=2228.21,0%,IF(AND(J12&gt;=2228.21,J12&lt;=3770.81),5%,IF(AND(J12&gt;=3770.81,J12&lt;=5484.81),7.5%,IF(AND(J12&gt;=5484.81,J12&lt;=6856.03),10%,IF(AND(J12&gt;=6856.03,J12&lt;=8398.66),15%,20%)))))</f>
        <v>0.05</v>
      </c>
      <c r="J42" s="21">
        <f>(32.17-(32.17*I42))*22</f>
        <v>672.35300000000007</v>
      </c>
      <c r="K42" s="15">
        <f>IF(L12&lt;=2228.21,0%,IF(AND(L12&gt;=2228.21,L12&lt;=3770.81),5%,IF(AND(L12&gt;=3770.81,L12&lt;=5484.81),7.5%,IF(AND(L12&gt;=5484.81,L12&lt;=6856.03),10%,IF(AND(L12&gt;=6856.03,L12&lt;=8398.66),15%,20%)))))</f>
        <v>7.4999999999999997E-2</v>
      </c>
      <c r="L42" s="21">
        <f>(32.17-(32.17*K42))*22</f>
        <v>654.65950000000009</v>
      </c>
      <c r="M42" s="15">
        <f>IF(N12&lt;=2228.21,0%,IF(AND(N12&gt;=2228.21,N12&lt;=3770.81),5%,IF(AND(N12&gt;=3770.81,N12&lt;=5484.81),7.5%,IF(AND(N12&gt;=5484.81,N12&lt;=6856.03),10%,IF(AND(N12&gt;=6856.03,N12&lt;=8398.66),15%,20%)))))</f>
        <v>7.4999999999999997E-2</v>
      </c>
      <c r="N42" s="21">
        <f>(32.17-(32.17*M42))*22</f>
        <v>654.65950000000009</v>
      </c>
      <c r="O42" s="15">
        <f>IF(P12&lt;=2228.21,0%,IF(AND(P12&gt;=2228.21,P12&lt;=3770.81),5%,IF(AND(P12&gt;=3770.81,P12&lt;=5484.81),7.5%,IF(AND(P12&gt;=5484.81,P12&lt;=6856.03),10%,IF(AND(P12&gt;=6856.03,P12&lt;=8398.66),15%,20%)))))</f>
        <v>7.4999999999999997E-2</v>
      </c>
      <c r="P42" s="21">
        <f>(32.17-(32.17*O42))*22</f>
        <v>654.65950000000009</v>
      </c>
      <c r="Q42" s="15">
        <f>IF(R12&lt;=2228.21,0%,IF(AND(R12&gt;=2228.21,R12&lt;=3770.81),5%,IF(AND(R12&gt;=3770.81,R12&lt;=5484.81),7.5%,IF(AND(R12&gt;=5484.81,R12&lt;=6856.03),10%,IF(AND(R12&gt;=6856.03,R12&lt;=8398.66),15%,20%)))))</f>
        <v>7.4999999999999997E-2</v>
      </c>
      <c r="R42" s="43">
        <f>(32.17-(32.17*Q42))*22</f>
        <v>654.65950000000009</v>
      </c>
      <c r="S42" s="15">
        <f>IF(T12&lt;=2228.21,0%,IF(AND(T12&gt;=2228.21,T12&lt;=3770.81),5%,IF(AND(T12&gt;=3770.81,T12&lt;=5484.81),7.5%,IF(AND(T12&gt;=5484.81,T12&lt;=6856.03),10%,IF(AND(T12&gt;=6856.03,T12&lt;=8398.66),15%,20%)))))</f>
        <v>7.4999999999999997E-2</v>
      </c>
      <c r="T42" s="43">
        <f>(33.51-(33.51*S42))*22</f>
        <v>681.92849999999999</v>
      </c>
    </row>
    <row r="43" spans="1:20" x14ac:dyDescent="0.25">
      <c r="A43" s="6" t="s">
        <v>73</v>
      </c>
      <c r="B43" s="168" t="s">
        <v>106</v>
      </c>
      <c r="C43" s="15">
        <f>IF(D12&lt;=2051.96,70%,IF(AND(D12&gt;=2051.97,D12&lt;=3420.91),60%,50%))</f>
        <v>0.5</v>
      </c>
      <c r="D43" s="21">
        <f>204.41*C43</f>
        <v>102.205</v>
      </c>
      <c r="E43" s="51">
        <f>IF(F12&lt;=2190.67,70%,IF(AND(F12&gt;=2190.67,F12&lt;=3652.17),60%,50%))</f>
        <v>0.5</v>
      </c>
      <c r="F43" s="21">
        <f>204.41*1.0676*E43</f>
        <v>109.11405800000001</v>
      </c>
      <c r="G43" s="15">
        <f>IF(H12&lt;=2190.67,70%,IF(AND(H12&gt;=2190.67,H12&lt;=3652.17),60%,50%))</f>
        <v>0.5</v>
      </c>
      <c r="H43" s="21">
        <f>204.41*1.0676*G43</f>
        <v>109.11405800000001</v>
      </c>
      <c r="I43" s="15">
        <f>IF(J12&lt;=2456.39,70%,IF(AND(J12&gt;=2456.39,J12&lt;=4095.16),60%,50%))</f>
        <v>0.6</v>
      </c>
      <c r="J43" s="21">
        <f>204.41*1.0676*I43</f>
        <v>130.93686960000002</v>
      </c>
      <c r="K43" s="15">
        <f>IF(L12&lt;=2456.39,70%,IF(AND(L12&gt;=2456.39,L12&lt;=4095.16),60%,50%))</f>
        <v>0.5</v>
      </c>
      <c r="L43" s="21">
        <f>218.24*1.097*K43</f>
        <v>119.70464</v>
      </c>
      <c r="M43" s="15">
        <f>IF(N12&lt;=2456.39,70%,IF(AND(N12&gt;=2456.39,N12&lt;=4095.16),60%,50%))</f>
        <v>0.5</v>
      </c>
      <c r="N43" s="21">
        <f>218.24*1.097*M43</f>
        <v>119.70464</v>
      </c>
      <c r="O43" s="15">
        <f>IF(P12&lt;=2456.39,70%,IF(AND(P12&gt;=2456.39,P12&lt;=4095.16),60%,50%))</f>
        <v>0.5</v>
      </c>
      <c r="P43" s="21">
        <f>218.24*1.097*O43</f>
        <v>119.70464</v>
      </c>
      <c r="Q43" s="15">
        <f>IF(R12&lt;=2456.39,70%,IF(AND(R12&gt;=2456.39,R12&lt;=4095.16),60%,50%))</f>
        <v>0.5</v>
      </c>
      <c r="R43" s="43">
        <f>218.24*1.1213*Q43</f>
        <v>122.356256</v>
      </c>
      <c r="S43" s="15">
        <f>IF(T12&lt;=2456.39,70%,IF(AND(T12&gt;=2456.39,T12&lt;=4095.16),60%,50%))</f>
        <v>0.5</v>
      </c>
      <c r="T43" s="43">
        <f>244.71*1.0418*S43</f>
        <v>127.46943900000001</v>
      </c>
    </row>
    <row r="44" spans="1:20" x14ac:dyDescent="0.25">
      <c r="A44" s="6" t="s">
        <v>75</v>
      </c>
      <c r="B44" s="10" t="s">
        <v>107</v>
      </c>
      <c r="C44" s="155"/>
      <c r="D44" s="21">
        <v>0</v>
      </c>
      <c r="E44" s="40"/>
      <c r="F44" s="21">
        <v>0</v>
      </c>
      <c r="G44" s="155"/>
      <c r="H44" s="21">
        <v>0</v>
      </c>
      <c r="I44" s="155"/>
      <c r="J44" s="21">
        <v>0</v>
      </c>
      <c r="K44" s="155"/>
      <c r="L44" s="21">
        <v>0</v>
      </c>
      <c r="M44" s="155"/>
      <c r="N44" s="21">
        <v>0</v>
      </c>
      <c r="O44" s="155"/>
      <c r="P44" s="21">
        <v>0</v>
      </c>
      <c r="Q44" s="155"/>
      <c r="R44" s="43">
        <v>0</v>
      </c>
      <c r="S44" s="155"/>
      <c r="T44" s="43">
        <v>0</v>
      </c>
    </row>
    <row r="45" spans="1:20" x14ac:dyDescent="0.25">
      <c r="A45" s="340" t="s">
        <v>32</v>
      </c>
      <c r="B45" s="340"/>
      <c r="C45" s="340"/>
      <c r="D45" s="23">
        <f>SUM(D41:D44)</f>
        <v>803.53690000000017</v>
      </c>
      <c r="E45" s="55"/>
      <c r="F45" s="23">
        <f>SUM(F41:F44)</f>
        <v>833.2413580000001</v>
      </c>
      <c r="G45" s="10"/>
      <c r="H45" s="23">
        <f>SUM(H41:H44)</f>
        <v>833.2413580000001</v>
      </c>
      <c r="I45" s="10"/>
      <c r="J45" s="23">
        <f>SUM(J41:J44)</f>
        <v>943.5756696000002</v>
      </c>
      <c r="K45" s="10"/>
      <c r="L45" s="23">
        <f>SUM(L41:L44)</f>
        <v>892.83334000000013</v>
      </c>
      <c r="M45" s="10"/>
      <c r="N45" s="23">
        <f>SUM(N41:N44)</f>
        <v>892.83334000000013</v>
      </c>
      <c r="O45" s="10"/>
      <c r="P45" s="23">
        <f>SUM(P41:P44)</f>
        <v>892.83334000000013</v>
      </c>
      <c r="Q45" s="10"/>
      <c r="R45" s="169">
        <f>SUM(R41:R44)</f>
        <v>890.01955600000019</v>
      </c>
      <c r="S45" s="10"/>
      <c r="T45" s="169">
        <f>SUM(T41:T44)</f>
        <v>911.85973899999999</v>
      </c>
    </row>
    <row r="46" spans="1:20" x14ac:dyDescent="0.25">
      <c r="E46" s="55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39"/>
      <c r="S46" s="10"/>
      <c r="T46" s="139"/>
    </row>
    <row r="47" spans="1:20" ht="15" customHeight="1" x14ac:dyDescent="0.25">
      <c r="A47" s="276" t="s">
        <v>108</v>
      </c>
      <c r="B47" s="276"/>
      <c r="C47" s="276"/>
      <c r="D47" s="276"/>
      <c r="E47" s="55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39"/>
      <c r="S47" s="10"/>
      <c r="T47" s="139"/>
    </row>
    <row r="48" spans="1:20" x14ac:dyDescent="0.25">
      <c r="A48" s="163">
        <v>2</v>
      </c>
      <c r="B48" s="340" t="s">
        <v>109</v>
      </c>
      <c r="C48" s="340"/>
      <c r="D48" s="163" t="s">
        <v>30</v>
      </c>
      <c r="E48" s="55"/>
      <c r="F48" s="163" t="s">
        <v>30</v>
      </c>
      <c r="G48" s="10"/>
      <c r="H48" s="163" t="s">
        <v>30</v>
      </c>
      <c r="I48" s="10"/>
      <c r="J48" s="163" t="s">
        <v>30</v>
      </c>
      <c r="K48" s="10"/>
      <c r="L48" s="163" t="s">
        <v>30</v>
      </c>
      <c r="M48" s="10"/>
      <c r="N48" s="163" t="s">
        <v>30</v>
      </c>
      <c r="O48" s="10"/>
      <c r="P48" s="163" t="s">
        <v>30</v>
      </c>
      <c r="Q48" s="10"/>
      <c r="R48" s="41" t="s">
        <v>30</v>
      </c>
      <c r="S48" s="10"/>
      <c r="T48" s="41" t="s">
        <v>30</v>
      </c>
    </row>
    <row r="49" spans="1:20" x14ac:dyDescent="0.25">
      <c r="A49" s="6" t="s">
        <v>83</v>
      </c>
      <c r="B49" s="320" t="s">
        <v>84</v>
      </c>
      <c r="C49" s="320"/>
      <c r="D49" s="21">
        <f>D25</f>
        <v>744.02539899999999</v>
      </c>
      <c r="E49" s="55"/>
      <c r="F49" s="21">
        <f>F25</f>
        <v>794.32198300000005</v>
      </c>
      <c r="G49" s="10"/>
      <c r="H49" s="21">
        <f>H25</f>
        <v>794.32198300000005</v>
      </c>
      <c r="I49" s="10"/>
      <c r="J49" s="21">
        <f>J25</f>
        <v>794.32198300000005</v>
      </c>
      <c r="K49" s="10"/>
      <c r="L49" s="21">
        <f>L25</f>
        <v>871.37094200000001</v>
      </c>
      <c r="M49" s="10"/>
      <c r="N49" s="21">
        <f>N25</f>
        <v>871.37094200000001</v>
      </c>
      <c r="O49" s="10"/>
      <c r="P49" s="21">
        <f>P25</f>
        <v>871.37094200000001</v>
      </c>
      <c r="Q49" s="10"/>
      <c r="R49" s="43">
        <f>R25</f>
        <v>890.67291300000011</v>
      </c>
      <c r="S49" s="10"/>
      <c r="T49" s="43">
        <f>T25</f>
        <v>927.90374300000008</v>
      </c>
    </row>
    <row r="50" spans="1:20" x14ac:dyDescent="0.25">
      <c r="A50" s="6" t="s">
        <v>89</v>
      </c>
      <c r="B50" s="312" t="s">
        <v>90</v>
      </c>
      <c r="C50" s="312"/>
      <c r="D50" s="21">
        <f>D37</f>
        <v>629.77483905200006</v>
      </c>
      <c r="E50" s="55"/>
      <c r="F50" s="21">
        <f>F37</f>
        <v>672.34801348400015</v>
      </c>
      <c r="G50" s="10"/>
      <c r="H50" s="21">
        <f>H37</f>
        <v>672.34801348400015</v>
      </c>
      <c r="I50" s="10"/>
      <c r="J50" s="21">
        <f>J37</f>
        <v>672.34801348400015</v>
      </c>
      <c r="K50" s="10"/>
      <c r="L50" s="21">
        <f>L37</f>
        <v>737.56553941600009</v>
      </c>
      <c r="M50" s="10"/>
      <c r="N50" s="21">
        <f>N37</f>
        <v>737.56553941600009</v>
      </c>
      <c r="O50" s="10"/>
      <c r="P50" s="21">
        <f>P37</f>
        <v>737.56553941600009</v>
      </c>
      <c r="Q50" s="10"/>
      <c r="R50" s="43">
        <f>R37</f>
        <v>753.90355112400016</v>
      </c>
      <c r="S50" s="10"/>
      <c r="T50" s="43">
        <f>T37</f>
        <v>785.41731396399996</v>
      </c>
    </row>
    <row r="51" spans="1:20" x14ac:dyDescent="0.25">
      <c r="A51" s="6" t="s">
        <v>102</v>
      </c>
      <c r="B51" s="312" t="s">
        <v>103</v>
      </c>
      <c r="C51" s="312"/>
      <c r="D51" s="21">
        <f>D45</f>
        <v>803.53690000000017</v>
      </c>
      <c r="E51" s="55"/>
      <c r="F51" s="21">
        <f>F45</f>
        <v>833.2413580000001</v>
      </c>
      <c r="G51" s="10"/>
      <c r="H51" s="21">
        <f>H45</f>
        <v>833.2413580000001</v>
      </c>
      <c r="I51" s="10"/>
      <c r="J51" s="21">
        <f>J45</f>
        <v>943.5756696000002</v>
      </c>
      <c r="K51" s="10"/>
      <c r="L51" s="21">
        <f>L45</f>
        <v>892.83334000000013</v>
      </c>
      <c r="M51" s="10"/>
      <c r="N51" s="21">
        <f>N45</f>
        <v>892.83334000000013</v>
      </c>
      <c r="O51" s="10"/>
      <c r="P51" s="21">
        <f>P45</f>
        <v>892.83334000000013</v>
      </c>
      <c r="Q51" s="10"/>
      <c r="R51" s="43">
        <f>R45</f>
        <v>890.01955600000019</v>
      </c>
      <c r="S51" s="10"/>
      <c r="T51" s="43">
        <f>T45</f>
        <v>911.85973899999999</v>
      </c>
    </row>
    <row r="52" spans="1:20" x14ac:dyDescent="0.25">
      <c r="A52" s="341" t="s">
        <v>32</v>
      </c>
      <c r="B52" s="350"/>
      <c r="C52" s="343"/>
      <c r="D52" s="23">
        <f>SUM(D49:D51)</f>
        <v>2177.3371380520002</v>
      </c>
      <c r="E52" s="55"/>
      <c r="F52" s="23">
        <f>SUM(F49:F51)</f>
        <v>2299.9113544840002</v>
      </c>
      <c r="G52" s="10"/>
      <c r="H52" s="23">
        <f>SUM(H49:H51)</f>
        <v>2299.9113544840002</v>
      </c>
      <c r="I52" s="10"/>
      <c r="J52" s="23">
        <f>SUM(J49:J51)</f>
        <v>2410.2456660840003</v>
      </c>
      <c r="K52" s="10"/>
      <c r="L52" s="23">
        <f>SUM(L49:L51)</f>
        <v>2501.769821416</v>
      </c>
      <c r="M52" s="10"/>
      <c r="N52" s="23">
        <f>SUM(N49:N51)</f>
        <v>2501.769821416</v>
      </c>
      <c r="O52" s="10"/>
      <c r="P52" s="23">
        <f>SUM(P49:P51)</f>
        <v>2501.769821416</v>
      </c>
      <c r="Q52" s="10"/>
      <c r="R52" s="169">
        <f>SUM(R49:R51)</f>
        <v>2534.5960201240005</v>
      </c>
      <c r="S52" s="10"/>
      <c r="T52" s="169">
        <f>SUM(T49:T51)</f>
        <v>2625.180795964</v>
      </c>
    </row>
    <row r="53" spans="1:20" x14ac:dyDescent="0.25">
      <c r="E53" s="55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39"/>
      <c r="S53" s="10"/>
      <c r="T53" s="139"/>
    </row>
    <row r="54" spans="1:20" ht="15" customHeight="1" x14ac:dyDescent="0.25">
      <c r="A54" s="276" t="s">
        <v>110</v>
      </c>
      <c r="B54" s="276"/>
      <c r="C54" s="276"/>
      <c r="D54" s="276"/>
      <c r="E54" s="55"/>
      <c r="F54" s="11"/>
      <c r="G54" s="10"/>
      <c r="H54" s="11"/>
      <c r="I54" s="10"/>
      <c r="J54" s="11"/>
      <c r="K54" s="10"/>
      <c r="L54" s="11"/>
      <c r="M54" s="10"/>
      <c r="N54" s="11"/>
      <c r="O54" s="10"/>
      <c r="P54" s="11"/>
      <c r="Q54" s="10"/>
      <c r="R54" s="141"/>
      <c r="S54" s="10"/>
      <c r="T54" s="141"/>
    </row>
    <row r="55" spans="1:20" x14ac:dyDescent="0.25">
      <c r="A55" s="163">
        <v>3</v>
      </c>
      <c r="B55" s="163" t="s">
        <v>111</v>
      </c>
      <c r="C55" s="163" t="s">
        <v>85</v>
      </c>
      <c r="D55" s="163" t="s">
        <v>30</v>
      </c>
      <c r="E55" s="162" t="s">
        <v>85</v>
      </c>
      <c r="F55" s="163" t="s">
        <v>30</v>
      </c>
      <c r="G55" s="163" t="s">
        <v>85</v>
      </c>
      <c r="H55" s="163" t="s">
        <v>30</v>
      </c>
      <c r="I55" s="163" t="s">
        <v>85</v>
      </c>
      <c r="J55" s="163" t="s">
        <v>30</v>
      </c>
      <c r="K55" s="163" t="s">
        <v>85</v>
      </c>
      <c r="L55" s="163" t="s">
        <v>30</v>
      </c>
      <c r="M55" s="163" t="s">
        <v>85</v>
      </c>
      <c r="N55" s="163" t="s">
        <v>30</v>
      </c>
      <c r="O55" s="163" t="s">
        <v>85</v>
      </c>
      <c r="P55" s="163" t="s">
        <v>30</v>
      </c>
      <c r="Q55" s="163" t="s">
        <v>85</v>
      </c>
      <c r="R55" s="41" t="s">
        <v>30</v>
      </c>
      <c r="S55" s="163" t="s">
        <v>85</v>
      </c>
      <c r="T55" s="41" t="s">
        <v>30</v>
      </c>
    </row>
    <row r="56" spans="1:20" x14ac:dyDescent="0.25">
      <c r="A56" s="6" t="s">
        <v>69</v>
      </c>
      <c r="B56" s="8" t="s">
        <v>112</v>
      </c>
      <c r="C56" s="17">
        <v>4.1999999999999997E-3</v>
      </c>
      <c r="D56" s="20">
        <f t="shared" ref="D56:D61" si="13">C56*($D$18+$D$25)</f>
        <v>17.871988675800001</v>
      </c>
      <c r="E56" s="52">
        <v>4.1999999999999997E-3</v>
      </c>
      <c r="F56" s="20">
        <f t="shared" ref="F56:F61" si="14">E56*(F$18+F$25)</f>
        <v>19.080146328600001</v>
      </c>
      <c r="G56" s="17">
        <v>4.1999999999999997E-3</v>
      </c>
      <c r="H56" s="20">
        <f t="shared" ref="H56:H61" si="15">G56*(H$18+H$25)</f>
        <v>19.080146328600001</v>
      </c>
      <c r="I56" s="17">
        <v>4.1999999999999997E-3</v>
      </c>
      <c r="J56" s="20">
        <f t="shared" ref="J56:J61" si="16">I56*(J$18+J$25)</f>
        <v>19.080146328600001</v>
      </c>
      <c r="K56" s="17">
        <v>4.1999999999999997E-3</v>
      </c>
      <c r="L56" s="20">
        <f t="shared" ref="L56:L61" si="17">K56*(L$18+L$25)</f>
        <v>20.930913956399998</v>
      </c>
      <c r="M56" s="77">
        <v>4.1999999999999997E-3</v>
      </c>
      <c r="N56" s="20">
        <f t="shared" ref="N56:N61" si="18">M56*(N$18+N$25)</f>
        <v>20.930913956399998</v>
      </c>
      <c r="O56" s="77">
        <v>4.1999999999999997E-3</v>
      </c>
      <c r="P56" s="20">
        <f t="shared" ref="P56:P61" si="19">O56*(P$18+P$25)</f>
        <v>20.930913956399998</v>
      </c>
      <c r="Q56" s="77">
        <v>4.1999999999999997E-3</v>
      </c>
      <c r="R56" s="176">
        <f t="shared" ref="R56:R61" si="20">Q56*(R$18+R$25)</f>
        <v>21.394560234600004</v>
      </c>
      <c r="S56" s="77">
        <v>4.1999999999999997E-3</v>
      </c>
      <c r="T56" s="176">
        <f t="shared" ref="T56:T61" si="21">S56*(T$18+T$25)</f>
        <v>22.288869720599997</v>
      </c>
    </row>
    <row r="57" spans="1:20" x14ac:dyDescent="0.25">
      <c r="A57" s="6" t="s">
        <v>71</v>
      </c>
      <c r="B57" s="8" t="s">
        <v>113</v>
      </c>
      <c r="C57" s="17">
        <v>2.9999999999999997E-4</v>
      </c>
      <c r="D57" s="20">
        <f t="shared" si="13"/>
        <v>1.2765706197</v>
      </c>
      <c r="E57" s="52">
        <v>2.9999999999999997E-4</v>
      </c>
      <c r="F57" s="20">
        <f t="shared" si="14"/>
        <v>1.3628675949</v>
      </c>
      <c r="G57" s="17">
        <v>2.9999999999999997E-4</v>
      </c>
      <c r="H57" s="20">
        <f t="shared" si="15"/>
        <v>1.3628675949</v>
      </c>
      <c r="I57" s="17">
        <v>2.9999999999999997E-4</v>
      </c>
      <c r="J57" s="20">
        <f t="shared" si="16"/>
        <v>1.3628675949</v>
      </c>
      <c r="K57" s="17">
        <v>2.9999999999999997E-4</v>
      </c>
      <c r="L57" s="20">
        <f t="shared" si="17"/>
        <v>1.4950652825999999</v>
      </c>
      <c r="M57" s="77">
        <v>2.9999999999999997E-4</v>
      </c>
      <c r="N57" s="20">
        <f t="shared" si="18"/>
        <v>1.4950652825999999</v>
      </c>
      <c r="O57" s="77">
        <v>2.9999999999999997E-4</v>
      </c>
      <c r="P57" s="20">
        <f t="shared" si="19"/>
        <v>1.4950652825999999</v>
      </c>
      <c r="Q57" s="77">
        <v>2.9999999999999997E-4</v>
      </c>
      <c r="R57" s="176">
        <f t="shared" si="20"/>
        <v>1.5281828739000001</v>
      </c>
      <c r="S57" s="77">
        <v>2.9999999999999997E-4</v>
      </c>
      <c r="T57" s="176">
        <f t="shared" si="21"/>
        <v>1.5920621228999998</v>
      </c>
    </row>
    <row r="58" spans="1:20" x14ac:dyDescent="0.25">
      <c r="A58" s="6" t="s">
        <v>73</v>
      </c>
      <c r="B58" s="8" t="s">
        <v>114</v>
      </c>
      <c r="C58" s="17">
        <f>(((0.42+(40%*0.42)))*8%*0.42%)</f>
        <v>1.9756799999999999E-4</v>
      </c>
      <c r="D58" s="20">
        <f t="shared" si="13"/>
        <v>0.840698347309632</v>
      </c>
      <c r="E58" s="52">
        <f>(((0.42+(40%*0.42)))*8%*0.42%)</f>
        <v>1.9756799999999999E-4</v>
      </c>
      <c r="F58" s="20">
        <f t="shared" si="14"/>
        <v>0.89753008329734407</v>
      </c>
      <c r="G58" s="17">
        <f>(((0.42+(40%*0.42)))*8%*0.42%)</f>
        <v>1.9756799999999999E-4</v>
      </c>
      <c r="H58" s="20">
        <f t="shared" si="15"/>
        <v>0.89753008329734407</v>
      </c>
      <c r="I58" s="17">
        <f>(((0.42+(40%*0.42)))*8%*0.42%)</f>
        <v>1.9756799999999999E-4</v>
      </c>
      <c r="J58" s="20">
        <f t="shared" si="16"/>
        <v>0.89753008329734407</v>
      </c>
      <c r="K58" s="17">
        <f>(((0.42+(40%*0.42)))*8%*0.42%)</f>
        <v>1.9756799999999999E-4</v>
      </c>
      <c r="L58" s="20">
        <f t="shared" si="17"/>
        <v>0.98459019250905588</v>
      </c>
      <c r="M58" s="77">
        <f>(((0.42+(40%*0.42)))*8%*0.42%)</f>
        <v>1.9756799999999999E-4</v>
      </c>
      <c r="N58" s="20">
        <f t="shared" si="18"/>
        <v>0.98459019250905588</v>
      </c>
      <c r="O58" s="77">
        <f>(((0.42+(40%*0.42)))*8%*0.42%)</f>
        <v>1.9756799999999999E-4</v>
      </c>
      <c r="P58" s="20">
        <f t="shared" si="19"/>
        <v>0.98459019250905588</v>
      </c>
      <c r="Q58" s="77">
        <f>(((0.42+(40%*0.42)))*8%*0.42%)</f>
        <v>1.9756799999999999E-4</v>
      </c>
      <c r="R58" s="176">
        <f t="shared" si="20"/>
        <v>1.006400113435584</v>
      </c>
      <c r="S58" s="77">
        <f>(((0.42+(40%*0.42)))*8%*0.42%)</f>
        <v>1.9756799999999999E-4</v>
      </c>
      <c r="T58" s="176">
        <f>S58*(T$18+T$25)</f>
        <v>1.0484684316570239</v>
      </c>
    </row>
    <row r="59" spans="1:20" x14ac:dyDescent="0.25">
      <c r="A59" s="6" t="s">
        <v>75</v>
      </c>
      <c r="B59" s="8" t="s">
        <v>115</v>
      </c>
      <c r="C59" s="17">
        <v>1.9400000000000001E-2</v>
      </c>
      <c r="D59" s="20">
        <f>C59*($D$18+$D$25)</f>
        <v>82.551566740600009</v>
      </c>
      <c r="E59" s="52">
        <v>1.9400000000000001E-2</v>
      </c>
      <c r="F59" s="20">
        <f t="shared" si="14"/>
        <v>88.132104470200005</v>
      </c>
      <c r="G59" s="17">
        <v>1.9400000000000001E-2</v>
      </c>
      <c r="H59" s="20">
        <f t="shared" si="15"/>
        <v>88.132104470200005</v>
      </c>
      <c r="I59" s="17">
        <v>1.9400000000000001E-2</v>
      </c>
      <c r="J59" s="20">
        <f t="shared" si="16"/>
        <v>88.132104470200005</v>
      </c>
      <c r="K59" s="17">
        <v>1.9400000000000001E-2</v>
      </c>
      <c r="L59" s="20">
        <f t="shared" si="17"/>
        <v>96.680888274799997</v>
      </c>
      <c r="M59" s="77">
        <v>1.9400000000000001E-3</v>
      </c>
      <c r="N59" s="20">
        <f t="shared" si="18"/>
        <v>9.6680888274800001</v>
      </c>
      <c r="O59" s="77">
        <v>1.9400000000000001E-3</v>
      </c>
      <c r="P59" s="20">
        <f t="shared" si="19"/>
        <v>9.6680888274800001</v>
      </c>
      <c r="Q59" s="77">
        <v>1.9400000000000001E-3</v>
      </c>
      <c r="R59" s="176">
        <f t="shared" si="20"/>
        <v>9.8822492512200029</v>
      </c>
      <c r="S59" s="77">
        <v>1.9400000000000001E-3</v>
      </c>
      <c r="T59" s="176">
        <f t="shared" si="21"/>
        <v>10.295335061420001</v>
      </c>
    </row>
    <row r="60" spans="1:20" x14ac:dyDescent="0.25">
      <c r="A60" s="6" t="s">
        <v>77</v>
      </c>
      <c r="B60" s="8" t="s">
        <v>116</v>
      </c>
      <c r="C60" s="17">
        <f>C59*C37</f>
        <v>2.8712000000000004E-3</v>
      </c>
      <c r="D60" s="20">
        <f>C60*($D$18+$D$25)</f>
        <v>12.217631877608802</v>
      </c>
      <c r="E60" s="52">
        <f>E59*E37</f>
        <v>2.8712000000000004E-3</v>
      </c>
      <c r="F60" s="20">
        <f t="shared" si="14"/>
        <v>13.043551461589603</v>
      </c>
      <c r="G60" s="17">
        <f>G59*G37</f>
        <v>2.8712000000000004E-3</v>
      </c>
      <c r="H60" s="20">
        <f t="shared" si="15"/>
        <v>13.043551461589603</v>
      </c>
      <c r="I60" s="17">
        <f>I59*I37</f>
        <v>2.8712000000000004E-3</v>
      </c>
      <c r="J60" s="20">
        <f t="shared" si="16"/>
        <v>13.043551461589603</v>
      </c>
      <c r="K60" s="17">
        <f>K59*K37</f>
        <v>2.8712000000000004E-3</v>
      </c>
      <c r="L60" s="20">
        <f t="shared" si="17"/>
        <v>14.308771464670402</v>
      </c>
      <c r="M60" s="77">
        <f>M59*M37</f>
        <v>2.8712000000000003E-4</v>
      </c>
      <c r="N60" s="20">
        <f t="shared" si="18"/>
        <v>1.43087714646704</v>
      </c>
      <c r="O60" s="77">
        <f>O59*O37</f>
        <v>2.8712000000000003E-4</v>
      </c>
      <c r="P60" s="20">
        <f t="shared" si="19"/>
        <v>1.43087714646704</v>
      </c>
      <c r="Q60" s="77">
        <f>Q59*Q37</f>
        <v>2.8712000000000003E-4</v>
      </c>
      <c r="R60" s="176">
        <f t="shared" si="20"/>
        <v>1.4625728891805603</v>
      </c>
      <c r="S60" s="77">
        <f>S59*S37</f>
        <v>2.8712000000000003E-4</v>
      </c>
      <c r="T60" s="176">
        <f t="shared" si="21"/>
        <v>1.5237095890901602</v>
      </c>
    </row>
    <row r="61" spans="1:20" x14ac:dyDescent="0.25">
      <c r="A61" s="18" t="s">
        <v>79</v>
      </c>
      <c r="B61" s="19" t="s">
        <v>168</v>
      </c>
      <c r="C61" s="17">
        <v>3.49E-2</v>
      </c>
      <c r="D61" s="145">
        <f t="shared" si="13"/>
        <v>148.5077154251</v>
      </c>
      <c r="E61" s="52">
        <v>3.49E-2</v>
      </c>
      <c r="F61" s="145">
        <f t="shared" si="14"/>
        <v>158.54693020670001</v>
      </c>
      <c r="G61" s="17">
        <v>3.49E-2</v>
      </c>
      <c r="H61" s="145">
        <f t="shared" si="15"/>
        <v>158.54693020670001</v>
      </c>
      <c r="I61" s="17">
        <v>3.49E-2</v>
      </c>
      <c r="J61" s="145">
        <f t="shared" si="16"/>
        <v>158.54693020670001</v>
      </c>
      <c r="K61" s="17">
        <v>3.49E-2</v>
      </c>
      <c r="L61" s="145">
        <f t="shared" si="17"/>
        <v>173.9259278758</v>
      </c>
      <c r="M61" s="77">
        <v>3.49E-2</v>
      </c>
      <c r="N61" s="145">
        <f t="shared" si="18"/>
        <v>173.9259278758</v>
      </c>
      <c r="O61" s="77">
        <v>3.49E-2</v>
      </c>
      <c r="P61" s="145">
        <f t="shared" si="19"/>
        <v>173.9259278758</v>
      </c>
      <c r="Q61" s="77">
        <v>3.49E-2</v>
      </c>
      <c r="R61" s="177">
        <f t="shared" si="20"/>
        <v>177.77860766370003</v>
      </c>
      <c r="S61" s="77">
        <v>3.49E-2</v>
      </c>
      <c r="T61" s="177">
        <f t="shared" si="21"/>
        <v>185.20989363070001</v>
      </c>
    </row>
    <row r="62" spans="1:20" x14ac:dyDescent="0.25">
      <c r="A62" s="341" t="s">
        <v>32</v>
      </c>
      <c r="B62" s="343"/>
      <c r="C62" s="25">
        <f>SUM(C56:C61)</f>
        <v>6.1868768000000005E-2</v>
      </c>
      <c r="D62" s="23">
        <f>SUM(D56:D61)</f>
        <v>263.26617168611847</v>
      </c>
      <c r="E62" s="53">
        <f t="shared" ref="E62:R62" si="22">SUM(E56:E61)</f>
        <v>6.1868768000000005E-2</v>
      </c>
      <c r="F62" s="23">
        <f t="shared" si="22"/>
        <v>281.06313014528695</v>
      </c>
      <c r="G62" s="25">
        <f t="shared" si="22"/>
        <v>6.1868768000000005E-2</v>
      </c>
      <c r="H62" s="23">
        <f t="shared" si="22"/>
        <v>281.06313014528695</v>
      </c>
      <c r="I62" s="25">
        <f t="shared" si="22"/>
        <v>6.1868768000000005E-2</v>
      </c>
      <c r="J62" s="23">
        <f t="shared" si="22"/>
        <v>281.06313014528695</v>
      </c>
      <c r="K62" s="25">
        <f t="shared" si="22"/>
        <v>6.1868768000000005E-2</v>
      </c>
      <c r="L62" s="23">
        <f t="shared" si="22"/>
        <v>308.32615704677949</v>
      </c>
      <c r="M62" s="25">
        <f t="shared" si="22"/>
        <v>4.1824687999999999E-2</v>
      </c>
      <c r="N62" s="23">
        <f t="shared" si="22"/>
        <v>208.43546328125609</v>
      </c>
      <c r="O62" s="25">
        <f t="shared" si="22"/>
        <v>4.1824687999999999E-2</v>
      </c>
      <c r="P62" s="23">
        <f t="shared" si="22"/>
        <v>208.43546328125609</v>
      </c>
      <c r="Q62" s="25">
        <f t="shared" si="22"/>
        <v>4.1824687999999999E-2</v>
      </c>
      <c r="R62" s="169">
        <f t="shared" si="22"/>
        <v>213.05257302603619</v>
      </c>
      <c r="S62" s="25">
        <f t="shared" ref="S62:T62" si="23">SUM(S56:S61)</f>
        <v>4.1824687999999999E-2</v>
      </c>
      <c r="T62" s="169">
        <f t="shared" si="23"/>
        <v>221.95833855636721</v>
      </c>
    </row>
    <row r="63" spans="1:20" x14ac:dyDescent="0.25">
      <c r="E63" s="55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39"/>
      <c r="S63" s="10"/>
      <c r="T63" s="139"/>
    </row>
    <row r="64" spans="1:20" ht="15" customHeight="1" x14ac:dyDescent="0.25">
      <c r="A64" s="276" t="s">
        <v>118</v>
      </c>
      <c r="B64" s="276"/>
      <c r="C64" s="276"/>
      <c r="D64" s="276"/>
      <c r="E64" s="55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39"/>
      <c r="S64" s="10"/>
      <c r="T64" s="139"/>
    </row>
    <row r="65" spans="1:20" ht="27" customHeight="1" x14ac:dyDescent="0.25">
      <c r="A65" s="352" t="s">
        <v>119</v>
      </c>
      <c r="B65" s="352"/>
      <c r="C65" s="352"/>
      <c r="D65" s="352"/>
      <c r="E65" s="55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39"/>
      <c r="S65" s="10"/>
      <c r="T65" s="139"/>
    </row>
    <row r="66" spans="1:20" x14ac:dyDescent="0.25">
      <c r="A66" s="159"/>
      <c r="B66" s="159"/>
      <c r="C66" s="159"/>
      <c r="D66" s="159"/>
      <c r="E66" s="165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46"/>
      <c r="S66" s="166"/>
      <c r="T66" s="146"/>
    </row>
    <row r="67" spans="1:20" ht="15" customHeight="1" x14ac:dyDescent="0.25">
      <c r="A67" s="276" t="s">
        <v>120</v>
      </c>
      <c r="B67" s="276"/>
      <c r="C67" s="276"/>
      <c r="D67" s="276"/>
      <c r="E67" s="55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39"/>
      <c r="S67" s="10"/>
      <c r="T67" s="139"/>
    </row>
    <row r="68" spans="1:20" x14ac:dyDescent="0.25">
      <c r="A68" s="163" t="s">
        <v>121</v>
      </c>
      <c r="B68" s="163" t="s">
        <v>122</v>
      </c>
      <c r="C68" s="163" t="s">
        <v>85</v>
      </c>
      <c r="D68" s="163" t="s">
        <v>30</v>
      </c>
      <c r="E68" s="162" t="s">
        <v>85</v>
      </c>
      <c r="F68" s="163" t="s">
        <v>30</v>
      </c>
      <c r="G68" s="163" t="s">
        <v>85</v>
      </c>
      <c r="H68" s="163" t="s">
        <v>30</v>
      </c>
      <c r="I68" s="163" t="s">
        <v>85</v>
      </c>
      <c r="J68" s="163" t="s">
        <v>30</v>
      </c>
      <c r="K68" s="163" t="s">
        <v>85</v>
      </c>
      <c r="L68" s="163" t="s">
        <v>30</v>
      </c>
      <c r="M68" s="163" t="s">
        <v>85</v>
      </c>
      <c r="N68" s="163" t="s">
        <v>30</v>
      </c>
      <c r="O68" s="163" t="s">
        <v>85</v>
      </c>
      <c r="P68" s="163" t="s">
        <v>30</v>
      </c>
      <c r="Q68" s="163" t="s">
        <v>85</v>
      </c>
      <c r="R68" s="41" t="s">
        <v>30</v>
      </c>
      <c r="S68" s="163" t="s">
        <v>85</v>
      </c>
      <c r="T68" s="41" t="s">
        <v>30</v>
      </c>
    </row>
    <row r="69" spans="1:20" x14ac:dyDescent="0.25">
      <c r="A69" s="6" t="s">
        <v>69</v>
      </c>
      <c r="B69" s="8" t="s">
        <v>123</v>
      </c>
      <c r="C69" s="17">
        <v>6.8999999999999999E-3</v>
      </c>
      <c r="D69" s="21">
        <f t="shared" ref="D69:D74" si="24">C69*($D$18+$D$25)</f>
        <v>29.361124253100002</v>
      </c>
      <c r="E69" s="52">
        <v>6.8999999999999999E-3</v>
      </c>
      <c r="F69" s="21">
        <f t="shared" ref="F69:F74" si="25">E69*(F$18+F$25)</f>
        <v>31.345954682700004</v>
      </c>
      <c r="G69" s="17">
        <v>6.8999999999999999E-3</v>
      </c>
      <c r="H69" s="21">
        <f t="shared" ref="H69:H74" si="26">G69*(H$18+H$25)</f>
        <v>31.345954682700004</v>
      </c>
      <c r="I69" s="17">
        <v>6.8999999999999999E-3</v>
      </c>
      <c r="J69" s="21">
        <f t="shared" ref="J69:J74" si="27">I69*(J$18+J$25)</f>
        <v>31.345954682700004</v>
      </c>
      <c r="K69" s="17">
        <v>6.8999999999999999E-3</v>
      </c>
      <c r="L69" s="21">
        <f t="shared" ref="L69:L74" si="28">K69*(L$18+L$25)</f>
        <v>34.386501499799998</v>
      </c>
      <c r="M69" s="17">
        <v>6.8999999999999999E-3</v>
      </c>
      <c r="N69" s="21">
        <f t="shared" ref="N69:N74" si="29">M69*(N$18+N$25)</f>
        <v>34.386501499799998</v>
      </c>
      <c r="O69" s="17">
        <v>6.8999999999999999E-3</v>
      </c>
      <c r="P69" s="21">
        <f t="shared" ref="P69:P74" si="30">O69*(P$18+P$25)</f>
        <v>34.386501499799998</v>
      </c>
      <c r="Q69" s="17">
        <v>6.8999999999999999E-3</v>
      </c>
      <c r="R69" s="43">
        <f t="shared" ref="R69:R74" si="31">Q69*(R$18+R$25)</f>
        <v>35.148206099700005</v>
      </c>
      <c r="S69" s="17">
        <v>6.8999999999999999E-3</v>
      </c>
      <c r="T69" s="43">
        <f t="shared" ref="T69:T74" si="32">S69*(T$18+T$25)</f>
        <v>36.617428826699999</v>
      </c>
    </row>
    <row r="70" spans="1:20" x14ac:dyDescent="0.25">
      <c r="A70" s="6" t="s">
        <v>71</v>
      </c>
      <c r="B70" s="8" t="s">
        <v>124</v>
      </c>
      <c r="C70" s="17">
        <v>2.8E-3</v>
      </c>
      <c r="D70" s="21">
        <f t="shared" si="24"/>
        <v>11.914659117200001</v>
      </c>
      <c r="E70" s="52">
        <v>2.8E-3</v>
      </c>
      <c r="F70" s="21">
        <f t="shared" si="25"/>
        <v>12.7200975524</v>
      </c>
      <c r="G70" s="17">
        <v>2.8E-3</v>
      </c>
      <c r="H70" s="21">
        <f t="shared" si="26"/>
        <v>12.7200975524</v>
      </c>
      <c r="I70" s="17">
        <v>2.8E-3</v>
      </c>
      <c r="J70" s="21">
        <f t="shared" si="27"/>
        <v>12.7200975524</v>
      </c>
      <c r="K70" s="17">
        <v>2.8E-3</v>
      </c>
      <c r="L70" s="21">
        <f t="shared" si="28"/>
        <v>13.953942637599999</v>
      </c>
      <c r="M70" s="17">
        <v>2.8E-3</v>
      </c>
      <c r="N70" s="21">
        <f t="shared" si="29"/>
        <v>13.953942637599999</v>
      </c>
      <c r="O70" s="17">
        <v>2.8E-3</v>
      </c>
      <c r="P70" s="21">
        <f t="shared" si="30"/>
        <v>13.953942637599999</v>
      </c>
      <c r="Q70" s="17">
        <v>2.8E-3</v>
      </c>
      <c r="R70" s="43">
        <f t="shared" si="31"/>
        <v>14.263040156400002</v>
      </c>
      <c r="S70" s="17">
        <v>2.8E-3</v>
      </c>
      <c r="T70" s="43">
        <f t="shared" si="32"/>
        <v>14.8592464804</v>
      </c>
    </row>
    <row r="71" spans="1:20" x14ac:dyDescent="0.25">
      <c r="A71" s="6" t="s">
        <v>73</v>
      </c>
      <c r="B71" s="8" t="s">
        <v>125</v>
      </c>
      <c r="C71" s="17">
        <v>2.0000000000000001E-4</v>
      </c>
      <c r="D71" s="21">
        <f t="shared" si="24"/>
        <v>0.85104707980000005</v>
      </c>
      <c r="E71" s="52">
        <v>2.0000000000000001E-4</v>
      </c>
      <c r="F71" s="21">
        <f t="shared" si="25"/>
        <v>0.90857839660000017</v>
      </c>
      <c r="G71" s="17">
        <v>2.0000000000000001E-4</v>
      </c>
      <c r="H71" s="21">
        <f t="shared" si="26"/>
        <v>0.90857839660000017</v>
      </c>
      <c r="I71" s="17">
        <v>2.0000000000000001E-4</v>
      </c>
      <c r="J71" s="21">
        <f t="shared" si="27"/>
        <v>0.90857839660000017</v>
      </c>
      <c r="K71" s="17">
        <v>2.0000000000000001E-4</v>
      </c>
      <c r="L71" s="21">
        <f t="shared" si="28"/>
        <v>0.99671018840000003</v>
      </c>
      <c r="M71" s="17">
        <v>2.0000000000000001E-4</v>
      </c>
      <c r="N71" s="21">
        <f t="shared" si="29"/>
        <v>0.99671018840000003</v>
      </c>
      <c r="O71" s="17">
        <v>2.0000000000000001E-4</v>
      </c>
      <c r="P71" s="21">
        <f t="shared" si="30"/>
        <v>0.99671018840000003</v>
      </c>
      <c r="Q71" s="17">
        <v>2.0000000000000001E-4</v>
      </c>
      <c r="R71" s="43">
        <f t="shared" si="31"/>
        <v>1.0187885826000003</v>
      </c>
      <c r="S71" s="17">
        <v>2.0000000000000001E-4</v>
      </c>
      <c r="T71" s="43">
        <f t="shared" si="32"/>
        <v>1.0613747486</v>
      </c>
    </row>
    <row r="72" spans="1:20" x14ac:dyDescent="0.25">
      <c r="A72" s="6" t="s">
        <v>75</v>
      </c>
      <c r="B72" s="8" t="s">
        <v>126</v>
      </c>
      <c r="C72" s="17">
        <v>2.7000000000000001E-3</v>
      </c>
      <c r="D72" s="21">
        <f t="shared" si="24"/>
        <v>11.489135577300001</v>
      </c>
      <c r="E72" s="52">
        <v>2.7000000000000001E-3</v>
      </c>
      <c r="F72" s="21">
        <f t="shared" si="25"/>
        <v>12.265808354100002</v>
      </c>
      <c r="G72" s="17">
        <v>2.7000000000000001E-3</v>
      </c>
      <c r="H72" s="21">
        <f t="shared" si="26"/>
        <v>12.265808354100002</v>
      </c>
      <c r="I72" s="17">
        <v>2.7000000000000001E-3</v>
      </c>
      <c r="J72" s="21">
        <f t="shared" si="27"/>
        <v>12.265808354100002</v>
      </c>
      <c r="K72" s="17">
        <v>2.7000000000000001E-3</v>
      </c>
      <c r="L72" s="21">
        <f t="shared" si="28"/>
        <v>13.4555875434</v>
      </c>
      <c r="M72" s="17">
        <v>2.7000000000000001E-3</v>
      </c>
      <c r="N72" s="21">
        <f t="shared" si="29"/>
        <v>13.4555875434</v>
      </c>
      <c r="O72" s="17">
        <v>2.7000000000000001E-3</v>
      </c>
      <c r="P72" s="21">
        <f t="shared" si="30"/>
        <v>13.4555875434</v>
      </c>
      <c r="Q72" s="17">
        <v>2.7000000000000001E-3</v>
      </c>
      <c r="R72" s="43">
        <f t="shared" si="31"/>
        <v>13.753645865100003</v>
      </c>
      <c r="S72" s="17">
        <v>2.7000000000000001E-3</v>
      </c>
      <c r="T72" s="43">
        <f t="shared" si="32"/>
        <v>14.3285591061</v>
      </c>
    </row>
    <row r="73" spans="1:20" x14ac:dyDescent="0.25">
      <c r="A73" s="6" t="s">
        <v>77</v>
      </c>
      <c r="B73" s="8" t="s">
        <v>127</v>
      </c>
      <c r="C73" s="17">
        <v>2.9999999999999997E-4</v>
      </c>
      <c r="D73" s="21">
        <f t="shared" si="24"/>
        <v>1.2765706197</v>
      </c>
      <c r="E73" s="52">
        <v>2.9999999999999997E-4</v>
      </c>
      <c r="F73" s="21">
        <f t="shared" si="25"/>
        <v>1.3628675949</v>
      </c>
      <c r="G73" s="17">
        <v>2.9999999999999997E-4</v>
      </c>
      <c r="H73" s="21">
        <f t="shared" si="26"/>
        <v>1.3628675949</v>
      </c>
      <c r="I73" s="17">
        <v>2.9999999999999997E-4</v>
      </c>
      <c r="J73" s="21">
        <f t="shared" si="27"/>
        <v>1.3628675949</v>
      </c>
      <c r="K73" s="17">
        <v>2.9999999999999997E-4</v>
      </c>
      <c r="L73" s="21">
        <f t="shared" si="28"/>
        <v>1.4950652825999999</v>
      </c>
      <c r="M73" s="17">
        <v>2.9999999999999997E-4</v>
      </c>
      <c r="N73" s="21">
        <f t="shared" si="29"/>
        <v>1.4950652825999999</v>
      </c>
      <c r="O73" s="17">
        <v>2.9999999999999997E-4</v>
      </c>
      <c r="P73" s="21">
        <f t="shared" si="30"/>
        <v>1.4950652825999999</v>
      </c>
      <c r="Q73" s="17">
        <v>2.9999999999999997E-4</v>
      </c>
      <c r="R73" s="43">
        <f t="shared" si="31"/>
        <v>1.5281828739000001</v>
      </c>
      <c r="S73" s="17">
        <v>2.9999999999999997E-4</v>
      </c>
      <c r="T73" s="43">
        <f t="shared" si="32"/>
        <v>1.5920621228999998</v>
      </c>
    </row>
    <row r="74" spans="1:20" x14ac:dyDescent="0.25">
      <c r="A74" s="6" t="s">
        <v>79</v>
      </c>
      <c r="B74" s="8" t="s">
        <v>128</v>
      </c>
      <c r="C74" s="17">
        <v>0</v>
      </c>
      <c r="D74" s="21">
        <f t="shared" si="24"/>
        <v>0</v>
      </c>
      <c r="E74" s="52">
        <v>0</v>
      </c>
      <c r="F74" s="21">
        <f t="shared" si="25"/>
        <v>0</v>
      </c>
      <c r="G74" s="17">
        <v>0</v>
      </c>
      <c r="H74" s="21">
        <f t="shared" si="26"/>
        <v>0</v>
      </c>
      <c r="I74" s="17">
        <v>0</v>
      </c>
      <c r="J74" s="21">
        <f t="shared" si="27"/>
        <v>0</v>
      </c>
      <c r="K74" s="17">
        <v>0</v>
      </c>
      <c r="L74" s="21">
        <f t="shared" si="28"/>
        <v>0</v>
      </c>
      <c r="M74" s="17">
        <v>0</v>
      </c>
      <c r="N74" s="21">
        <f t="shared" si="29"/>
        <v>0</v>
      </c>
      <c r="O74" s="17">
        <v>0</v>
      </c>
      <c r="P74" s="21">
        <f t="shared" si="30"/>
        <v>0</v>
      </c>
      <c r="Q74" s="17">
        <v>0</v>
      </c>
      <c r="R74" s="43">
        <f t="shared" si="31"/>
        <v>0</v>
      </c>
      <c r="S74" s="17">
        <v>0</v>
      </c>
      <c r="T74" s="43">
        <f t="shared" si="32"/>
        <v>0</v>
      </c>
    </row>
    <row r="75" spans="1:20" x14ac:dyDescent="0.25">
      <c r="A75" s="341" t="s">
        <v>32</v>
      </c>
      <c r="B75" s="343"/>
      <c r="C75" s="25">
        <f>SUM(C69:C74)</f>
        <v>1.29E-2</v>
      </c>
      <c r="D75" s="23">
        <f>SUM(D69:D74)</f>
        <v>54.892536647100009</v>
      </c>
      <c r="E75" s="53">
        <f t="shared" ref="E75:R75" si="33">SUM(E69:E74)</f>
        <v>1.29E-2</v>
      </c>
      <c r="F75" s="23">
        <f t="shared" si="33"/>
        <v>58.603306580700007</v>
      </c>
      <c r="G75" s="25">
        <f t="shared" si="33"/>
        <v>1.29E-2</v>
      </c>
      <c r="H75" s="23">
        <f t="shared" si="33"/>
        <v>58.603306580700007</v>
      </c>
      <c r="I75" s="25">
        <f t="shared" si="33"/>
        <v>1.29E-2</v>
      </c>
      <c r="J75" s="23">
        <f t="shared" si="33"/>
        <v>58.603306580700007</v>
      </c>
      <c r="K75" s="25">
        <f t="shared" si="33"/>
        <v>1.29E-2</v>
      </c>
      <c r="L75" s="23">
        <f t="shared" si="33"/>
        <v>64.287807151799996</v>
      </c>
      <c r="M75" s="25">
        <f t="shared" si="33"/>
        <v>1.29E-2</v>
      </c>
      <c r="N75" s="23">
        <f t="shared" si="33"/>
        <v>64.287807151799996</v>
      </c>
      <c r="O75" s="25">
        <f t="shared" si="33"/>
        <v>1.29E-2</v>
      </c>
      <c r="P75" s="23">
        <f t="shared" si="33"/>
        <v>64.287807151799996</v>
      </c>
      <c r="Q75" s="25">
        <f t="shared" si="33"/>
        <v>1.29E-2</v>
      </c>
      <c r="R75" s="169">
        <f t="shared" si="33"/>
        <v>65.711863577700001</v>
      </c>
      <c r="S75" s="25">
        <f t="shared" ref="S75:T75" si="34">SUM(S69:S74)</f>
        <v>1.29E-2</v>
      </c>
      <c r="T75" s="169">
        <f t="shared" si="34"/>
        <v>68.458671284700003</v>
      </c>
    </row>
    <row r="76" spans="1:20" x14ac:dyDescent="0.25">
      <c r="E76" s="55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39"/>
      <c r="S76" s="10"/>
      <c r="T76" s="139"/>
    </row>
    <row r="77" spans="1:20" x14ac:dyDescent="0.25">
      <c r="A77" s="340" t="s">
        <v>129</v>
      </c>
      <c r="B77" s="340"/>
      <c r="C77" s="340"/>
      <c r="D77" s="340"/>
      <c r="E77" s="55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39"/>
      <c r="S77" s="10"/>
      <c r="T77" s="139"/>
    </row>
    <row r="78" spans="1:20" x14ac:dyDescent="0.25">
      <c r="A78" s="163" t="s">
        <v>130</v>
      </c>
      <c r="B78" s="163" t="s">
        <v>131</v>
      </c>
      <c r="C78" s="163"/>
      <c r="D78" s="163" t="s">
        <v>30</v>
      </c>
      <c r="E78" s="148"/>
      <c r="F78" s="163" t="s">
        <v>30</v>
      </c>
      <c r="G78" s="147"/>
      <c r="H78" s="163" t="s">
        <v>30</v>
      </c>
      <c r="I78" s="147"/>
      <c r="J78" s="163" t="s">
        <v>30</v>
      </c>
      <c r="K78" s="147"/>
      <c r="L78" s="163" t="s">
        <v>30</v>
      </c>
      <c r="M78" s="147"/>
      <c r="N78" s="163" t="s">
        <v>30</v>
      </c>
      <c r="O78" s="147"/>
      <c r="P78" s="163" t="s">
        <v>30</v>
      </c>
      <c r="Q78" s="147"/>
      <c r="R78" s="41" t="s">
        <v>30</v>
      </c>
      <c r="S78" s="147"/>
      <c r="T78" s="41" t="s">
        <v>30</v>
      </c>
    </row>
    <row r="79" spans="1:20" x14ac:dyDescent="0.25">
      <c r="A79" s="6" t="s">
        <v>69</v>
      </c>
      <c r="B79" s="8" t="s">
        <v>132</v>
      </c>
      <c r="C79" s="14"/>
      <c r="D79" s="14">
        <v>0</v>
      </c>
      <c r="E79" s="54"/>
      <c r="F79" s="10"/>
      <c r="G79" s="14"/>
      <c r="H79" s="10"/>
      <c r="I79" s="14"/>
      <c r="J79" s="10"/>
      <c r="K79" s="14"/>
      <c r="L79" s="10"/>
      <c r="M79" s="14"/>
      <c r="N79" s="10"/>
      <c r="O79" s="14"/>
      <c r="P79" s="10"/>
      <c r="Q79" s="14"/>
      <c r="R79" s="139"/>
      <c r="S79" s="14"/>
      <c r="T79" s="139"/>
    </row>
    <row r="80" spans="1:20" x14ac:dyDescent="0.25">
      <c r="A80" s="364" t="s">
        <v>32</v>
      </c>
      <c r="B80" s="365"/>
      <c r="C80" s="14"/>
      <c r="D80" s="14">
        <f>SUM(D79)</f>
        <v>0</v>
      </c>
      <c r="E80" s="55"/>
      <c r="F80" s="14">
        <f>SUM(E79)</f>
        <v>0</v>
      </c>
      <c r="G80" s="10"/>
      <c r="H80" s="14">
        <f>SUM(G79)</f>
        <v>0</v>
      </c>
      <c r="I80" s="10"/>
      <c r="J80" s="14">
        <f>SUM(I79)</f>
        <v>0</v>
      </c>
      <c r="K80" s="10"/>
      <c r="L80" s="14">
        <f>SUM(K79)</f>
        <v>0</v>
      </c>
      <c r="M80" s="10"/>
      <c r="N80" s="14">
        <f>SUM(M79)</f>
        <v>0</v>
      </c>
      <c r="O80" s="10"/>
      <c r="P80" s="14">
        <f>SUM(O79)</f>
        <v>0</v>
      </c>
      <c r="Q80" s="10"/>
      <c r="R80" s="45">
        <f>SUM(Q79)</f>
        <v>0</v>
      </c>
      <c r="S80" s="10"/>
      <c r="T80" s="45">
        <f>SUM(S79)</f>
        <v>0</v>
      </c>
    </row>
    <row r="81" spans="1:20" x14ac:dyDescent="0.25">
      <c r="E81" s="55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39"/>
      <c r="S81" s="10"/>
      <c r="T81" s="139"/>
    </row>
    <row r="82" spans="1:20" ht="15" customHeight="1" x14ac:dyDescent="0.25">
      <c r="A82" s="276" t="s">
        <v>133</v>
      </c>
      <c r="B82" s="276"/>
      <c r="C82" s="276"/>
      <c r="D82" s="276"/>
      <c r="E82" s="55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39"/>
      <c r="S82" s="10"/>
      <c r="T82" s="139"/>
    </row>
    <row r="83" spans="1:20" x14ac:dyDescent="0.25">
      <c r="A83" s="163">
        <v>4</v>
      </c>
      <c r="B83" s="340" t="s">
        <v>134</v>
      </c>
      <c r="C83" s="340"/>
      <c r="D83" s="163" t="s">
        <v>30</v>
      </c>
      <c r="E83" s="55"/>
      <c r="F83" s="163" t="s">
        <v>30</v>
      </c>
      <c r="G83" s="10"/>
      <c r="H83" s="163" t="s">
        <v>30</v>
      </c>
      <c r="I83" s="10"/>
      <c r="J83" s="163" t="s">
        <v>30</v>
      </c>
      <c r="K83" s="10"/>
      <c r="L83" s="163" t="s">
        <v>30</v>
      </c>
      <c r="M83" s="10"/>
      <c r="N83" s="163" t="s">
        <v>30</v>
      </c>
      <c r="O83" s="10"/>
      <c r="P83" s="163" t="s">
        <v>30</v>
      </c>
      <c r="Q83" s="10"/>
      <c r="R83" s="41" t="s">
        <v>30</v>
      </c>
      <c r="S83" s="10"/>
      <c r="T83" s="41" t="s">
        <v>30</v>
      </c>
    </row>
    <row r="84" spans="1:20" x14ac:dyDescent="0.25">
      <c r="A84" s="6" t="s">
        <v>121</v>
      </c>
      <c r="B84" s="312" t="s">
        <v>122</v>
      </c>
      <c r="C84" s="312"/>
      <c r="D84" s="21">
        <f>D75</f>
        <v>54.892536647100009</v>
      </c>
      <c r="E84" s="55"/>
      <c r="F84" s="21">
        <f>F75</f>
        <v>58.603306580700007</v>
      </c>
      <c r="G84" s="10"/>
      <c r="H84" s="21">
        <f>H75</f>
        <v>58.603306580700007</v>
      </c>
      <c r="I84" s="10"/>
      <c r="J84" s="21">
        <f>J75</f>
        <v>58.603306580700007</v>
      </c>
      <c r="K84" s="10"/>
      <c r="L84" s="21">
        <f>L75</f>
        <v>64.287807151799996</v>
      </c>
      <c r="M84" s="10"/>
      <c r="N84" s="21">
        <f>N75</f>
        <v>64.287807151799996</v>
      </c>
      <c r="O84" s="10"/>
      <c r="P84" s="21">
        <f>P75</f>
        <v>64.287807151799996</v>
      </c>
      <c r="Q84" s="10"/>
      <c r="R84" s="43">
        <f>R75</f>
        <v>65.711863577700001</v>
      </c>
      <c r="S84" s="10"/>
      <c r="T84" s="43">
        <f>T75</f>
        <v>68.458671284700003</v>
      </c>
    </row>
    <row r="85" spans="1:20" x14ac:dyDescent="0.25">
      <c r="A85" s="6" t="s">
        <v>130</v>
      </c>
      <c r="B85" s="10" t="s">
        <v>135</v>
      </c>
      <c r="C85" s="10"/>
      <c r="D85" s="12">
        <f>C80</f>
        <v>0</v>
      </c>
      <c r="E85" s="55"/>
      <c r="F85" s="12">
        <f>F80</f>
        <v>0</v>
      </c>
      <c r="G85" s="10"/>
      <c r="H85" s="12">
        <f>H80</f>
        <v>0</v>
      </c>
      <c r="I85" s="10"/>
      <c r="J85" s="12">
        <f>J80</f>
        <v>0</v>
      </c>
      <c r="K85" s="10"/>
      <c r="L85" s="12">
        <f>L80</f>
        <v>0</v>
      </c>
      <c r="M85" s="10"/>
      <c r="N85" s="12">
        <f>N80</f>
        <v>0</v>
      </c>
      <c r="O85" s="10"/>
      <c r="P85" s="12">
        <f>P80</f>
        <v>0</v>
      </c>
      <c r="Q85" s="10"/>
      <c r="R85" s="42">
        <f>R80</f>
        <v>0</v>
      </c>
      <c r="S85" s="10"/>
      <c r="T85" s="42">
        <f>T80</f>
        <v>0</v>
      </c>
    </row>
    <row r="86" spans="1:20" x14ac:dyDescent="0.25">
      <c r="A86" s="340" t="s">
        <v>32</v>
      </c>
      <c r="B86" s="340"/>
      <c r="C86" s="340"/>
      <c r="D86" s="23">
        <f>SUM(D84:D85)</f>
        <v>54.892536647100009</v>
      </c>
      <c r="E86" s="55"/>
      <c r="F86" s="23">
        <f>SUM(F84:F85)</f>
        <v>58.603306580700007</v>
      </c>
      <c r="G86" s="10"/>
      <c r="H86" s="23">
        <f>SUM(H84:H85)</f>
        <v>58.603306580700007</v>
      </c>
      <c r="I86" s="10"/>
      <c r="J86" s="23">
        <f>SUM(J84:J85)</f>
        <v>58.603306580700007</v>
      </c>
      <c r="K86" s="10"/>
      <c r="L86" s="23">
        <f>SUM(L84:L85)</f>
        <v>64.287807151799996</v>
      </c>
      <c r="M86" s="10"/>
      <c r="N86" s="23">
        <f>SUM(N84:N85)</f>
        <v>64.287807151799996</v>
      </c>
      <c r="O86" s="10"/>
      <c r="P86" s="23">
        <f>SUM(P84:P85)</f>
        <v>64.287807151799996</v>
      </c>
      <c r="Q86" s="10"/>
      <c r="R86" s="169">
        <f>SUM(R84:R85)</f>
        <v>65.711863577700001</v>
      </c>
      <c r="S86" s="10"/>
      <c r="T86" s="169">
        <f>SUM(T84:T85)</f>
        <v>68.458671284700003</v>
      </c>
    </row>
    <row r="87" spans="1:20" x14ac:dyDescent="0.25">
      <c r="E87" s="55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39"/>
      <c r="S87" s="10"/>
      <c r="T87" s="139"/>
    </row>
    <row r="88" spans="1:20" ht="15" customHeight="1" x14ac:dyDescent="0.25">
      <c r="A88" s="276" t="s">
        <v>136</v>
      </c>
      <c r="B88" s="276"/>
      <c r="C88" s="276"/>
      <c r="D88" s="276"/>
      <c r="E88" s="55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39"/>
      <c r="S88" s="10"/>
      <c r="T88" s="139"/>
    </row>
    <row r="89" spans="1:20" x14ac:dyDescent="0.25">
      <c r="A89" s="163">
        <v>5</v>
      </c>
      <c r="B89" s="340" t="s">
        <v>137</v>
      </c>
      <c r="C89" s="340"/>
      <c r="D89" s="163" t="s">
        <v>30</v>
      </c>
      <c r="E89" s="55"/>
      <c r="F89" s="163" t="s">
        <v>30</v>
      </c>
      <c r="G89" s="10"/>
      <c r="H89" s="163" t="s">
        <v>30</v>
      </c>
      <c r="I89" s="10"/>
      <c r="J89" s="163" t="s">
        <v>30</v>
      </c>
      <c r="K89" s="10"/>
      <c r="L89" s="163" t="s">
        <v>30</v>
      </c>
      <c r="M89" s="10"/>
      <c r="N89" s="163" t="s">
        <v>30</v>
      </c>
      <c r="O89" s="10"/>
      <c r="P89" s="163" t="s">
        <v>30</v>
      </c>
      <c r="Q89" s="10"/>
      <c r="R89" s="163" t="s">
        <v>30</v>
      </c>
      <c r="S89" s="10"/>
      <c r="T89" s="163" t="s">
        <v>30</v>
      </c>
    </row>
    <row r="90" spans="1:20" x14ac:dyDescent="0.25">
      <c r="A90" s="6" t="s">
        <v>69</v>
      </c>
      <c r="B90" s="312" t="s">
        <v>138</v>
      </c>
      <c r="C90" s="312"/>
      <c r="D90" s="12">
        <f>Uniforme!$G$14</f>
        <v>35.783999999999999</v>
      </c>
      <c r="E90" s="55"/>
      <c r="F90" s="12">
        <f>Uniforme!$G$14</f>
        <v>35.783999999999999</v>
      </c>
      <c r="G90" s="10"/>
      <c r="H90" s="12">
        <f>Uniforme!$G$14</f>
        <v>35.783999999999999</v>
      </c>
      <c r="I90" s="10"/>
      <c r="J90" s="12">
        <f>Uniforme!$G$14</f>
        <v>35.783999999999999</v>
      </c>
      <c r="K90" s="10"/>
      <c r="L90" s="12">
        <f>Uniforme!$G$14</f>
        <v>35.783999999999999</v>
      </c>
      <c r="M90" s="10"/>
      <c r="N90" s="12">
        <f>Uniforme!$G$29</f>
        <v>37.951659999999997</v>
      </c>
      <c r="O90" s="10"/>
      <c r="P90" s="12">
        <f>Uniforme!$G$29</f>
        <v>37.951659999999997</v>
      </c>
      <c r="Q90" s="10"/>
      <c r="R90" s="12">
        <f>Uniforme!$G$29</f>
        <v>37.951659999999997</v>
      </c>
      <c r="S90" s="10"/>
      <c r="T90" s="12">
        <f>Uniforme!$G$29</f>
        <v>37.951659999999997</v>
      </c>
    </row>
    <row r="91" spans="1:20" x14ac:dyDescent="0.25">
      <c r="A91" s="6" t="s">
        <v>71</v>
      </c>
      <c r="B91" s="312" t="s">
        <v>139</v>
      </c>
      <c r="C91" s="312"/>
      <c r="D91" s="22">
        <v>0</v>
      </c>
      <c r="E91" s="55"/>
      <c r="F91" s="22">
        <v>0</v>
      </c>
      <c r="G91" s="10"/>
      <c r="H91" s="22">
        <v>0</v>
      </c>
      <c r="I91" s="10"/>
      <c r="J91" s="22">
        <v>0</v>
      </c>
      <c r="K91" s="10"/>
      <c r="L91" s="22">
        <v>0</v>
      </c>
      <c r="M91" s="10"/>
      <c r="N91" s="22">
        <v>0</v>
      </c>
      <c r="O91" s="10"/>
      <c r="P91" s="22">
        <v>0</v>
      </c>
      <c r="Q91" s="10"/>
      <c r="R91" s="22">
        <v>0</v>
      </c>
      <c r="S91" s="10"/>
      <c r="T91" s="22">
        <v>0</v>
      </c>
    </row>
    <row r="92" spans="1:20" x14ac:dyDescent="0.25">
      <c r="A92" s="6" t="s">
        <v>73</v>
      </c>
      <c r="B92" s="312" t="s">
        <v>140</v>
      </c>
      <c r="C92" s="312"/>
      <c r="D92" s="22">
        <v>0</v>
      </c>
      <c r="E92" s="55"/>
      <c r="F92" s="22">
        <v>0</v>
      </c>
      <c r="G92" s="10"/>
      <c r="H92" s="22">
        <v>0</v>
      </c>
      <c r="I92" s="10"/>
      <c r="J92" s="22">
        <v>0</v>
      </c>
      <c r="K92" s="10"/>
      <c r="L92" s="22">
        <v>0</v>
      </c>
      <c r="M92" s="10"/>
      <c r="N92" s="22">
        <v>0</v>
      </c>
      <c r="O92" s="10"/>
      <c r="P92" s="22">
        <v>0</v>
      </c>
      <c r="Q92" s="10"/>
      <c r="R92" s="22">
        <v>0</v>
      </c>
      <c r="S92" s="10"/>
      <c r="T92" s="22">
        <v>0</v>
      </c>
    </row>
    <row r="93" spans="1:20" x14ac:dyDescent="0.25">
      <c r="A93" s="6" t="s">
        <v>75</v>
      </c>
      <c r="B93" s="312" t="s">
        <v>80</v>
      </c>
      <c r="C93" s="312"/>
      <c r="D93" s="22">
        <v>0</v>
      </c>
      <c r="E93" s="55"/>
      <c r="F93" s="22">
        <v>0</v>
      </c>
      <c r="G93" s="10"/>
      <c r="H93" s="22">
        <v>0</v>
      </c>
      <c r="I93" s="10"/>
      <c r="J93" s="22">
        <v>0</v>
      </c>
      <c r="K93" s="10"/>
      <c r="L93" s="22">
        <v>0</v>
      </c>
      <c r="M93" s="10"/>
      <c r="N93" s="22">
        <v>0</v>
      </c>
      <c r="O93" s="10"/>
      <c r="P93" s="22">
        <v>0</v>
      </c>
      <c r="Q93" s="10"/>
      <c r="R93" s="22">
        <v>0</v>
      </c>
      <c r="S93" s="10"/>
      <c r="T93" s="22">
        <v>0</v>
      </c>
    </row>
    <row r="94" spans="1:20" x14ac:dyDescent="0.25">
      <c r="A94" s="340" t="s">
        <v>32</v>
      </c>
      <c r="B94" s="340"/>
      <c r="C94" s="340"/>
      <c r="D94" s="16">
        <f>SUM(D90:D93)</f>
        <v>35.783999999999999</v>
      </c>
      <c r="E94" s="55"/>
      <c r="F94" s="60">
        <f>SUM(F90:F93)</f>
        <v>35.783999999999999</v>
      </c>
      <c r="G94" s="10"/>
      <c r="H94" s="60">
        <f>SUM(H90:H93)</f>
        <v>35.783999999999999</v>
      </c>
      <c r="I94" s="10"/>
      <c r="J94" s="60">
        <f>SUM(J90:J93)</f>
        <v>35.783999999999999</v>
      </c>
      <c r="K94" s="10"/>
      <c r="L94" s="60">
        <f>SUM(L90:L93)</f>
        <v>35.783999999999999</v>
      </c>
      <c r="M94" s="10"/>
      <c r="N94" s="60">
        <f>SUM(N90:N93)</f>
        <v>37.951659999999997</v>
      </c>
      <c r="O94" s="10"/>
      <c r="P94" s="60">
        <f>SUM(P90:P93)</f>
        <v>37.951659999999997</v>
      </c>
      <c r="Q94" s="10"/>
      <c r="R94" s="60">
        <f>SUM(R90:R93)</f>
        <v>37.951659999999997</v>
      </c>
      <c r="S94" s="10"/>
      <c r="T94" s="60">
        <f>SUM(T90:T93)</f>
        <v>37.951659999999997</v>
      </c>
    </row>
    <row r="95" spans="1:20" x14ac:dyDescent="0.25">
      <c r="E95" s="5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39"/>
      <c r="S95" s="10"/>
      <c r="T95" s="139"/>
    </row>
    <row r="96" spans="1:20" ht="15" customHeight="1" x14ac:dyDescent="0.25">
      <c r="A96" s="276" t="s">
        <v>141</v>
      </c>
      <c r="B96" s="276"/>
      <c r="C96" s="276"/>
      <c r="D96" s="276"/>
      <c r="E96" s="5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39"/>
      <c r="S96" s="10"/>
      <c r="T96" s="139"/>
    </row>
    <row r="97" spans="1:20" ht="15" customHeight="1" x14ac:dyDescent="0.25">
      <c r="A97" s="357" t="s">
        <v>142</v>
      </c>
      <c r="B97" s="357"/>
      <c r="C97" s="276" t="s">
        <v>143</v>
      </c>
      <c r="D97" s="276"/>
      <c r="E97" s="275" t="s">
        <v>143</v>
      </c>
      <c r="F97" s="276"/>
      <c r="G97" s="332" t="s">
        <v>143</v>
      </c>
      <c r="H97" s="333"/>
      <c r="I97" s="276" t="s">
        <v>143</v>
      </c>
      <c r="J97" s="276"/>
      <c r="K97" s="276" t="s">
        <v>143</v>
      </c>
      <c r="L97" s="276"/>
      <c r="M97" s="276" t="s">
        <v>143</v>
      </c>
      <c r="N97" s="276"/>
      <c r="O97" s="276" t="s">
        <v>143</v>
      </c>
      <c r="P97" s="276"/>
      <c r="Q97" s="276" t="s">
        <v>143</v>
      </c>
      <c r="R97" s="338"/>
      <c r="S97" s="276" t="s">
        <v>143</v>
      </c>
      <c r="T97" s="338"/>
    </row>
    <row r="98" spans="1:20" x14ac:dyDescent="0.25">
      <c r="A98" s="163">
        <v>6</v>
      </c>
      <c r="B98" s="163" t="s">
        <v>144</v>
      </c>
      <c r="C98" s="163" t="s">
        <v>85</v>
      </c>
      <c r="D98" s="163" t="s">
        <v>30</v>
      </c>
      <c r="E98" s="162" t="s">
        <v>85</v>
      </c>
      <c r="F98" s="163" t="s">
        <v>30</v>
      </c>
      <c r="G98" s="163" t="s">
        <v>85</v>
      </c>
      <c r="H98" s="163" t="s">
        <v>30</v>
      </c>
      <c r="I98" s="163" t="s">
        <v>85</v>
      </c>
      <c r="J98" s="163" t="s">
        <v>30</v>
      </c>
      <c r="K98" s="163" t="s">
        <v>85</v>
      </c>
      <c r="L98" s="163" t="s">
        <v>30</v>
      </c>
      <c r="M98" s="163" t="s">
        <v>85</v>
      </c>
      <c r="N98" s="163" t="s">
        <v>30</v>
      </c>
      <c r="O98" s="163" t="s">
        <v>85</v>
      </c>
      <c r="P98" s="163" t="s">
        <v>30</v>
      </c>
      <c r="Q98" s="163" t="s">
        <v>85</v>
      </c>
      <c r="R98" s="41" t="s">
        <v>30</v>
      </c>
      <c r="S98" s="163" t="s">
        <v>85</v>
      </c>
      <c r="T98" s="41" t="s">
        <v>30</v>
      </c>
    </row>
    <row r="99" spans="1:20" x14ac:dyDescent="0.25">
      <c r="A99" s="6" t="s">
        <v>69</v>
      </c>
      <c r="B99" s="10" t="s">
        <v>145</v>
      </c>
      <c r="C99" s="17">
        <v>4.8000000000000001E-2</v>
      </c>
      <c r="D99" s="21">
        <f>C99*D117</f>
        <v>290.03951262649048</v>
      </c>
      <c r="E99" s="52">
        <v>4.9599999999999998E-2</v>
      </c>
      <c r="F99" s="21">
        <f>E99*F117</f>
        <v>318.62701684401532</v>
      </c>
      <c r="G99" s="17">
        <v>4.9599999999999998E-2</v>
      </c>
      <c r="H99" s="21">
        <f>G99*H117</f>
        <v>318.62701684401532</v>
      </c>
      <c r="I99" s="17">
        <v>4.9599999999999998E-2</v>
      </c>
      <c r="J99" s="21">
        <f>I99*J117</f>
        <v>324.09959869937529</v>
      </c>
      <c r="K99" s="17">
        <v>4.9599999999999998E-2</v>
      </c>
      <c r="L99" s="21">
        <f>K99*L117</f>
        <v>348.30845016648311</v>
      </c>
      <c r="M99" s="17">
        <v>4.9599999999999998E-2</v>
      </c>
      <c r="N99" s="21">
        <f>M99*N117</f>
        <v>343.46138769171318</v>
      </c>
      <c r="O99" s="17">
        <v>4.9599999999999998E-2</v>
      </c>
      <c r="P99" s="21">
        <f>O99*P117</f>
        <v>343.46138769171318</v>
      </c>
      <c r="Q99" s="17">
        <v>4.9599999999999998E-2</v>
      </c>
      <c r="R99" s="43">
        <f>Q99*R117</f>
        <v>349.90727298969568</v>
      </c>
      <c r="S99" s="17">
        <v>4.9599999999999998E-2</v>
      </c>
      <c r="T99" s="43">
        <f>S99*T117</f>
        <v>363.69296550393136</v>
      </c>
    </row>
    <row r="100" spans="1:20" x14ac:dyDescent="0.25">
      <c r="A100" s="6" t="s">
        <v>71</v>
      </c>
      <c r="B100" s="10" t="s">
        <v>146</v>
      </c>
      <c r="C100" s="17">
        <v>5.2400000000000002E-2</v>
      </c>
      <c r="D100" s="21">
        <f>C100*D117</f>
        <v>316.62646795058549</v>
      </c>
      <c r="E100" s="52">
        <v>0.05</v>
      </c>
      <c r="F100" s="21">
        <f>E100*F117</f>
        <v>321.19658956049932</v>
      </c>
      <c r="G100" s="17">
        <v>0.05</v>
      </c>
      <c r="H100" s="21">
        <f>G100*H117</f>
        <v>321.19658956049932</v>
      </c>
      <c r="I100" s="17">
        <v>0.05</v>
      </c>
      <c r="J100" s="21">
        <f>I100*J117</f>
        <v>326.71330514049936</v>
      </c>
      <c r="K100" s="17">
        <v>0.05</v>
      </c>
      <c r="L100" s="21">
        <f>K100*L117</f>
        <v>351.11738928072896</v>
      </c>
      <c r="M100" s="17">
        <v>0.05</v>
      </c>
      <c r="N100" s="21">
        <f>M100*N117</f>
        <v>346.23123759245283</v>
      </c>
      <c r="O100" s="17">
        <v>0.05</v>
      </c>
      <c r="P100" s="21">
        <f>O100*P117</f>
        <v>346.23123759245283</v>
      </c>
      <c r="Q100" s="17">
        <v>0.05</v>
      </c>
      <c r="R100" s="43">
        <f>Q100*R117</f>
        <v>352.72910583638685</v>
      </c>
      <c r="S100" s="17">
        <v>0.05</v>
      </c>
      <c r="T100" s="43">
        <f>S100*T117</f>
        <v>366.6259732902534</v>
      </c>
    </row>
    <row r="101" spans="1:20" x14ac:dyDescent="0.25">
      <c r="A101" s="6" t="s">
        <v>73</v>
      </c>
      <c r="B101" s="10" t="s">
        <v>147</v>
      </c>
      <c r="C101" s="24">
        <f>SUM(C102:C105)</f>
        <v>0.10149999999999999</v>
      </c>
      <c r="D101" s="21">
        <f>SUM(D102:D105)</f>
        <v>751.12889976257429</v>
      </c>
      <c r="E101" s="56">
        <f t="shared" ref="E101:R101" si="35">SUM(E102:E105)</f>
        <v>0.10149999999999999</v>
      </c>
      <c r="F101" s="21">
        <f t="shared" si="35"/>
        <v>797.96457747119848</v>
      </c>
      <c r="G101" s="24">
        <f t="shared" si="35"/>
        <v>0.10149999999999999</v>
      </c>
      <c r="H101" s="21">
        <f t="shared" si="35"/>
        <v>797.96457747119848</v>
      </c>
      <c r="I101" s="24">
        <f t="shared" si="35"/>
        <v>0.10149999999999999</v>
      </c>
      <c r="J101" s="21">
        <f t="shared" si="35"/>
        <v>811.67002690591073</v>
      </c>
      <c r="K101" s="24">
        <f t="shared" si="35"/>
        <v>0.10149999999999999</v>
      </c>
      <c r="L101" s="21">
        <f t="shared" si="35"/>
        <v>872.29830043825473</v>
      </c>
      <c r="M101" s="24">
        <f t="shared" si="35"/>
        <v>0.10149999999999999</v>
      </c>
      <c r="N101" s="21">
        <f t="shared" si="35"/>
        <v>860.15939207459314</v>
      </c>
      <c r="O101" s="24">
        <f t="shared" si="35"/>
        <v>0.10149999999999999</v>
      </c>
      <c r="P101" s="21">
        <f t="shared" si="35"/>
        <v>860.15939207459314</v>
      </c>
      <c r="Q101" s="24">
        <f t="shared" si="35"/>
        <v>0.10149999999999999</v>
      </c>
      <c r="R101" s="43">
        <f t="shared" si="35"/>
        <v>876.30236761125502</v>
      </c>
      <c r="S101" s="24">
        <f t="shared" ref="S101:T101" si="36">SUM(S102:S105)</f>
        <v>0.10149999999999999</v>
      </c>
      <c r="T101" s="43">
        <f t="shared" si="36"/>
        <v>910.82704292356607</v>
      </c>
    </row>
    <row r="102" spans="1:20" x14ac:dyDescent="0.25">
      <c r="A102" s="6" t="s">
        <v>148</v>
      </c>
      <c r="B102" s="10" t="s">
        <v>149</v>
      </c>
      <c r="C102" s="24">
        <v>6.4999999999999997E-3</v>
      </c>
      <c r="D102" s="21">
        <f>((D117+D99+D100)/(1-$C$101))*C102</f>
        <v>48.101850723711649</v>
      </c>
      <c r="E102" s="56">
        <v>6.4999999999999997E-3</v>
      </c>
      <c r="F102" s="21">
        <f>((F117+F99+F100)/(1-$C$101))*E102</f>
        <v>51.101179838057043</v>
      </c>
      <c r="G102" s="24">
        <v>6.4999999999999997E-3</v>
      </c>
      <c r="H102" s="21">
        <f>((H117+H99+H100)/(1-$C$101))*G102</f>
        <v>51.101179838057043</v>
      </c>
      <c r="I102" s="24">
        <v>6.4999999999999997E-3</v>
      </c>
      <c r="J102" s="21">
        <f>((J117+J99+J100)/(1-$C$101))*I102</f>
        <v>51.978868718112508</v>
      </c>
      <c r="K102" s="24">
        <v>6.4999999999999997E-3</v>
      </c>
      <c r="L102" s="21">
        <f>((L117+L99+L100)/(1-$C$101))*K102</f>
        <v>55.861467515750306</v>
      </c>
      <c r="M102" s="24">
        <v>6.4999999999999997E-3</v>
      </c>
      <c r="N102" s="21">
        <f>((N117+N99+N100)/(1-$C$101))*M102</f>
        <v>55.084098999850795</v>
      </c>
      <c r="O102" s="24">
        <v>6.4999999999999997E-3</v>
      </c>
      <c r="P102" s="21">
        <f>((P117+P99+P100)/(1-$C$101))*O102</f>
        <v>55.084098999850795</v>
      </c>
      <c r="Q102" s="24">
        <v>6.4999999999999997E-3</v>
      </c>
      <c r="R102" s="43">
        <f>((R117+R99+R100)/(1-$C$101))*Q102</f>
        <v>56.117885610572984</v>
      </c>
      <c r="S102" s="24">
        <v>6.4999999999999997E-3</v>
      </c>
      <c r="T102" s="43">
        <f>((T117+T99+T100)/(1-$C$101))*S102</f>
        <v>58.328825408898318</v>
      </c>
    </row>
    <row r="103" spans="1:20" x14ac:dyDescent="0.25">
      <c r="A103" s="6" t="s">
        <v>150</v>
      </c>
      <c r="B103" s="10" t="s">
        <v>151</v>
      </c>
      <c r="C103" s="24">
        <v>0.03</v>
      </c>
      <c r="D103" s="21">
        <f>((D117+D99+D100)/(1-$C$101))*C103</f>
        <v>222.00854180174605</v>
      </c>
      <c r="E103" s="56">
        <v>0.03</v>
      </c>
      <c r="F103" s="21">
        <f>((F117+F99+F100)/(1-$C$101))*E103</f>
        <v>235.85159925257096</v>
      </c>
      <c r="G103" s="24">
        <v>0.03</v>
      </c>
      <c r="H103" s="21">
        <f>((H117+H99+H100)/(1-$C$101))*G103</f>
        <v>235.85159925257096</v>
      </c>
      <c r="I103" s="24">
        <v>0.03</v>
      </c>
      <c r="J103" s="21">
        <f>((J117+J99+J100)/(1-$C$101))*I103</f>
        <v>239.90247100667312</v>
      </c>
      <c r="K103" s="24">
        <v>0.03</v>
      </c>
      <c r="L103" s="21">
        <f>((L117+L99+L100)/(1-$C$101))*K103</f>
        <v>257.82215776500141</v>
      </c>
      <c r="M103" s="24">
        <v>0.03</v>
      </c>
      <c r="N103" s="21">
        <f>((N117+N99+N100)/(1-$C$101))*M103</f>
        <v>254.23430307623443</v>
      </c>
      <c r="O103" s="24">
        <v>0.03</v>
      </c>
      <c r="P103" s="21">
        <f>((P117+P99+P100)/(1-$C$101))*O103</f>
        <v>254.23430307623443</v>
      </c>
      <c r="Q103" s="24">
        <v>0.03</v>
      </c>
      <c r="R103" s="43">
        <f>((R117+R99+R100)/(1-$C$101))*Q103</f>
        <v>259.00562589495223</v>
      </c>
      <c r="S103" s="24">
        <v>0.03</v>
      </c>
      <c r="T103" s="43">
        <f>((T117+T99+T100)/(1-$C$101))*S103</f>
        <v>269.20996342568458</v>
      </c>
    </row>
    <row r="104" spans="1:20" x14ac:dyDescent="0.25">
      <c r="A104" s="6" t="s">
        <v>152</v>
      </c>
      <c r="B104" s="10" t="s">
        <v>153</v>
      </c>
      <c r="C104" s="24">
        <v>0.02</v>
      </c>
      <c r="D104" s="21">
        <f>((D117+D99+D100)/(1-$C$101))*C104</f>
        <v>148.00569453449739</v>
      </c>
      <c r="E104" s="56">
        <v>0.02</v>
      </c>
      <c r="F104" s="21">
        <f>((F117+F99+F100)/(1-$C$101))*E104</f>
        <v>157.23439950171399</v>
      </c>
      <c r="G104" s="24">
        <v>0.02</v>
      </c>
      <c r="H104" s="21">
        <f>((H117+H99+H100)/(1-$C$101))*G104</f>
        <v>157.23439950171399</v>
      </c>
      <c r="I104" s="24">
        <v>0.02</v>
      </c>
      <c r="J104" s="21">
        <f>((J117+J99+J100)/(1-$C$101))*I104</f>
        <v>159.93498067111543</v>
      </c>
      <c r="K104" s="24">
        <v>0.02</v>
      </c>
      <c r="L104" s="21">
        <f>((L117+L99+L100)/(1-$C$101))*K104</f>
        <v>171.88143851000095</v>
      </c>
      <c r="M104" s="24">
        <v>0.02</v>
      </c>
      <c r="N104" s="21">
        <f>((N117+N99+N100)/(1-$C$101))*M104</f>
        <v>169.48953538415631</v>
      </c>
      <c r="O104" s="24">
        <v>0.02</v>
      </c>
      <c r="P104" s="21">
        <f>((P117+P99+P100)/(1-$C$101))*O104</f>
        <v>169.48953538415631</v>
      </c>
      <c r="Q104" s="24">
        <v>0.02</v>
      </c>
      <c r="R104" s="43">
        <f>((R117+R99+R100)/(1-$C$101))*Q104</f>
        <v>172.67041726330149</v>
      </c>
      <c r="S104" s="24">
        <v>0.02</v>
      </c>
      <c r="T104" s="43">
        <f>((T117+T99+T100)/(1-$C$101))*S104</f>
        <v>179.47330895045638</v>
      </c>
    </row>
    <row r="105" spans="1:20" x14ac:dyDescent="0.25">
      <c r="A105" s="6" t="s">
        <v>75</v>
      </c>
      <c r="B105" s="8" t="s">
        <v>154</v>
      </c>
      <c r="C105" s="17">
        <v>4.4999999999999998E-2</v>
      </c>
      <c r="D105" s="12">
        <f>((D117+D99+D100)/(1-$C$101))*C105</f>
        <v>333.0128127026191</v>
      </c>
      <c r="E105" s="52">
        <v>4.4999999999999998E-2</v>
      </c>
      <c r="F105" s="12">
        <f>((F117+F99+F100)/(1-$C$101))*E105</f>
        <v>353.77739887885645</v>
      </c>
      <c r="G105" s="17">
        <v>4.4999999999999998E-2</v>
      </c>
      <c r="H105" s="12">
        <f>((H117+H99+H100)/(1-$C$101))*G105</f>
        <v>353.77739887885645</v>
      </c>
      <c r="I105" s="17">
        <v>4.4999999999999998E-2</v>
      </c>
      <c r="J105" s="12">
        <f>((J117+J99+J100)/(1-$C$101))*I105</f>
        <v>359.85370651000972</v>
      </c>
      <c r="K105" s="17">
        <v>4.4999999999999998E-2</v>
      </c>
      <c r="L105" s="12">
        <f>((L117+L99+L100)/(1-$C$101))*K105</f>
        <v>386.73323664750211</v>
      </c>
      <c r="M105" s="17">
        <v>4.4999999999999998E-2</v>
      </c>
      <c r="N105" s="12">
        <f>((N117+N99+N100)/(1-$C$101))*M105</f>
        <v>381.35145461435167</v>
      </c>
      <c r="O105" s="17">
        <v>4.4999999999999998E-2</v>
      </c>
      <c r="P105" s="12">
        <f>((P117+P99+P100)/(1-$C$101))*O105</f>
        <v>381.35145461435167</v>
      </c>
      <c r="Q105" s="17">
        <v>4.4999999999999998E-2</v>
      </c>
      <c r="R105" s="42">
        <f>((R117+R99+R100)/(1-$C$101))*Q105</f>
        <v>388.50843884242835</v>
      </c>
      <c r="S105" s="17">
        <v>4.4999999999999998E-2</v>
      </c>
      <c r="T105" s="42">
        <f>((T117+T99+T100)/(1-$C$101))*S105</f>
        <v>403.81494513852681</v>
      </c>
    </row>
    <row r="106" spans="1:20" x14ac:dyDescent="0.25">
      <c r="A106" s="340" t="s">
        <v>32</v>
      </c>
      <c r="B106" s="340"/>
      <c r="C106" s="29">
        <f>SUM(C99:C101)</f>
        <v>0.2019</v>
      </c>
      <c r="D106" s="23">
        <f>D99+D100+D101</f>
        <v>1357.7948803396503</v>
      </c>
      <c r="E106" s="57">
        <f>SUM(E99:E101)</f>
        <v>0.2011</v>
      </c>
      <c r="F106" s="23">
        <f>F99+F100+F101</f>
        <v>1437.788183875713</v>
      </c>
      <c r="G106" s="29">
        <f>SUM(G99:G101)</f>
        <v>0.2011</v>
      </c>
      <c r="H106" s="23">
        <f>H99+H100+H101</f>
        <v>1437.788183875713</v>
      </c>
      <c r="I106" s="29">
        <f>SUM(I99:I101)</f>
        <v>0.2011</v>
      </c>
      <c r="J106" s="23">
        <f>J99+J100+J101</f>
        <v>1462.4829307457853</v>
      </c>
      <c r="K106" s="29">
        <f>SUM(K99:K101)</f>
        <v>0.2011</v>
      </c>
      <c r="L106" s="23">
        <f>L99+L100+L101</f>
        <v>1571.7241398854667</v>
      </c>
      <c r="M106" s="29">
        <f>SUM(M99:M101)</f>
        <v>0.2011</v>
      </c>
      <c r="N106" s="23">
        <f>N99+N100+N101</f>
        <v>1549.8520173587592</v>
      </c>
      <c r="O106" s="29">
        <f>SUM(O99:O101)</f>
        <v>0.2011</v>
      </c>
      <c r="P106" s="23">
        <f>P99+P100+P101</f>
        <v>1549.8520173587592</v>
      </c>
      <c r="Q106" s="29">
        <f>SUM(Q99:Q101)</f>
        <v>0.2011</v>
      </c>
      <c r="R106" s="169">
        <f>R99+R100+R101</f>
        <v>1578.9387464373376</v>
      </c>
      <c r="S106" s="29">
        <f>SUM(S99:S101)</f>
        <v>0.2011</v>
      </c>
      <c r="T106" s="169">
        <f>T99+T100+T101</f>
        <v>1641.1459817177508</v>
      </c>
    </row>
    <row r="107" spans="1:20" ht="15" customHeight="1" x14ac:dyDescent="0.25">
      <c r="A107" s="355" t="s">
        <v>155</v>
      </c>
      <c r="B107" s="355"/>
      <c r="C107" s="355"/>
      <c r="D107" s="355"/>
      <c r="E107" s="55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39"/>
      <c r="S107" s="10"/>
      <c r="T107" s="139"/>
    </row>
    <row r="108" spans="1:20" ht="30" customHeight="1" x14ac:dyDescent="0.25">
      <c r="A108" s="355" t="s">
        <v>156</v>
      </c>
      <c r="B108" s="355"/>
      <c r="C108" s="355"/>
      <c r="D108" s="355"/>
      <c r="E108" s="55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39"/>
      <c r="S108" s="10"/>
      <c r="T108" s="139"/>
    </row>
    <row r="109" spans="1:20" x14ac:dyDescent="0.25">
      <c r="E109" s="55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39"/>
      <c r="S109" s="10"/>
      <c r="T109" s="139"/>
    </row>
    <row r="110" spans="1:20" ht="15" customHeight="1" x14ac:dyDescent="0.25">
      <c r="A110" s="276" t="s">
        <v>157</v>
      </c>
      <c r="B110" s="276"/>
      <c r="C110" s="276"/>
      <c r="D110" s="276"/>
      <c r="E110" s="5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39"/>
      <c r="S110" s="10"/>
      <c r="T110" s="139"/>
    </row>
    <row r="111" spans="1:20" x14ac:dyDescent="0.25">
      <c r="A111" s="341" t="s">
        <v>158</v>
      </c>
      <c r="B111" s="350"/>
      <c r="C111" s="343"/>
      <c r="D111" s="163" t="s">
        <v>30</v>
      </c>
      <c r="E111" s="55"/>
      <c r="F111" s="163" t="s">
        <v>30</v>
      </c>
      <c r="G111" s="10"/>
      <c r="H111" s="163" t="s">
        <v>30</v>
      </c>
      <c r="I111" s="10"/>
      <c r="J111" s="163" t="s">
        <v>30</v>
      </c>
      <c r="K111" s="10"/>
      <c r="L111" s="163" t="s">
        <v>30</v>
      </c>
      <c r="M111" s="10"/>
      <c r="N111" s="163" t="s">
        <v>30</v>
      </c>
      <c r="O111" s="10"/>
      <c r="P111" s="163" t="s">
        <v>30</v>
      </c>
      <c r="Q111" s="10"/>
      <c r="R111" s="41" t="s">
        <v>30</v>
      </c>
      <c r="S111" s="10"/>
      <c r="T111" s="41" t="s">
        <v>30</v>
      </c>
    </row>
    <row r="112" spans="1:20" x14ac:dyDescent="0.25">
      <c r="A112" s="6" t="s">
        <v>69</v>
      </c>
      <c r="B112" s="320" t="s">
        <v>67</v>
      </c>
      <c r="C112" s="320"/>
      <c r="D112" s="21">
        <f>D18</f>
        <v>3511.21</v>
      </c>
      <c r="E112" s="55"/>
      <c r="F112" s="21">
        <f>F18</f>
        <v>3748.57</v>
      </c>
      <c r="G112" s="10"/>
      <c r="H112" s="21">
        <f>H18</f>
        <v>3748.57</v>
      </c>
      <c r="I112" s="10"/>
      <c r="J112" s="21">
        <f>J18</f>
        <v>3748.57</v>
      </c>
      <c r="K112" s="10"/>
      <c r="L112" s="21">
        <f>L18</f>
        <v>4112.18</v>
      </c>
      <c r="M112" s="10"/>
      <c r="N112" s="21">
        <f>N18</f>
        <v>4112.18</v>
      </c>
      <c r="O112" s="10"/>
      <c r="P112" s="21">
        <f>P18</f>
        <v>4112.18</v>
      </c>
      <c r="Q112" s="10"/>
      <c r="R112" s="43">
        <f>R18</f>
        <v>4203.2700000000004</v>
      </c>
      <c r="S112" s="10"/>
      <c r="T112" s="43">
        <f>T18</f>
        <v>4378.97</v>
      </c>
    </row>
    <row r="113" spans="1:20" x14ac:dyDescent="0.25">
      <c r="A113" s="6" t="s">
        <v>71</v>
      </c>
      <c r="B113" s="320" t="s">
        <v>81</v>
      </c>
      <c r="C113" s="320"/>
      <c r="D113" s="21">
        <f>D52</f>
        <v>2177.3371380520002</v>
      </c>
      <c r="E113" s="67"/>
      <c r="F113" s="21">
        <f>F52</f>
        <v>2299.9113544840002</v>
      </c>
      <c r="G113" s="65"/>
      <c r="H113" s="21">
        <f>H52</f>
        <v>2299.9113544840002</v>
      </c>
      <c r="I113" s="65"/>
      <c r="J113" s="21">
        <f>J52</f>
        <v>2410.2456660840003</v>
      </c>
      <c r="K113" s="65"/>
      <c r="L113" s="21">
        <f>L52</f>
        <v>2501.769821416</v>
      </c>
      <c r="M113" s="65"/>
      <c r="N113" s="21">
        <f>N52</f>
        <v>2501.769821416</v>
      </c>
      <c r="O113" s="65"/>
      <c r="P113" s="21">
        <f>P52</f>
        <v>2501.769821416</v>
      </c>
      <c r="Q113" s="65"/>
      <c r="R113" s="43">
        <f>R52</f>
        <v>2534.5960201240005</v>
      </c>
      <c r="S113" s="65"/>
      <c r="T113" s="43">
        <f>T52</f>
        <v>2625.180795964</v>
      </c>
    </row>
    <row r="114" spans="1:20" x14ac:dyDescent="0.25">
      <c r="A114" s="6" t="s">
        <v>73</v>
      </c>
      <c r="B114" s="320" t="s">
        <v>110</v>
      </c>
      <c r="C114" s="320"/>
      <c r="D114" s="21">
        <f>D62</f>
        <v>263.26617168611847</v>
      </c>
      <c r="E114" s="68"/>
      <c r="F114" s="21">
        <f>F62</f>
        <v>281.06313014528695</v>
      </c>
      <c r="G114" s="66"/>
      <c r="H114" s="21">
        <f>H62</f>
        <v>281.06313014528695</v>
      </c>
      <c r="I114" s="66"/>
      <c r="J114" s="21">
        <f>J62</f>
        <v>281.06313014528695</v>
      </c>
      <c r="K114" s="66"/>
      <c r="L114" s="21">
        <f>L62</f>
        <v>308.32615704677949</v>
      </c>
      <c r="M114" s="66"/>
      <c r="N114" s="21">
        <f>N62</f>
        <v>208.43546328125609</v>
      </c>
      <c r="O114" s="66"/>
      <c r="P114" s="21">
        <f>P62</f>
        <v>208.43546328125609</v>
      </c>
      <c r="Q114" s="66"/>
      <c r="R114" s="43">
        <f>R62</f>
        <v>213.05257302603619</v>
      </c>
      <c r="S114" s="66"/>
      <c r="T114" s="43">
        <f>T62</f>
        <v>221.95833855636721</v>
      </c>
    </row>
    <row r="115" spans="1:20" x14ac:dyDescent="0.25">
      <c r="A115" s="6" t="s">
        <v>75</v>
      </c>
      <c r="B115" s="320" t="s">
        <v>118</v>
      </c>
      <c r="C115" s="320"/>
      <c r="D115" s="21">
        <f>D86</f>
        <v>54.892536647100009</v>
      </c>
      <c r="E115" s="68"/>
      <c r="F115" s="21">
        <f>F86</f>
        <v>58.603306580700007</v>
      </c>
      <c r="G115" s="66"/>
      <c r="H115" s="21">
        <f>H86</f>
        <v>58.603306580700007</v>
      </c>
      <c r="I115" s="66"/>
      <c r="J115" s="21">
        <f>J86</f>
        <v>58.603306580700007</v>
      </c>
      <c r="K115" s="66"/>
      <c r="L115" s="21">
        <f>L86</f>
        <v>64.287807151799996</v>
      </c>
      <c r="M115" s="66"/>
      <c r="N115" s="21">
        <f>N86</f>
        <v>64.287807151799996</v>
      </c>
      <c r="O115" s="66"/>
      <c r="P115" s="21">
        <f>P86</f>
        <v>64.287807151799996</v>
      </c>
      <c r="Q115" s="66"/>
      <c r="R115" s="43">
        <f>R86</f>
        <v>65.711863577700001</v>
      </c>
      <c r="S115" s="66"/>
      <c r="T115" s="43">
        <f>T86</f>
        <v>68.458671284700003</v>
      </c>
    </row>
    <row r="116" spans="1:20" x14ac:dyDescent="0.25">
      <c r="A116" s="6" t="s">
        <v>77</v>
      </c>
      <c r="B116" s="320" t="s">
        <v>136</v>
      </c>
      <c r="C116" s="320"/>
      <c r="D116" s="12">
        <f>Uniforme!G14</f>
        <v>35.783999999999999</v>
      </c>
      <c r="E116" s="55"/>
      <c r="F116" s="12">
        <f>F94</f>
        <v>35.783999999999999</v>
      </c>
      <c r="G116" s="10"/>
      <c r="H116" s="12">
        <f>H94</f>
        <v>35.783999999999999</v>
      </c>
      <c r="I116" s="10"/>
      <c r="J116" s="12">
        <f>J94</f>
        <v>35.783999999999999</v>
      </c>
      <c r="K116" s="10"/>
      <c r="L116" s="12">
        <f>L94</f>
        <v>35.783999999999999</v>
      </c>
      <c r="M116" s="10"/>
      <c r="N116" s="12">
        <f>N94</f>
        <v>37.951659999999997</v>
      </c>
      <c r="O116" s="10"/>
      <c r="P116" s="12">
        <f>P94</f>
        <v>37.951659999999997</v>
      </c>
      <c r="Q116" s="10"/>
      <c r="R116" s="42">
        <f>R94</f>
        <v>37.951659999999997</v>
      </c>
      <c r="S116" s="10"/>
      <c r="T116" s="42">
        <f>T94</f>
        <v>37.951659999999997</v>
      </c>
    </row>
    <row r="117" spans="1:20" x14ac:dyDescent="0.25">
      <c r="A117" s="340" t="s">
        <v>159</v>
      </c>
      <c r="B117" s="340"/>
      <c r="C117" s="340"/>
      <c r="D117" s="23">
        <f>SUM(D112:D116)</f>
        <v>6042.4898463852187</v>
      </c>
      <c r="E117" s="150"/>
      <c r="F117" s="23">
        <f>SUM(F112:F116)</f>
        <v>6423.9317912099859</v>
      </c>
      <c r="G117" s="12"/>
      <c r="H117" s="23">
        <f>SUM(H112:H116)</f>
        <v>6423.9317912099859</v>
      </c>
      <c r="I117" s="12"/>
      <c r="J117" s="23">
        <f>SUM(J112:J116)</f>
        <v>6534.2661028099865</v>
      </c>
      <c r="K117" s="12"/>
      <c r="L117" s="23">
        <f>SUM(L112:L116)</f>
        <v>7022.3477856145792</v>
      </c>
      <c r="M117" s="12"/>
      <c r="N117" s="23">
        <f>SUM(N112:N116)</f>
        <v>6924.6247518490563</v>
      </c>
      <c r="O117" s="12"/>
      <c r="P117" s="23">
        <f>SUM(P112:P116)</f>
        <v>6924.6247518490563</v>
      </c>
      <c r="Q117" s="12"/>
      <c r="R117" s="169">
        <f>SUM(R112:R116)</f>
        <v>7054.5821167277363</v>
      </c>
      <c r="S117" s="12"/>
      <c r="T117" s="169">
        <f>SUM(T112:T116)</f>
        <v>7332.5194658050677</v>
      </c>
    </row>
    <row r="118" spans="1:20" x14ac:dyDescent="0.25">
      <c r="A118" s="6" t="s">
        <v>79</v>
      </c>
      <c r="B118" s="312" t="s">
        <v>141</v>
      </c>
      <c r="C118" s="312"/>
      <c r="D118" s="12">
        <f>D106</f>
        <v>1357.7948803396503</v>
      </c>
      <c r="E118" s="150"/>
      <c r="F118" s="12">
        <f>F106</f>
        <v>1437.788183875713</v>
      </c>
      <c r="G118" s="12"/>
      <c r="H118" s="12">
        <f>H106</f>
        <v>1437.788183875713</v>
      </c>
      <c r="I118" s="12"/>
      <c r="J118" s="12">
        <f>J106</f>
        <v>1462.4829307457853</v>
      </c>
      <c r="K118" s="12"/>
      <c r="L118" s="12">
        <f>L106</f>
        <v>1571.7241398854667</v>
      </c>
      <c r="M118" s="12"/>
      <c r="N118" s="12">
        <f>N106</f>
        <v>1549.8520173587592</v>
      </c>
      <c r="O118" s="12"/>
      <c r="P118" s="12">
        <f>P106</f>
        <v>1549.8520173587592</v>
      </c>
      <c r="Q118" s="12"/>
      <c r="R118" s="42">
        <f>R106</f>
        <v>1578.9387464373376</v>
      </c>
      <c r="S118" s="12"/>
      <c r="T118" s="42">
        <f>T106</f>
        <v>1641.1459817177508</v>
      </c>
    </row>
    <row r="119" spans="1:20" ht="15.75" thickBot="1" x14ac:dyDescent="0.3">
      <c r="A119" s="340" t="s">
        <v>160</v>
      </c>
      <c r="B119" s="340"/>
      <c r="C119" s="340"/>
      <c r="D119" s="23">
        <f>SUM(D117:D118)</f>
        <v>7400.284726724869</v>
      </c>
      <c r="E119" s="151"/>
      <c r="F119" s="69">
        <f>SUM(F117:F118)</f>
        <v>7861.7199750856989</v>
      </c>
      <c r="G119" s="152"/>
      <c r="H119" s="69">
        <f>SUM(H117:H118)</f>
        <v>7861.7199750856989</v>
      </c>
      <c r="I119" s="152"/>
      <c r="J119" s="69">
        <f>SUM(J117:J118)</f>
        <v>7996.7490335557723</v>
      </c>
      <c r="K119" s="152"/>
      <c r="L119" s="69">
        <f>SUM(L117:L118)</f>
        <v>8594.0719255000458</v>
      </c>
      <c r="M119" s="152"/>
      <c r="N119" s="69">
        <f>SUM(N117:N118)</f>
        <v>8474.4767692078149</v>
      </c>
      <c r="O119" s="152"/>
      <c r="P119" s="69">
        <f>SUM(P117:P118)</f>
        <v>8474.4767692078149</v>
      </c>
      <c r="Q119" s="152"/>
      <c r="R119" s="178">
        <f>SUM(R117:R118)</f>
        <v>8633.5208631650748</v>
      </c>
      <c r="S119" s="152"/>
      <c r="T119" s="178">
        <f>SUM(T117:T118)</f>
        <v>8973.6654475228188</v>
      </c>
    </row>
  </sheetData>
  <mergeCells count="130">
    <mergeCell ref="O97:P97"/>
    <mergeCell ref="Q97:R97"/>
    <mergeCell ref="E97:F97"/>
    <mergeCell ref="G97:H97"/>
    <mergeCell ref="I97:J97"/>
    <mergeCell ref="K97:L97"/>
    <mergeCell ref="M97:N97"/>
    <mergeCell ref="O8:P8"/>
    <mergeCell ref="Q8:R8"/>
    <mergeCell ref="E9:F9"/>
    <mergeCell ref="G9:H9"/>
    <mergeCell ref="I9:J9"/>
    <mergeCell ref="K9:L9"/>
    <mergeCell ref="M9:N9"/>
    <mergeCell ref="O9:P9"/>
    <mergeCell ref="Q9:R9"/>
    <mergeCell ref="E8:F8"/>
    <mergeCell ref="G8:H8"/>
    <mergeCell ref="I8:J8"/>
    <mergeCell ref="K8:L8"/>
    <mergeCell ref="M8:N8"/>
    <mergeCell ref="O6:P6"/>
    <mergeCell ref="Q6:R6"/>
    <mergeCell ref="E7:F7"/>
    <mergeCell ref="G7:H7"/>
    <mergeCell ref="I7:J7"/>
    <mergeCell ref="K7:L7"/>
    <mergeCell ref="M7:N7"/>
    <mergeCell ref="O7:P7"/>
    <mergeCell ref="Q7:R7"/>
    <mergeCell ref="E6:F6"/>
    <mergeCell ref="G6:H6"/>
    <mergeCell ref="I6:J6"/>
    <mergeCell ref="K6:L6"/>
    <mergeCell ref="M6:N6"/>
    <mergeCell ref="O4:P4"/>
    <mergeCell ref="Q4:R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E1:R2"/>
    <mergeCell ref="E3:F3"/>
    <mergeCell ref="G3:H3"/>
    <mergeCell ref="I3:J3"/>
    <mergeCell ref="K3:L3"/>
    <mergeCell ref="M3:N3"/>
    <mergeCell ref="O3:P3"/>
    <mergeCell ref="Q3:R3"/>
    <mergeCell ref="A117:C117"/>
    <mergeCell ref="B91:C91"/>
    <mergeCell ref="B92:C92"/>
    <mergeCell ref="B93:C93"/>
    <mergeCell ref="A94:C94"/>
    <mergeCell ref="A96:D96"/>
    <mergeCell ref="B84:C84"/>
    <mergeCell ref="A86:C86"/>
    <mergeCell ref="A88:D88"/>
    <mergeCell ref="B89:C89"/>
    <mergeCell ref="B90:C90"/>
    <mergeCell ref="A75:B75"/>
    <mergeCell ref="A77:D77"/>
    <mergeCell ref="A80:B80"/>
    <mergeCell ref="A82:D82"/>
    <mergeCell ref="B83:C83"/>
    <mergeCell ref="B118:C118"/>
    <mergeCell ref="A119:C119"/>
    <mergeCell ref="B112:C112"/>
    <mergeCell ref="B113:C113"/>
    <mergeCell ref="B114:C114"/>
    <mergeCell ref="B115:C115"/>
    <mergeCell ref="B116:C116"/>
    <mergeCell ref="A97:B97"/>
    <mergeCell ref="C97:D97"/>
    <mergeCell ref="A106:B106"/>
    <mergeCell ref="A110:D110"/>
    <mergeCell ref="A111:C111"/>
    <mergeCell ref="A108:D108"/>
    <mergeCell ref="A107:D107"/>
    <mergeCell ref="A54:D54"/>
    <mergeCell ref="A62:B62"/>
    <mergeCell ref="A64:D64"/>
    <mergeCell ref="A67:D67"/>
    <mergeCell ref="A65:D65"/>
    <mergeCell ref="B48:C48"/>
    <mergeCell ref="B49:C49"/>
    <mergeCell ref="B50:C50"/>
    <mergeCell ref="B51:C51"/>
    <mergeCell ref="A52:C52"/>
    <mergeCell ref="A37:B37"/>
    <mergeCell ref="A39:D39"/>
    <mergeCell ref="A45:C45"/>
    <mergeCell ref="A47:D47"/>
    <mergeCell ref="B17:C17"/>
    <mergeCell ref="A18:C18"/>
    <mergeCell ref="A20:D20"/>
    <mergeCell ref="A21:D21"/>
    <mergeCell ref="A25:B25"/>
    <mergeCell ref="S3:T3"/>
    <mergeCell ref="S4:T4"/>
    <mergeCell ref="S5:T5"/>
    <mergeCell ref="S6:T6"/>
    <mergeCell ref="S7:T7"/>
    <mergeCell ref="S8:T8"/>
    <mergeCell ref="S9:T9"/>
    <mergeCell ref="S97:T97"/>
    <mergeCell ref="A1:D1"/>
    <mergeCell ref="A2:D2"/>
    <mergeCell ref="C3:D3"/>
    <mergeCell ref="C4:D4"/>
    <mergeCell ref="C5:D5"/>
    <mergeCell ref="B12:C12"/>
    <mergeCell ref="B13:C13"/>
    <mergeCell ref="B14:C14"/>
    <mergeCell ref="B15:C15"/>
    <mergeCell ref="B16:C16"/>
    <mergeCell ref="C6:D6"/>
    <mergeCell ref="C7:D7"/>
    <mergeCell ref="C8:D8"/>
    <mergeCell ref="A10:D10"/>
    <mergeCell ref="B11:C11"/>
    <mergeCell ref="A27:D27"/>
  </mergeCells>
  <pageMargins left="0.511811024" right="0.511811024" top="0.78740157499999996" bottom="0.78740157499999996" header="0.31496062000000002" footer="0.31496062000000002"/>
  <pageSetup paperSize="9" scale="88" orientation="portrait" r:id="rId1"/>
  <rowBreaks count="2" manualBreakCount="2">
    <brk id="46" max="3" man="1"/>
    <brk id="9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19"/>
  <sheetViews>
    <sheetView topLeftCell="F1" zoomScaleNormal="100" zoomScaleSheetLayoutView="100" workbookViewId="0">
      <selection activeCell="T12" sqref="T12"/>
    </sheetView>
  </sheetViews>
  <sheetFormatPr defaultRowHeight="15" x14ac:dyDescent="0.25"/>
  <cols>
    <col min="1" max="1" width="4.7109375" style="9" bestFit="1" customWidth="1"/>
    <col min="2" max="2" width="84.7109375" style="9" bestFit="1" customWidth="1"/>
    <col min="3" max="3" width="10.5703125" style="9" bestFit="1" customWidth="1"/>
    <col min="4" max="4" width="11.7109375" style="9" bestFit="1" customWidth="1"/>
    <col min="5" max="18" width="15.7109375" style="9" customWidth="1"/>
    <col min="19" max="20" width="15.7109375" style="180" customWidth="1"/>
    <col min="21" max="21" width="10.7109375" style="9" bestFit="1" customWidth="1"/>
    <col min="22" max="16384" width="9.140625" style="9"/>
  </cols>
  <sheetData>
    <row r="1" spans="1:21" x14ac:dyDescent="0.25">
      <c r="A1" s="362" t="s">
        <v>161</v>
      </c>
      <c r="B1" s="362"/>
      <c r="C1" s="362"/>
      <c r="D1" s="362"/>
      <c r="E1" s="292" t="s">
        <v>46</v>
      </c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4"/>
      <c r="S1" s="179"/>
      <c r="T1" s="179"/>
    </row>
    <row r="2" spans="1:21" ht="15.75" thickBot="1" x14ac:dyDescent="0.3">
      <c r="A2" s="340" t="s">
        <v>47</v>
      </c>
      <c r="B2" s="340"/>
      <c r="C2" s="340"/>
      <c r="D2" s="340"/>
      <c r="E2" s="295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7"/>
      <c r="S2" s="179"/>
      <c r="T2" s="179"/>
    </row>
    <row r="3" spans="1:21" ht="80.099999999999994" customHeight="1" x14ac:dyDescent="0.25">
      <c r="A3" s="6">
        <v>1</v>
      </c>
      <c r="B3" s="7" t="s">
        <v>48</v>
      </c>
      <c r="C3" s="360" t="s">
        <v>15</v>
      </c>
      <c r="D3" s="360"/>
      <c r="E3" s="360" t="s">
        <v>15</v>
      </c>
      <c r="F3" s="360"/>
      <c r="G3" s="305"/>
      <c r="H3" s="306"/>
      <c r="I3" s="360" t="s">
        <v>15</v>
      </c>
      <c r="J3" s="360"/>
      <c r="K3" s="307"/>
      <c r="L3" s="307"/>
      <c r="M3" s="307"/>
      <c r="N3" s="307"/>
      <c r="O3" s="307"/>
      <c r="P3" s="307"/>
      <c r="Q3" s="307"/>
      <c r="R3" s="308"/>
      <c r="S3" s="360" t="s">
        <v>15</v>
      </c>
      <c r="T3" s="360"/>
    </row>
    <row r="4" spans="1:21" x14ac:dyDescent="0.25">
      <c r="A4" s="155">
        <v>2</v>
      </c>
      <c r="B4" s="8" t="s">
        <v>50</v>
      </c>
      <c r="C4" s="312" t="s">
        <v>16</v>
      </c>
      <c r="D4" s="312"/>
      <c r="E4" s="312" t="s">
        <v>16</v>
      </c>
      <c r="F4" s="312"/>
      <c r="G4" s="298"/>
      <c r="H4" s="299"/>
      <c r="I4" s="312" t="s">
        <v>16</v>
      </c>
      <c r="J4" s="312"/>
      <c r="K4" s="309"/>
      <c r="L4" s="309"/>
      <c r="M4" s="309"/>
      <c r="N4" s="309"/>
      <c r="O4" s="309"/>
      <c r="P4" s="309"/>
      <c r="Q4" s="309"/>
      <c r="R4" s="317"/>
      <c r="S4" s="312" t="s">
        <v>16</v>
      </c>
      <c r="T4" s="312"/>
    </row>
    <row r="5" spans="1:21" x14ac:dyDescent="0.25">
      <c r="A5" s="155">
        <v>3</v>
      </c>
      <c r="B5" s="8" t="s">
        <v>51</v>
      </c>
      <c r="C5" s="361">
        <v>1175.42</v>
      </c>
      <c r="D5" s="361"/>
      <c r="E5" s="361">
        <v>1175.42</v>
      </c>
      <c r="F5" s="361"/>
      <c r="G5" s="300"/>
      <c r="H5" s="301"/>
      <c r="I5" s="361">
        <v>1175.42</v>
      </c>
      <c r="J5" s="361"/>
      <c r="K5" s="316"/>
      <c r="L5" s="316"/>
      <c r="M5" s="316"/>
      <c r="N5" s="316"/>
      <c r="O5" s="316"/>
      <c r="P5" s="316"/>
      <c r="Q5" s="316"/>
      <c r="R5" s="318"/>
      <c r="S5" s="361">
        <v>1175.42</v>
      </c>
      <c r="T5" s="361"/>
    </row>
    <row r="6" spans="1:21" x14ac:dyDescent="0.25">
      <c r="A6" s="155">
        <v>4</v>
      </c>
      <c r="B6" s="8" t="s">
        <v>52</v>
      </c>
      <c r="C6" s="320" t="s">
        <v>162</v>
      </c>
      <c r="D6" s="320"/>
      <c r="E6" s="314" t="s">
        <v>53</v>
      </c>
      <c r="F6" s="315"/>
      <c r="G6" s="302"/>
      <c r="H6" s="303"/>
      <c r="I6" s="320" t="s">
        <v>53</v>
      </c>
      <c r="J6" s="320"/>
      <c r="K6" s="315"/>
      <c r="L6" s="315"/>
      <c r="M6" s="315"/>
      <c r="N6" s="315"/>
      <c r="O6" s="315"/>
      <c r="P6" s="315"/>
      <c r="Q6" s="315"/>
      <c r="R6" s="319"/>
      <c r="S6" s="320" t="s">
        <v>162</v>
      </c>
      <c r="T6" s="320"/>
    </row>
    <row r="7" spans="1:21" x14ac:dyDescent="0.25">
      <c r="A7" s="155">
        <v>5</v>
      </c>
      <c r="B7" s="8" t="s">
        <v>54</v>
      </c>
      <c r="C7" s="328">
        <v>43952</v>
      </c>
      <c r="D7" s="312"/>
      <c r="E7" s="335">
        <v>44317</v>
      </c>
      <c r="F7" s="328"/>
      <c r="G7" s="336"/>
      <c r="H7" s="337"/>
      <c r="I7" s="328">
        <v>44682</v>
      </c>
      <c r="J7" s="328"/>
      <c r="K7" s="322"/>
      <c r="L7" s="322"/>
      <c r="M7" s="322"/>
      <c r="N7" s="322"/>
      <c r="O7" s="322"/>
      <c r="P7" s="322"/>
      <c r="Q7" s="322"/>
      <c r="R7" s="323"/>
      <c r="S7" s="328">
        <v>45047</v>
      </c>
      <c r="T7" s="312"/>
    </row>
    <row r="8" spans="1:21" x14ac:dyDescent="0.25">
      <c r="A8" s="155">
        <v>6</v>
      </c>
      <c r="B8" s="8" t="s">
        <v>55</v>
      </c>
      <c r="C8" s="328" t="s">
        <v>163</v>
      </c>
      <c r="D8" s="312"/>
      <c r="E8" s="335" t="s">
        <v>56</v>
      </c>
      <c r="F8" s="328"/>
      <c r="G8" s="336"/>
      <c r="H8" s="337"/>
      <c r="I8" s="328" t="s">
        <v>57</v>
      </c>
      <c r="J8" s="328"/>
      <c r="K8" s="322"/>
      <c r="L8" s="322"/>
      <c r="M8" s="322"/>
      <c r="N8" s="322"/>
      <c r="O8" s="322"/>
      <c r="P8" s="322"/>
      <c r="Q8" s="322"/>
      <c r="R8" s="323"/>
      <c r="S8" s="328" t="s">
        <v>58</v>
      </c>
      <c r="T8" s="312"/>
    </row>
    <row r="9" spans="1:21" ht="75" customHeight="1" x14ac:dyDescent="0.25">
      <c r="E9" s="334" t="s">
        <v>59</v>
      </c>
      <c r="F9" s="331"/>
      <c r="G9" s="329" t="s">
        <v>60</v>
      </c>
      <c r="H9" s="330"/>
      <c r="I9" s="331" t="s">
        <v>61</v>
      </c>
      <c r="J9" s="331"/>
      <c r="K9" s="331" t="s">
        <v>62</v>
      </c>
      <c r="L9" s="331"/>
      <c r="M9" s="331" t="s">
        <v>63</v>
      </c>
      <c r="N9" s="331"/>
      <c r="O9" s="331" t="s">
        <v>64</v>
      </c>
      <c r="P9" s="331"/>
      <c r="Q9" s="320" t="s">
        <v>164</v>
      </c>
      <c r="R9" s="321"/>
      <c r="S9" s="320" t="s">
        <v>165</v>
      </c>
      <c r="T9" s="321"/>
    </row>
    <row r="10" spans="1:21" ht="15" customHeight="1" x14ac:dyDescent="0.25">
      <c r="A10" s="276" t="s">
        <v>67</v>
      </c>
      <c r="B10" s="276"/>
      <c r="C10" s="276"/>
      <c r="D10" s="276"/>
      <c r="E10" s="171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0"/>
      <c r="R10" s="139"/>
      <c r="S10" s="10"/>
      <c r="T10" s="139"/>
    </row>
    <row r="11" spans="1:21" x14ac:dyDescent="0.25">
      <c r="A11" s="163">
        <v>1</v>
      </c>
      <c r="B11" s="340" t="s">
        <v>68</v>
      </c>
      <c r="C11" s="340"/>
      <c r="D11" s="163" t="s">
        <v>30</v>
      </c>
      <c r="E11" s="55"/>
      <c r="F11" s="163" t="s">
        <v>30</v>
      </c>
      <c r="G11" s="10"/>
      <c r="H11" s="163" t="s">
        <v>30</v>
      </c>
      <c r="I11" s="10"/>
      <c r="J11" s="163" t="s">
        <v>30</v>
      </c>
      <c r="K11" s="10"/>
      <c r="L11" s="163" t="s">
        <v>30</v>
      </c>
      <c r="M11" s="10"/>
      <c r="N11" s="163" t="s">
        <v>30</v>
      </c>
      <c r="O11" s="10"/>
      <c r="P11" s="163" t="s">
        <v>30</v>
      </c>
      <c r="Q11" s="10"/>
      <c r="R11" s="41" t="s">
        <v>30</v>
      </c>
      <c r="S11" s="10"/>
      <c r="T11" s="41" t="s">
        <v>30</v>
      </c>
    </row>
    <row r="12" spans="1:21" x14ac:dyDescent="0.25">
      <c r="A12" s="6" t="s">
        <v>69</v>
      </c>
      <c r="B12" s="312" t="s">
        <v>70</v>
      </c>
      <c r="C12" s="312"/>
      <c r="D12" s="20">
        <v>2279.35</v>
      </c>
      <c r="E12" s="55"/>
      <c r="F12" s="72">
        <f>ROUND(D12*(1+6.76%),2)</f>
        <v>2433.4299999999998</v>
      </c>
      <c r="G12" s="10"/>
      <c r="H12" s="72">
        <f>F12</f>
        <v>2433.4299999999998</v>
      </c>
      <c r="I12" s="10"/>
      <c r="J12" s="72">
        <f>H12</f>
        <v>2433.4299999999998</v>
      </c>
      <c r="K12" s="10"/>
      <c r="L12" s="72">
        <f>ROUND(J12*(1+9.7%),2)</f>
        <v>2669.47</v>
      </c>
      <c r="M12" s="10"/>
      <c r="N12" s="72">
        <f>L12</f>
        <v>2669.47</v>
      </c>
      <c r="O12" s="10"/>
      <c r="P12" s="72">
        <f>N12</f>
        <v>2669.47</v>
      </c>
      <c r="Q12" s="10"/>
      <c r="R12" s="74">
        <f>ROUND(J12*(1+12.13%),2)</f>
        <v>2728.61</v>
      </c>
      <c r="S12" s="10"/>
      <c r="T12" s="74">
        <f>ROUND(R12*(1+4.18%),2)</f>
        <v>2842.67</v>
      </c>
      <c r="U12" s="78"/>
    </row>
    <row r="13" spans="1:21" x14ac:dyDescent="0.25">
      <c r="A13" s="6" t="s">
        <v>71</v>
      </c>
      <c r="B13" s="312" t="s">
        <v>72</v>
      </c>
      <c r="C13" s="312"/>
      <c r="D13" s="20">
        <v>0</v>
      </c>
      <c r="E13" s="55"/>
      <c r="F13" s="72" t="s">
        <v>38</v>
      </c>
      <c r="G13" s="10"/>
      <c r="H13" s="72" t="s">
        <v>38</v>
      </c>
      <c r="I13" s="10"/>
      <c r="J13" s="72" t="s">
        <v>38</v>
      </c>
      <c r="K13" s="10"/>
      <c r="L13" s="72" t="s">
        <v>38</v>
      </c>
      <c r="M13" s="10"/>
      <c r="N13" s="72" t="s">
        <v>38</v>
      </c>
      <c r="O13" s="10"/>
      <c r="P13" s="72" t="s">
        <v>38</v>
      </c>
      <c r="Q13" s="10"/>
      <c r="R13" s="74" t="s">
        <v>38</v>
      </c>
      <c r="S13" s="10"/>
      <c r="T13" s="74" t="s">
        <v>38</v>
      </c>
    </row>
    <row r="14" spans="1:21" x14ac:dyDescent="0.25">
      <c r="A14" s="6" t="s">
        <v>73</v>
      </c>
      <c r="B14" s="312" t="s">
        <v>74</v>
      </c>
      <c r="C14" s="312"/>
      <c r="D14" s="20">
        <v>0</v>
      </c>
      <c r="E14" s="55"/>
      <c r="F14" s="72" t="s">
        <v>38</v>
      </c>
      <c r="G14" s="10"/>
      <c r="H14" s="72" t="s">
        <v>38</v>
      </c>
      <c r="I14" s="10"/>
      <c r="J14" s="72" t="s">
        <v>38</v>
      </c>
      <c r="K14" s="10"/>
      <c r="L14" s="72" t="s">
        <v>38</v>
      </c>
      <c r="M14" s="10"/>
      <c r="N14" s="72" t="s">
        <v>38</v>
      </c>
      <c r="O14" s="10"/>
      <c r="P14" s="72" t="s">
        <v>38</v>
      </c>
      <c r="Q14" s="10"/>
      <c r="R14" s="74" t="s">
        <v>38</v>
      </c>
      <c r="S14" s="10"/>
      <c r="T14" s="74" t="s">
        <v>38</v>
      </c>
    </row>
    <row r="15" spans="1:21" x14ac:dyDescent="0.25">
      <c r="A15" s="6" t="s">
        <v>75</v>
      </c>
      <c r="B15" s="312" t="s">
        <v>76</v>
      </c>
      <c r="C15" s="312"/>
      <c r="D15" s="20">
        <v>0</v>
      </c>
      <c r="E15" s="55"/>
      <c r="F15" s="72" t="s">
        <v>38</v>
      </c>
      <c r="G15" s="10"/>
      <c r="H15" s="72" t="s">
        <v>38</v>
      </c>
      <c r="I15" s="10"/>
      <c r="J15" s="72" t="s">
        <v>38</v>
      </c>
      <c r="K15" s="10"/>
      <c r="L15" s="72" t="s">
        <v>38</v>
      </c>
      <c r="M15" s="10"/>
      <c r="N15" s="72" t="s">
        <v>38</v>
      </c>
      <c r="O15" s="10"/>
      <c r="P15" s="72" t="s">
        <v>38</v>
      </c>
      <c r="Q15" s="10"/>
      <c r="R15" s="74" t="s">
        <v>38</v>
      </c>
      <c r="S15" s="10"/>
      <c r="T15" s="74" t="s">
        <v>38</v>
      </c>
    </row>
    <row r="16" spans="1:21" x14ac:dyDescent="0.25">
      <c r="A16" s="6" t="s">
        <v>77</v>
      </c>
      <c r="B16" s="312" t="s">
        <v>78</v>
      </c>
      <c r="C16" s="312"/>
      <c r="D16" s="20">
        <v>0</v>
      </c>
      <c r="E16" s="55"/>
      <c r="F16" s="72" t="s">
        <v>38</v>
      </c>
      <c r="G16" s="10"/>
      <c r="H16" s="72" t="s">
        <v>38</v>
      </c>
      <c r="I16" s="10"/>
      <c r="J16" s="72" t="s">
        <v>38</v>
      </c>
      <c r="K16" s="10"/>
      <c r="L16" s="72" t="s">
        <v>38</v>
      </c>
      <c r="M16" s="10"/>
      <c r="N16" s="72" t="s">
        <v>38</v>
      </c>
      <c r="O16" s="10"/>
      <c r="P16" s="72" t="s">
        <v>38</v>
      </c>
      <c r="Q16" s="10"/>
      <c r="R16" s="74" t="s">
        <v>38</v>
      </c>
      <c r="S16" s="10"/>
      <c r="T16" s="74" t="s">
        <v>38</v>
      </c>
    </row>
    <row r="17" spans="1:20" x14ac:dyDescent="0.25">
      <c r="A17" s="6" t="s">
        <v>79</v>
      </c>
      <c r="B17" s="312" t="s">
        <v>80</v>
      </c>
      <c r="C17" s="312"/>
      <c r="D17" s="20">
        <v>0</v>
      </c>
      <c r="E17" s="55"/>
      <c r="F17" s="72" t="s">
        <v>38</v>
      </c>
      <c r="G17" s="10"/>
      <c r="H17" s="72" t="s">
        <v>38</v>
      </c>
      <c r="I17" s="10"/>
      <c r="J17" s="72" t="s">
        <v>38</v>
      </c>
      <c r="K17" s="10"/>
      <c r="L17" s="72" t="s">
        <v>38</v>
      </c>
      <c r="M17" s="10"/>
      <c r="N17" s="72" t="s">
        <v>38</v>
      </c>
      <c r="O17" s="10"/>
      <c r="P17" s="72" t="s">
        <v>38</v>
      </c>
      <c r="Q17" s="10"/>
      <c r="R17" s="74" t="s">
        <v>38</v>
      </c>
      <c r="S17" s="10"/>
      <c r="T17" s="74" t="s">
        <v>38</v>
      </c>
    </row>
    <row r="18" spans="1:20" x14ac:dyDescent="0.25">
      <c r="A18" s="340" t="s">
        <v>32</v>
      </c>
      <c r="B18" s="340"/>
      <c r="C18" s="340"/>
      <c r="D18" s="28">
        <f>SUM(D12:D17)</f>
        <v>2279.35</v>
      </c>
      <c r="E18" s="55"/>
      <c r="F18" s="73">
        <f>SUM(F12:F17)</f>
        <v>2433.4299999999998</v>
      </c>
      <c r="G18" s="10"/>
      <c r="H18" s="73">
        <f>SUM(H12:H17)</f>
        <v>2433.4299999999998</v>
      </c>
      <c r="I18" s="10"/>
      <c r="J18" s="73">
        <f>SUM(J12:J17)</f>
        <v>2433.4299999999998</v>
      </c>
      <c r="K18" s="10"/>
      <c r="L18" s="73">
        <f>SUM(L12:L17)</f>
        <v>2669.47</v>
      </c>
      <c r="M18" s="10"/>
      <c r="N18" s="73">
        <f>SUM(N12:N17)</f>
        <v>2669.47</v>
      </c>
      <c r="O18" s="10"/>
      <c r="P18" s="73">
        <f>SUM(P12:P17)</f>
        <v>2669.47</v>
      </c>
      <c r="Q18" s="10"/>
      <c r="R18" s="173">
        <f>SUM(R12:R17)</f>
        <v>2728.61</v>
      </c>
      <c r="S18" s="10"/>
      <c r="T18" s="173">
        <f>SUM(T12:T17)</f>
        <v>2842.67</v>
      </c>
    </row>
    <row r="19" spans="1:20" x14ac:dyDescent="0.25">
      <c r="E19" s="5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39"/>
      <c r="S19" s="10"/>
      <c r="T19" s="139"/>
    </row>
    <row r="20" spans="1:20" x14ac:dyDescent="0.25">
      <c r="A20" s="340" t="s">
        <v>81</v>
      </c>
      <c r="B20" s="340"/>
      <c r="C20" s="340"/>
      <c r="D20" s="340"/>
      <c r="E20" s="5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39"/>
      <c r="S20" s="10"/>
      <c r="T20" s="139"/>
    </row>
    <row r="21" spans="1:20" x14ac:dyDescent="0.25">
      <c r="A21" s="340" t="s">
        <v>82</v>
      </c>
      <c r="B21" s="340"/>
      <c r="C21" s="340"/>
      <c r="D21" s="340"/>
      <c r="E21" s="5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39"/>
      <c r="S21" s="10"/>
      <c r="T21" s="139"/>
    </row>
    <row r="22" spans="1:20" x14ac:dyDescent="0.25">
      <c r="A22" s="156" t="s">
        <v>83</v>
      </c>
      <c r="B22" s="156" t="s">
        <v>84</v>
      </c>
      <c r="C22" s="163" t="s">
        <v>85</v>
      </c>
      <c r="D22" s="156" t="s">
        <v>30</v>
      </c>
      <c r="E22" s="162" t="s">
        <v>85</v>
      </c>
      <c r="F22" s="156" t="s">
        <v>30</v>
      </c>
      <c r="G22" s="163" t="s">
        <v>85</v>
      </c>
      <c r="H22" s="156" t="s">
        <v>30</v>
      </c>
      <c r="I22" s="163" t="s">
        <v>85</v>
      </c>
      <c r="J22" s="156" t="s">
        <v>30</v>
      </c>
      <c r="K22" s="163" t="s">
        <v>85</v>
      </c>
      <c r="L22" s="156" t="s">
        <v>30</v>
      </c>
      <c r="M22" s="163" t="s">
        <v>85</v>
      </c>
      <c r="N22" s="156" t="s">
        <v>30</v>
      </c>
      <c r="O22" s="163" t="s">
        <v>85</v>
      </c>
      <c r="P22" s="156" t="s">
        <v>30</v>
      </c>
      <c r="Q22" s="163" t="s">
        <v>85</v>
      </c>
      <c r="R22" s="157" t="s">
        <v>30</v>
      </c>
      <c r="S22" s="163" t="s">
        <v>85</v>
      </c>
      <c r="T22" s="157" t="s">
        <v>30</v>
      </c>
    </row>
    <row r="23" spans="1:20" x14ac:dyDescent="0.25">
      <c r="A23" s="6" t="s">
        <v>69</v>
      </c>
      <c r="B23" s="10" t="s">
        <v>86</v>
      </c>
      <c r="C23" s="11">
        <v>9.0899999999999995E-2</v>
      </c>
      <c r="D23" s="12">
        <f>C23*$D$18</f>
        <v>207.19291499999997</v>
      </c>
      <c r="E23" s="46">
        <v>9.0899999999999995E-2</v>
      </c>
      <c r="F23" s="12">
        <f>E23*F$18</f>
        <v>221.19878699999998</v>
      </c>
      <c r="G23" s="11">
        <v>9.0899999999999995E-2</v>
      </c>
      <c r="H23" s="12">
        <f>G23*H$18</f>
        <v>221.19878699999998</v>
      </c>
      <c r="I23" s="11">
        <v>9.0899999999999995E-2</v>
      </c>
      <c r="J23" s="12">
        <f>I23*J$18</f>
        <v>221.19878699999998</v>
      </c>
      <c r="K23" s="11">
        <v>9.0899999999999995E-2</v>
      </c>
      <c r="L23" s="12">
        <f>K23*L$18</f>
        <v>242.65482299999996</v>
      </c>
      <c r="M23" s="11">
        <v>9.0899999999999995E-2</v>
      </c>
      <c r="N23" s="12">
        <f>M23*N$18</f>
        <v>242.65482299999996</v>
      </c>
      <c r="O23" s="11">
        <v>9.0899999999999995E-2</v>
      </c>
      <c r="P23" s="12">
        <f>O23*P$18</f>
        <v>242.65482299999996</v>
      </c>
      <c r="Q23" s="11">
        <v>9.0899999999999995E-2</v>
      </c>
      <c r="R23" s="42">
        <f>Q23*R$18</f>
        <v>248.03064900000001</v>
      </c>
      <c r="S23" s="11">
        <v>9.0899999999999995E-2</v>
      </c>
      <c r="T23" s="42">
        <f>S23*T$18</f>
        <v>258.39870300000001</v>
      </c>
    </row>
    <row r="24" spans="1:20" x14ac:dyDescent="0.25">
      <c r="A24" s="6" t="s">
        <v>71</v>
      </c>
      <c r="B24" s="10" t="s">
        <v>87</v>
      </c>
      <c r="C24" s="11">
        <v>0.121</v>
      </c>
      <c r="D24" s="12">
        <f>C24*$D$18</f>
        <v>275.80134999999996</v>
      </c>
      <c r="E24" s="46">
        <v>0.121</v>
      </c>
      <c r="F24" s="12">
        <f>E24*F$18</f>
        <v>294.44502999999997</v>
      </c>
      <c r="G24" s="11">
        <v>0.121</v>
      </c>
      <c r="H24" s="12">
        <f>G24*H$18</f>
        <v>294.44502999999997</v>
      </c>
      <c r="I24" s="11">
        <v>0.121</v>
      </c>
      <c r="J24" s="12">
        <f>I24*J$18</f>
        <v>294.44502999999997</v>
      </c>
      <c r="K24" s="11">
        <v>0.121</v>
      </c>
      <c r="L24" s="12">
        <f>K24*L$18</f>
        <v>323.00586999999996</v>
      </c>
      <c r="M24" s="11">
        <v>0.121</v>
      </c>
      <c r="N24" s="12">
        <f>M24*N$18</f>
        <v>323.00586999999996</v>
      </c>
      <c r="O24" s="11">
        <v>0.121</v>
      </c>
      <c r="P24" s="12">
        <f>O24*P$18</f>
        <v>323.00586999999996</v>
      </c>
      <c r="Q24" s="11">
        <v>0.121</v>
      </c>
      <c r="R24" s="42">
        <f>Q24*R$18</f>
        <v>330.16181</v>
      </c>
      <c r="S24" s="11">
        <v>0.121</v>
      </c>
      <c r="T24" s="42">
        <f>S24*T$18</f>
        <v>343.96307000000002</v>
      </c>
    </row>
    <row r="25" spans="1:20" x14ac:dyDescent="0.25">
      <c r="A25" s="340" t="s">
        <v>32</v>
      </c>
      <c r="B25" s="340"/>
      <c r="C25" s="27">
        <f>SUM(C23:C24)</f>
        <v>0.21189999999999998</v>
      </c>
      <c r="D25" s="23">
        <f>SUM(D23:D24)</f>
        <v>482.99426499999993</v>
      </c>
      <c r="E25" s="47">
        <f t="shared" ref="E25:R25" si="0">SUM(E23:E24)</f>
        <v>0.21189999999999998</v>
      </c>
      <c r="F25" s="23">
        <f t="shared" si="0"/>
        <v>515.6438169999999</v>
      </c>
      <c r="G25" s="27">
        <f t="shared" si="0"/>
        <v>0.21189999999999998</v>
      </c>
      <c r="H25" s="23">
        <f t="shared" si="0"/>
        <v>515.6438169999999</v>
      </c>
      <c r="I25" s="27">
        <f t="shared" si="0"/>
        <v>0.21189999999999998</v>
      </c>
      <c r="J25" s="23">
        <f t="shared" si="0"/>
        <v>515.6438169999999</v>
      </c>
      <c r="K25" s="27">
        <f t="shared" si="0"/>
        <v>0.21189999999999998</v>
      </c>
      <c r="L25" s="23">
        <f t="shared" si="0"/>
        <v>565.66069299999992</v>
      </c>
      <c r="M25" s="27">
        <f t="shared" si="0"/>
        <v>0.21189999999999998</v>
      </c>
      <c r="N25" s="23">
        <f t="shared" si="0"/>
        <v>565.66069299999992</v>
      </c>
      <c r="O25" s="27">
        <f t="shared" si="0"/>
        <v>0.21189999999999998</v>
      </c>
      <c r="P25" s="23">
        <f t="shared" si="0"/>
        <v>565.66069299999992</v>
      </c>
      <c r="Q25" s="27">
        <f t="shared" si="0"/>
        <v>0.21189999999999998</v>
      </c>
      <c r="R25" s="169">
        <f t="shared" si="0"/>
        <v>578.19245899999999</v>
      </c>
      <c r="S25" s="27">
        <f t="shared" ref="S25:T25" si="1">SUM(S23:S24)</f>
        <v>0.21189999999999998</v>
      </c>
      <c r="T25" s="169">
        <f t="shared" si="1"/>
        <v>602.36177300000008</v>
      </c>
    </row>
    <row r="26" spans="1:20" x14ac:dyDescent="0.25">
      <c r="E26" s="5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39"/>
      <c r="S26" s="10"/>
      <c r="T26" s="139"/>
    </row>
    <row r="27" spans="1:20" ht="15" customHeight="1" x14ac:dyDescent="0.25">
      <c r="A27" s="276" t="s">
        <v>88</v>
      </c>
      <c r="B27" s="276"/>
      <c r="C27" s="276"/>
      <c r="D27" s="276"/>
      <c r="E27" s="55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39"/>
      <c r="S27" s="10"/>
      <c r="T27" s="139"/>
    </row>
    <row r="28" spans="1:20" x14ac:dyDescent="0.25">
      <c r="A28" s="163" t="s">
        <v>89</v>
      </c>
      <c r="B28" s="163" t="s">
        <v>90</v>
      </c>
      <c r="C28" s="163" t="s">
        <v>85</v>
      </c>
      <c r="D28" s="163" t="s">
        <v>30</v>
      </c>
      <c r="E28" s="162" t="s">
        <v>85</v>
      </c>
      <c r="F28" s="163" t="s">
        <v>30</v>
      </c>
      <c r="G28" s="163" t="s">
        <v>85</v>
      </c>
      <c r="H28" s="163" t="s">
        <v>30</v>
      </c>
      <c r="I28" s="163" t="s">
        <v>85</v>
      </c>
      <c r="J28" s="163" t="s">
        <v>30</v>
      </c>
      <c r="K28" s="163" t="s">
        <v>85</v>
      </c>
      <c r="L28" s="163" t="s">
        <v>30</v>
      </c>
      <c r="M28" s="163" t="s">
        <v>85</v>
      </c>
      <c r="N28" s="163" t="s">
        <v>30</v>
      </c>
      <c r="O28" s="163" t="s">
        <v>85</v>
      </c>
      <c r="P28" s="163" t="s">
        <v>30</v>
      </c>
      <c r="Q28" s="163" t="s">
        <v>85</v>
      </c>
      <c r="R28" s="41" t="s">
        <v>30</v>
      </c>
      <c r="S28" s="163" t="s">
        <v>85</v>
      </c>
      <c r="T28" s="41" t="s">
        <v>30</v>
      </c>
    </row>
    <row r="29" spans="1:20" x14ac:dyDescent="0.25">
      <c r="A29" s="6" t="s">
        <v>69</v>
      </c>
      <c r="B29" s="10" t="s">
        <v>91</v>
      </c>
      <c r="C29" s="13">
        <v>0</v>
      </c>
      <c r="D29" s="21">
        <f>C29*($D$18+$D$25)</f>
        <v>0</v>
      </c>
      <c r="E29" s="48">
        <v>0</v>
      </c>
      <c r="F29" s="21">
        <f t="shared" ref="F29:F36" si="2">E29*(F$18+F$25)</f>
        <v>0</v>
      </c>
      <c r="G29" s="13">
        <v>0</v>
      </c>
      <c r="H29" s="21">
        <f t="shared" ref="H29:H36" si="3">G29*(H$18+H$25)</f>
        <v>0</v>
      </c>
      <c r="I29" s="13">
        <v>0</v>
      </c>
      <c r="J29" s="21">
        <f t="shared" ref="J29:J36" si="4">I29*(J$18+J$25)</f>
        <v>0</v>
      </c>
      <c r="K29" s="13">
        <v>0</v>
      </c>
      <c r="L29" s="21">
        <f t="shared" ref="L29:L36" si="5">K29*(L$18+L$25)</f>
        <v>0</v>
      </c>
      <c r="M29" s="13">
        <v>0</v>
      </c>
      <c r="N29" s="21">
        <f t="shared" ref="N29:N36" si="6">M29*(N$18+N$25)</f>
        <v>0</v>
      </c>
      <c r="O29" s="13">
        <v>0</v>
      </c>
      <c r="P29" s="21">
        <f t="shared" ref="P29:P36" si="7">O29*(P$18+P$25)</f>
        <v>0</v>
      </c>
      <c r="Q29" s="13">
        <v>0</v>
      </c>
      <c r="R29" s="43">
        <f t="shared" ref="R29:R36" si="8">Q29*(R$18+R$25)</f>
        <v>0</v>
      </c>
      <c r="S29" s="13">
        <v>0</v>
      </c>
      <c r="T29" s="43">
        <f t="shared" ref="T29:T36" si="9">S29*(T$18+T$25)</f>
        <v>0</v>
      </c>
    </row>
    <row r="30" spans="1:20" x14ac:dyDescent="0.25">
      <c r="A30" s="6" t="s">
        <v>71</v>
      </c>
      <c r="B30" s="10" t="s">
        <v>92</v>
      </c>
      <c r="C30" s="13">
        <v>2.5000000000000001E-2</v>
      </c>
      <c r="D30" s="21">
        <f t="shared" ref="D30:D36" si="10">C30*($D$18+$D$25)</f>
        <v>69.058606624999996</v>
      </c>
      <c r="E30" s="48">
        <v>2.5000000000000001E-2</v>
      </c>
      <c r="F30" s="21">
        <f t="shared" si="2"/>
        <v>73.726845424999993</v>
      </c>
      <c r="G30" s="13">
        <v>2.5000000000000001E-2</v>
      </c>
      <c r="H30" s="21">
        <f t="shared" si="3"/>
        <v>73.726845424999993</v>
      </c>
      <c r="I30" s="13">
        <v>2.5000000000000001E-2</v>
      </c>
      <c r="J30" s="21">
        <f t="shared" si="4"/>
        <v>73.726845424999993</v>
      </c>
      <c r="K30" s="13">
        <v>2.5000000000000001E-2</v>
      </c>
      <c r="L30" s="21">
        <f t="shared" si="5"/>
        <v>80.878267324999996</v>
      </c>
      <c r="M30" s="13">
        <v>2.5000000000000001E-2</v>
      </c>
      <c r="N30" s="21">
        <f t="shared" si="6"/>
        <v>80.878267324999996</v>
      </c>
      <c r="O30" s="13">
        <v>2.5000000000000001E-2</v>
      </c>
      <c r="P30" s="21">
        <f t="shared" si="7"/>
        <v>80.878267324999996</v>
      </c>
      <c r="Q30" s="13">
        <v>2.5000000000000001E-2</v>
      </c>
      <c r="R30" s="43">
        <f t="shared" si="8"/>
        <v>82.670061475000011</v>
      </c>
      <c r="S30" s="13">
        <v>2.5000000000000001E-2</v>
      </c>
      <c r="T30" s="43">
        <f t="shared" si="9"/>
        <v>86.125794325000015</v>
      </c>
    </row>
    <row r="31" spans="1:20" x14ac:dyDescent="0.25">
      <c r="A31" s="6" t="s">
        <v>73</v>
      </c>
      <c r="B31" s="10" t="s">
        <v>166</v>
      </c>
      <c r="C31" s="13">
        <v>0.01</v>
      </c>
      <c r="D31" s="21">
        <f t="shared" si="10"/>
        <v>27.623442649999998</v>
      </c>
      <c r="E31" s="13">
        <f>0.5*2%</f>
        <v>0.01</v>
      </c>
      <c r="F31" s="21">
        <f t="shared" si="2"/>
        <v>29.490738169999997</v>
      </c>
      <c r="G31" s="13">
        <f>0.5*2%</f>
        <v>0.01</v>
      </c>
      <c r="H31" s="21">
        <f t="shared" si="3"/>
        <v>29.490738169999997</v>
      </c>
      <c r="I31" s="13">
        <f>0.5*2%</f>
        <v>0.01</v>
      </c>
      <c r="J31" s="21">
        <f t="shared" si="4"/>
        <v>29.490738169999997</v>
      </c>
      <c r="K31" s="13">
        <f>0.5*2%</f>
        <v>0.01</v>
      </c>
      <c r="L31" s="21">
        <f t="shared" si="5"/>
        <v>32.35130693</v>
      </c>
      <c r="M31" s="13">
        <f>0.5*2%</f>
        <v>0.01</v>
      </c>
      <c r="N31" s="21">
        <f t="shared" si="6"/>
        <v>32.35130693</v>
      </c>
      <c r="O31" s="13">
        <f>0.5*2%</f>
        <v>0.01</v>
      </c>
      <c r="P31" s="21">
        <f t="shared" si="7"/>
        <v>32.35130693</v>
      </c>
      <c r="Q31" s="13">
        <f>0.5*2%</f>
        <v>0.01</v>
      </c>
      <c r="R31" s="43">
        <f t="shared" si="8"/>
        <v>33.06802459</v>
      </c>
      <c r="S31" s="13">
        <f>0.5*2%</f>
        <v>0.01</v>
      </c>
      <c r="T31" s="43">
        <f t="shared" si="9"/>
        <v>34.450317730000002</v>
      </c>
    </row>
    <row r="32" spans="1:20" x14ac:dyDescent="0.25">
      <c r="A32" s="6" t="s">
        <v>75</v>
      </c>
      <c r="B32" s="10" t="s">
        <v>94</v>
      </c>
      <c r="C32" s="13">
        <v>1.4999999999999999E-2</v>
      </c>
      <c r="D32" s="21">
        <f t="shared" si="10"/>
        <v>41.435163974999995</v>
      </c>
      <c r="E32" s="48">
        <v>1.4999999999999999E-2</v>
      </c>
      <c r="F32" s="21">
        <f t="shared" si="2"/>
        <v>44.236107254999993</v>
      </c>
      <c r="G32" s="13">
        <v>1.4999999999999999E-2</v>
      </c>
      <c r="H32" s="21">
        <f t="shared" si="3"/>
        <v>44.236107254999993</v>
      </c>
      <c r="I32" s="13">
        <v>1.4999999999999999E-2</v>
      </c>
      <c r="J32" s="21">
        <f t="shared" si="4"/>
        <v>44.236107254999993</v>
      </c>
      <c r="K32" s="13">
        <v>1.4999999999999999E-2</v>
      </c>
      <c r="L32" s="21">
        <f t="shared" si="5"/>
        <v>48.526960394999989</v>
      </c>
      <c r="M32" s="13">
        <v>1.4999999999999999E-2</v>
      </c>
      <c r="N32" s="21">
        <f t="shared" si="6"/>
        <v>48.526960394999989</v>
      </c>
      <c r="O32" s="13">
        <v>1.4999999999999999E-2</v>
      </c>
      <c r="P32" s="21">
        <f t="shared" si="7"/>
        <v>48.526960394999989</v>
      </c>
      <c r="Q32" s="13">
        <v>1.4999999999999999E-2</v>
      </c>
      <c r="R32" s="43">
        <f t="shared" si="8"/>
        <v>49.602036884999997</v>
      </c>
      <c r="S32" s="13">
        <v>1.4999999999999999E-2</v>
      </c>
      <c r="T32" s="43">
        <f t="shared" si="9"/>
        <v>51.675476594999999</v>
      </c>
    </row>
    <row r="33" spans="1:20" x14ac:dyDescent="0.25">
      <c r="A33" s="6" t="s">
        <v>77</v>
      </c>
      <c r="B33" s="10" t="s">
        <v>95</v>
      </c>
      <c r="C33" s="13">
        <v>0.01</v>
      </c>
      <c r="D33" s="21">
        <f t="shared" si="10"/>
        <v>27.623442649999998</v>
      </c>
      <c r="E33" s="48">
        <v>0.01</v>
      </c>
      <c r="F33" s="21">
        <f t="shared" si="2"/>
        <v>29.490738169999997</v>
      </c>
      <c r="G33" s="13">
        <v>0.01</v>
      </c>
      <c r="H33" s="21">
        <f t="shared" si="3"/>
        <v>29.490738169999997</v>
      </c>
      <c r="I33" s="13">
        <v>0.01</v>
      </c>
      <c r="J33" s="21">
        <f t="shared" si="4"/>
        <v>29.490738169999997</v>
      </c>
      <c r="K33" s="13">
        <v>0.01</v>
      </c>
      <c r="L33" s="21">
        <f t="shared" si="5"/>
        <v>32.35130693</v>
      </c>
      <c r="M33" s="13">
        <v>0.01</v>
      </c>
      <c r="N33" s="21">
        <f t="shared" si="6"/>
        <v>32.35130693</v>
      </c>
      <c r="O33" s="13">
        <v>0.01</v>
      </c>
      <c r="P33" s="21">
        <f t="shared" si="7"/>
        <v>32.35130693</v>
      </c>
      <c r="Q33" s="13">
        <v>0.01</v>
      </c>
      <c r="R33" s="43">
        <f t="shared" si="8"/>
        <v>33.06802459</v>
      </c>
      <c r="S33" s="13">
        <v>0.01</v>
      </c>
      <c r="T33" s="43">
        <f t="shared" si="9"/>
        <v>34.450317730000002</v>
      </c>
    </row>
    <row r="34" spans="1:20" x14ac:dyDescent="0.25">
      <c r="A34" s="6" t="s">
        <v>79</v>
      </c>
      <c r="B34" s="10" t="s">
        <v>96</v>
      </c>
      <c r="C34" s="13">
        <v>6.0000000000000001E-3</v>
      </c>
      <c r="D34" s="21">
        <f t="shared" si="10"/>
        <v>16.57406559</v>
      </c>
      <c r="E34" s="48">
        <v>6.0000000000000001E-3</v>
      </c>
      <c r="F34" s="21">
        <f t="shared" si="2"/>
        <v>17.694442901999999</v>
      </c>
      <c r="G34" s="13">
        <v>6.0000000000000001E-3</v>
      </c>
      <c r="H34" s="21">
        <f t="shared" si="3"/>
        <v>17.694442901999999</v>
      </c>
      <c r="I34" s="13">
        <v>6.0000000000000001E-3</v>
      </c>
      <c r="J34" s="21">
        <f t="shared" si="4"/>
        <v>17.694442901999999</v>
      </c>
      <c r="K34" s="13">
        <v>6.0000000000000001E-3</v>
      </c>
      <c r="L34" s="21">
        <f t="shared" si="5"/>
        <v>19.410784157999998</v>
      </c>
      <c r="M34" s="13">
        <v>6.0000000000000001E-3</v>
      </c>
      <c r="N34" s="21">
        <f t="shared" si="6"/>
        <v>19.410784157999998</v>
      </c>
      <c r="O34" s="13">
        <v>6.0000000000000001E-3</v>
      </c>
      <c r="P34" s="21">
        <f t="shared" si="7"/>
        <v>19.410784157999998</v>
      </c>
      <c r="Q34" s="13">
        <v>6.0000000000000001E-3</v>
      </c>
      <c r="R34" s="43">
        <f t="shared" si="8"/>
        <v>19.840814754</v>
      </c>
      <c r="S34" s="13">
        <v>6.0000000000000001E-3</v>
      </c>
      <c r="T34" s="43">
        <f t="shared" si="9"/>
        <v>20.670190638000001</v>
      </c>
    </row>
    <row r="35" spans="1:20" x14ac:dyDescent="0.25">
      <c r="A35" s="6" t="s">
        <v>97</v>
      </c>
      <c r="B35" s="10" t="s">
        <v>98</v>
      </c>
      <c r="C35" s="13">
        <v>2E-3</v>
      </c>
      <c r="D35" s="21">
        <f t="shared" si="10"/>
        <v>5.5246885299999997</v>
      </c>
      <c r="E35" s="48">
        <v>2E-3</v>
      </c>
      <c r="F35" s="21">
        <f t="shared" si="2"/>
        <v>5.898147633999999</v>
      </c>
      <c r="G35" s="13">
        <v>2E-3</v>
      </c>
      <c r="H35" s="21">
        <f t="shared" si="3"/>
        <v>5.898147633999999</v>
      </c>
      <c r="I35" s="13">
        <v>2E-3</v>
      </c>
      <c r="J35" s="21">
        <f t="shared" si="4"/>
        <v>5.898147633999999</v>
      </c>
      <c r="K35" s="13">
        <v>2E-3</v>
      </c>
      <c r="L35" s="21">
        <f t="shared" si="5"/>
        <v>6.4702613859999998</v>
      </c>
      <c r="M35" s="13">
        <v>2E-3</v>
      </c>
      <c r="N35" s="21">
        <f t="shared" si="6"/>
        <v>6.4702613859999998</v>
      </c>
      <c r="O35" s="13">
        <v>2E-3</v>
      </c>
      <c r="P35" s="21">
        <f t="shared" si="7"/>
        <v>6.4702613859999998</v>
      </c>
      <c r="Q35" s="13">
        <v>2E-3</v>
      </c>
      <c r="R35" s="43">
        <f t="shared" si="8"/>
        <v>6.6136049180000001</v>
      </c>
      <c r="S35" s="13">
        <v>2E-3</v>
      </c>
      <c r="T35" s="43">
        <f t="shared" si="9"/>
        <v>6.8900635460000004</v>
      </c>
    </row>
    <row r="36" spans="1:20" x14ac:dyDescent="0.25">
      <c r="A36" s="6" t="s">
        <v>99</v>
      </c>
      <c r="B36" s="10" t="s">
        <v>100</v>
      </c>
      <c r="C36" s="13">
        <v>0.08</v>
      </c>
      <c r="D36" s="21">
        <f t="shared" si="10"/>
        <v>220.98754119999998</v>
      </c>
      <c r="E36" s="48">
        <v>0.08</v>
      </c>
      <c r="F36" s="21">
        <f t="shared" si="2"/>
        <v>235.92590535999997</v>
      </c>
      <c r="G36" s="13">
        <v>0.08</v>
      </c>
      <c r="H36" s="21">
        <f t="shared" si="3"/>
        <v>235.92590535999997</v>
      </c>
      <c r="I36" s="13">
        <v>0.08</v>
      </c>
      <c r="J36" s="21">
        <f t="shared" si="4"/>
        <v>235.92590535999997</v>
      </c>
      <c r="K36" s="13">
        <v>0.08</v>
      </c>
      <c r="L36" s="21">
        <f t="shared" si="5"/>
        <v>258.81045544</v>
      </c>
      <c r="M36" s="13">
        <v>0.08</v>
      </c>
      <c r="N36" s="21">
        <f t="shared" si="6"/>
        <v>258.81045544</v>
      </c>
      <c r="O36" s="13">
        <v>0.08</v>
      </c>
      <c r="P36" s="21">
        <f t="shared" si="7"/>
        <v>258.81045544</v>
      </c>
      <c r="Q36" s="13">
        <v>0.08</v>
      </c>
      <c r="R36" s="43">
        <f t="shared" si="8"/>
        <v>264.54419672</v>
      </c>
      <c r="S36" s="13">
        <v>0.08</v>
      </c>
      <c r="T36" s="43">
        <f t="shared" si="9"/>
        <v>275.60254184000001</v>
      </c>
    </row>
    <row r="37" spans="1:20" x14ac:dyDescent="0.25">
      <c r="A37" s="341" t="s">
        <v>32</v>
      </c>
      <c r="B37" s="343"/>
      <c r="C37" s="26">
        <f>SUM(C29:C36)</f>
        <v>0.14800000000000002</v>
      </c>
      <c r="D37" s="23">
        <f>SUM(D29:D36)</f>
        <v>408.82695121999996</v>
      </c>
      <c r="E37" s="49">
        <f t="shared" ref="E37:R37" si="11">SUM(E29:E36)</f>
        <v>0.14800000000000002</v>
      </c>
      <c r="F37" s="23">
        <f t="shared" si="11"/>
        <v>436.46292491599991</v>
      </c>
      <c r="G37" s="26">
        <f t="shared" si="11"/>
        <v>0.14800000000000002</v>
      </c>
      <c r="H37" s="23">
        <f t="shared" si="11"/>
        <v>436.46292491599991</v>
      </c>
      <c r="I37" s="26">
        <f t="shared" si="11"/>
        <v>0.14800000000000002</v>
      </c>
      <c r="J37" s="23">
        <f t="shared" si="11"/>
        <v>436.46292491599991</v>
      </c>
      <c r="K37" s="26">
        <f t="shared" si="11"/>
        <v>0.14800000000000002</v>
      </c>
      <c r="L37" s="23">
        <f t="shared" si="11"/>
        <v>478.79934256399997</v>
      </c>
      <c r="M37" s="26">
        <f t="shared" si="11"/>
        <v>0.14800000000000002</v>
      </c>
      <c r="N37" s="23">
        <f t="shared" si="11"/>
        <v>478.79934256399997</v>
      </c>
      <c r="O37" s="26">
        <f t="shared" si="11"/>
        <v>0.14800000000000002</v>
      </c>
      <c r="P37" s="23">
        <f t="shared" si="11"/>
        <v>478.79934256399997</v>
      </c>
      <c r="Q37" s="26">
        <f t="shared" si="11"/>
        <v>0.14800000000000002</v>
      </c>
      <c r="R37" s="169">
        <f t="shared" si="11"/>
        <v>489.40676393199999</v>
      </c>
      <c r="S37" s="26">
        <f t="shared" ref="S37:T37" si="12">SUM(S29:S36)</f>
        <v>0.14800000000000002</v>
      </c>
      <c r="T37" s="169">
        <f t="shared" si="12"/>
        <v>509.86470240400001</v>
      </c>
    </row>
    <row r="38" spans="1:20" x14ac:dyDescent="0.25">
      <c r="E38" s="55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39"/>
      <c r="S38" s="10"/>
      <c r="T38" s="139"/>
    </row>
    <row r="39" spans="1:20" ht="15" customHeight="1" x14ac:dyDescent="0.25">
      <c r="A39" s="276" t="s">
        <v>101</v>
      </c>
      <c r="B39" s="276"/>
      <c r="C39" s="276"/>
      <c r="D39" s="276"/>
      <c r="E39" s="55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39"/>
      <c r="S39" s="10"/>
      <c r="T39" s="139"/>
    </row>
    <row r="40" spans="1:20" x14ac:dyDescent="0.25">
      <c r="A40" s="163" t="s">
        <v>102</v>
      </c>
      <c r="B40" s="163" t="s">
        <v>103</v>
      </c>
      <c r="C40" s="174" t="s">
        <v>85</v>
      </c>
      <c r="D40" s="163" t="s">
        <v>30</v>
      </c>
      <c r="E40" s="175" t="s">
        <v>85</v>
      </c>
      <c r="F40" s="163" t="s">
        <v>30</v>
      </c>
      <c r="G40" s="174" t="s">
        <v>85</v>
      </c>
      <c r="H40" s="163" t="s">
        <v>30</v>
      </c>
      <c r="I40" s="174" t="s">
        <v>85</v>
      </c>
      <c r="J40" s="163" t="s">
        <v>30</v>
      </c>
      <c r="K40" s="174" t="s">
        <v>85</v>
      </c>
      <c r="L40" s="163" t="s">
        <v>30</v>
      </c>
      <c r="M40" s="174" t="s">
        <v>85</v>
      </c>
      <c r="N40" s="163" t="s">
        <v>30</v>
      </c>
      <c r="O40" s="174" t="s">
        <v>85</v>
      </c>
      <c r="P40" s="163" t="s">
        <v>30</v>
      </c>
      <c r="Q40" s="174" t="s">
        <v>85</v>
      </c>
      <c r="R40" s="41" t="s">
        <v>30</v>
      </c>
      <c r="S40" s="174" t="s">
        <v>85</v>
      </c>
      <c r="T40" s="41" t="s">
        <v>30</v>
      </c>
    </row>
    <row r="41" spans="1:20" x14ac:dyDescent="0.25">
      <c r="A41" s="6" t="s">
        <v>69</v>
      </c>
      <c r="B41" s="10" t="s">
        <v>104</v>
      </c>
      <c r="C41" s="155"/>
      <c r="D41" s="22">
        <f>(16.6*22)-(0.06*D18)</f>
        <v>228.43900000000005</v>
      </c>
      <c r="E41" s="40"/>
      <c r="F41" s="22">
        <f>(16.6*22)-(0.06*F18)</f>
        <v>219.19420000000005</v>
      </c>
      <c r="G41" s="155"/>
      <c r="H41" s="22">
        <f>(16.6*22)-(0.06*H18)</f>
        <v>219.19420000000005</v>
      </c>
      <c r="I41" s="155"/>
      <c r="J41" s="22">
        <f>(16.6*22)-(0.06*J18)</f>
        <v>219.19420000000005</v>
      </c>
      <c r="K41" s="155"/>
      <c r="L41" s="22">
        <f>(16.6*22)-(0.06*L18)</f>
        <v>205.03180000000006</v>
      </c>
      <c r="M41" s="155"/>
      <c r="N41" s="22">
        <f>(16.6*22)-(0.06*N18)</f>
        <v>205.03180000000006</v>
      </c>
      <c r="O41" s="155"/>
      <c r="P41" s="22">
        <f>(16.6*22)-(0.06*P18)</f>
        <v>205.03180000000006</v>
      </c>
      <c r="Q41" s="155"/>
      <c r="R41" s="170">
        <f>(16.6*22)-(0.06*R18)</f>
        <v>201.48340000000005</v>
      </c>
      <c r="S41" s="155"/>
      <c r="T41" s="170">
        <f>(16.6*22)-(0.06*T18)</f>
        <v>194.63980000000004</v>
      </c>
    </row>
    <row r="42" spans="1:20" ht="30" x14ac:dyDescent="0.25">
      <c r="A42" s="6" t="s">
        <v>71</v>
      </c>
      <c r="B42" s="168" t="s">
        <v>169</v>
      </c>
      <c r="C42" s="15">
        <f>IF(D12&lt;=1861.34,0%,IF(AND(D12&gt;=1861.35,D12&lt;=3149.96),5%,IF(AND(D12&gt;=3149.97,D12&lt;=4581.75),7.5%,IF(AND(D12&gt;=4581.76,D12&lt;=5727.2),10%,IF(AND(D12&gt;=5727.21,D12&lt;=7015.83),15%,20%)))))</f>
        <v>0.05</v>
      </c>
      <c r="D42" s="21">
        <f>(26.87-(26.87*C42))*22</f>
        <v>561.58300000000008</v>
      </c>
      <c r="E42" s="51">
        <f>IF(F12&lt;=1987.18,0%,IF(AND(F12&gt;=1987.18,F12&lt;=3362.91),5%,IF(AND(F12&gt;=3362.91,F12&lt;=4891.49),7.5%,IF(AND(F12&gt;=4891.49,F12&lt;=6114.37),10%,IF(AND(F12&gt;=6114.37,F12&lt;=7490.12),15%,20%)))))</f>
        <v>0.05</v>
      </c>
      <c r="F42" s="21">
        <f>(28.69-(28.69*E42))*22</f>
        <v>599.62099999999998</v>
      </c>
      <c r="G42" s="15">
        <f>IF(H12&lt;=1987.18,0%,IF(AND(H12&gt;=1987.18,H12&lt;=3362.91),5%,IF(AND(H12&gt;=3362.91,H12&lt;=4891.49),7.5%,IF(AND(H12&gt;=4891.49,H12&lt;=6114.37),10%,IF(AND(H12&gt;=6114.37,H12&lt;=7490.12),15%,20%)))))</f>
        <v>0.05</v>
      </c>
      <c r="H42" s="21">
        <f>(28.69-(28.69*G42))*22</f>
        <v>599.62099999999998</v>
      </c>
      <c r="I42" s="15">
        <f>IF(J12&lt;=2228.21,0%,IF(AND(J12&gt;=2228.21,J12&lt;=3770.81),5%,IF(AND(J12&gt;=3770.81,J12&lt;=5484.81),7.5%,IF(AND(J12&gt;=5484.81,J12&lt;=6856.03),10%,IF(AND(J12&gt;=6856.03,J12&lt;=8398.66),15%,20%)))))</f>
        <v>0.05</v>
      </c>
      <c r="J42" s="21">
        <f>(32.17-(32.17*I42))*22</f>
        <v>672.35300000000007</v>
      </c>
      <c r="K42" s="15">
        <f>IF(L12&lt;=2228.21,0%,IF(AND(L12&gt;=2228.21,L12&lt;=3770.81),5%,IF(AND(L12&gt;=3770.81,L12&lt;=5484.81),7.5%,IF(AND(L12&gt;=5484.81,L12&lt;=6856.03),10%,IF(AND(L12&gt;=6856.03,L12&lt;=8398.66),15%,20%)))))</f>
        <v>0.05</v>
      </c>
      <c r="L42" s="21">
        <f>(32.17-(32.17*K42))*22</f>
        <v>672.35300000000007</v>
      </c>
      <c r="M42" s="15">
        <f>IF(N12&lt;=2228.21,0%,IF(AND(N12&gt;=2228.21,N12&lt;=3770.81),5%,IF(AND(N12&gt;=3770.81,N12&lt;=5484.81),7.5%,IF(AND(N12&gt;=5484.81,N12&lt;=6856.03),10%,IF(AND(N12&gt;=6856.03,N12&lt;=8398.66),15%,20%)))))</f>
        <v>0.05</v>
      </c>
      <c r="N42" s="21">
        <f>(32.17-(32.17*M42))*22</f>
        <v>672.35300000000007</v>
      </c>
      <c r="O42" s="15">
        <f>IF(P12&lt;=2228.21,0%,IF(AND(P12&gt;=2228.21,P12&lt;=3770.81),5%,IF(AND(P12&gt;=3770.81,P12&lt;=5484.81),7.5%,IF(AND(P12&gt;=5484.81,P12&lt;=6856.03),10%,IF(AND(P12&gt;=6856.03,P12&lt;=8398.66),15%,20%)))))</f>
        <v>0.05</v>
      </c>
      <c r="P42" s="21">
        <f>(32.17-(32.17*O42))*22</f>
        <v>672.35300000000007</v>
      </c>
      <c r="Q42" s="15">
        <f>IF(R12&lt;=2228.21,0%,IF(AND(R12&gt;=2228.21,R12&lt;=3770.81),5%,IF(AND(R12&gt;=3770.81,R12&lt;=5484.81),7.5%,IF(AND(R12&gt;=5484.81,R12&lt;=6856.03),10%,IF(AND(R12&gt;=6856.03,R12&lt;=8398.66),15%,20%)))))</f>
        <v>0.05</v>
      </c>
      <c r="R42" s="43">
        <f>(32.17-(32.17*Q42))*22</f>
        <v>672.35300000000007</v>
      </c>
      <c r="S42" s="15">
        <f>IF(T12&lt;=2228.21,0%,IF(AND(T12&gt;=2228.21,T12&lt;=3770.81),5%,IF(AND(T12&gt;=3770.81,T12&lt;=5484.81),7.5%,IF(AND(T12&gt;=5484.81,T12&lt;=6856.03),10%,IF(AND(T12&gt;=6856.03,T12&lt;=8398.66),15%,20%)))))</f>
        <v>0.05</v>
      </c>
      <c r="T42" s="43">
        <f>(33.51-(33.51*S42))*22</f>
        <v>700.35899999999992</v>
      </c>
    </row>
    <row r="43" spans="1:20" x14ac:dyDescent="0.25">
      <c r="A43" s="6" t="s">
        <v>73</v>
      </c>
      <c r="B43" s="10" t="s">
        <v>170</v>
      </c>
      <c r="C43" s="15">
        <f>IF(D12&lt;=2051.96,70%,IF(AND(D12&gt;=2051.97,D12&lt;=3420.91),60%,50%))</f>
        <v>0.6</v>
      </c>
      <c r="D43" s="21">
        <f>204.41*C43</f>
        <v>122.64599999999999</v>
      </c>
      <c r="E43" s="51">
        <f>IF(F12&lt;=2190.67,70%,IF(AND(F12&gt;=2190.67,F12&lt;=3652.17),60%,50%))</f>
        <v>0.6</v>
      </c>
      <c r="F43" s="21">
        <f>204.41*1.0676*E43</f>
        <v>130.93686960000002</v>
      </c>
      <c r="G43" s="15">
        <f>IF(H12&lt;=2190.67,70%,IF(AND(H12&gt;=2190.67,H12&lt;=3652.17),60%,50%))</f>
        <v>0.6</v>
      </c>
      <c r="H43" s="21">
        <f>204.41*1.0676*G43</f>
        <v>130.93686960000002</v>
      </c>
      <c r="I43" s="15">
        <f>IF(J12&lt;=2456.39,70%,IF(AND(J12&gt;=2456.39,J12&lt;=4095.16),60%,50%))</f>
        <v>0.7</v>
      </c>
      <c r="J43" s="21">
        <f>204.41*1.0676*I43</f>
        <v>152.75968120000002</v>
      </c>
      <c r="K43" s="15">
        <f>IF(L12&lt;=2456.39,70%,IF(AND(L12&gt;=2456.39,L12&lt;=4095.16),60%,50%))</f>
        <v>0.6</v>
      </c>
      <c r="L43" s="21">
        <f>218.24*1.097*K43</f>
        <v>143.645568</v>
      </c>
      <c r="M43" s="15">
        <f>IF(N12&lt;=2456.39,70%,IF(AND(N12&gt;=2456.39,N12&lt;=4095.16),60%,50%))</f>
        <v>0.6</v>
      </c>
      <c r="N43" s="21">
        <f>218.24*1.097*M43</f>
        <v>143.645568</v>
      </c>
      <c r="O43" s="15">
        <f>IF(P12&lt;=2456.39,70%,IF(AND(P12&gt;=2456.39,P12&lt;=4095.16),60%,50%))</f>
        <v>0.6</v>
      </c>
      <c r="P43" s="21">
        <f>218.24*1.097*O43</f>
        <v>143.645568</v>
      </c>
      <c r="Q43" s="15">
        <f>IF(R12&lt;=2456.39,70%,IF(AND(R12&gt;=2456.39,R12&lt;=4095.16),60%,50%))</f>
        <v>0.6</v>
      </c>
      <c r="R43" s="43">
        <f>218.24*1.1213*Q43</f>
        <v>146.82750719999999</v>
      </c>
      <c r="S43" s="15">
        <f>IF(T12&lt;=2456.39,70%,IF(AND(T12&gt;=2456.39,T12&lt;=4095.16),60%,50%))</f>
        <v>0.6</v>
      </c>
      <c r="T43" s="43">
        <f>244.71*1.0418*S43</f>
        <v>152.9633268</v>
      </c>
    </row>
    <row r="44" spans="1:20" x14ac:dyDescent="0.25">
      <c r="A44" s="6" t="s">
        <v>75</v>
      </c>
      <c r="B44" s="10" t="s">
        <v>107</v>
      </c>
      <c r="C44" s="155"/>
      <c r="D44" s="21">
        <v>0</v>
      </c>
      <c r="E44" s="40"/>
      <c r="F44" s="21">
        <v>0</v>
      </c>
      <c r="G44" s="155"/>
      <c r="H44" s="21">
        <v>0</v>
      </c>
      <c r="I44" s="155"/>
      <c r="J44" s="21">
        <v>0</v>
      </c>
      <c r="K44" s="155"/>
      <c r="L44" s="21">
        <v>0</v>
      </c>
      <c r="M44" s="155"/>
      <c r="N44" s="21">
        <v>0</v>
      </c>
      <c r="O44" s="155"/>
      <c r="P44" s="21">
        <v>0</v>
      </c>
      <c r="Q44" s="155"/>
      <c r="R44" s="43">
        <v>0</v>
      </c>
      <c r="S44" s="155"/>
      <c r="T44" s="43">
        <v>0</v>
      </c>
    </row>
    <row r="45" spans="1:20" x14ac:dyDescent="0.25">
      <c r="A45" s="340" t="s">
        <v>32</v>
      </c>
      <c r="B45" s="340"/>
      <c r="C45" s="340"/>
      <c r="D45" s="23">
        <f>SUM(D41:D44)</f>
        <v>912.66800000000012</v>
      </c>
      <c r="E45" s="55"/>
      <c r="F45" s="23">
        <f>SUM(F41:F44)</f>
        <v>949.75206960000003</v>
      </c>
      <c r="G45" s="10"/>
      <c r="H45" s="23">
        <f>SUM(H41:H44)</f>
        <v>949.75206960000003</v>
      </c>
      <c r="I45" s="10"/>
      <c r="J45" s="23">
        <f>SUM(J41:J44)</f>
        <v>1044.3068812000001</v>
      </c>
      <c r="K45" s="10"/>
      <c r="L45" s="23">
        <f>SUM(L41:L44)</f>
        <v>1021.0303680000002</v>
      </c>
      <c r="M45" s="10"/>
      <c r="N45" s="23">
        <f>SUM(N41:N44)</f>
        <v>1021.0303680000002</v>
      </c>
      <c r="O45" s="10"/>
      <c r="P45" s="23">
        <f>SUM(P41:P44)</f>
        <v>1021.0303680000002</v>
      </c>
      <c r="Q45" s="10"/>
      <c r="R45" s="169">
        <f>SUM(R41:R44)</f>
        <v>1020.6639072000002</v>
      </c>
      <c r="S45" s="10"/>
      <c r="T45" s="169">
        <f>SUM(T41:T44)</f>
        <v>1047.9621268000001</v>
      </c>
    </row>
    <row r="46" spans="1:20" x14ac:dyDescent="0.25">
      <c r="E46" s="55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39"/>
      <c r="S46" s="10"/>
      <c r="T46" s="139"/>
    </row>
    <row r="47" spans="1:20" ht="15" customHeight="1" x14ac:dyDescent="0.25">
      <c r="A47" s="276" t="s">
        <v>108</v>
      </c>
      <c r="B47" s="276"/>
      <c r="C47" s="276"/>
      <c r="D47" s="276"/>
      <c r="E47" s="55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39"/>
      <c r="S47" s="10"/>
      <c r="T47" s="139"/>
    </row>
    <row r="48" spans="1:20" x14ac:dyDescent="0.25">
      <c r="A48" s="163">
        <v>2</v>
      </c>
      <c r="B48" s="340" t="s">
        <v>109</v>
      </c>
      <c r="C48" s="340"/>
      <c r="D48" s="163" t="s">
        <v>30</v>
      </c>
      <c r="E48" s="55"/>
      <c r="F48" s="163" t="s">
        <v>30</v>
      </c>
      <c r="G48" s="10"/>
      <c r="H48" s="163" t="s">
        <v>30</v>
      </c>
      <c r="I48" s="10"/>
      <c r="J48" s="163" t="s">
        <v>30</v>
      </c>
      <c r="K48" s="10"/>
      <c r="L48" s="163" t="s">
        <v>30</v>
      </c>
      <c r="M48" s="10"/>
      <c r="N48" s="163" t="s">
        <v>30</v>
      </c>
      <c r="O48" s="10"/>
      <c r="P48" s="163" t="s">
        <v>30</v>
      </c>
      <c r="Q48" s="10"/>
      <c r="R48" s="41" t="s">
        <v>30</v>
      </c>
      <c r="S48" s="10"/>
      <c r="T48" s="41" t="s">
        <v>30</v>
      </c>
    </row>
    <row r="49" spans="1:20" x14ac:dyDescent="0.25">
      <c r="A49" s="6" t="s">
        <v>83</v>
      </c>
      <c r="B49" s="320" t="s">
        <v>84</v>
      </c>
      <c r="C49" s="320"/>
      <c r="D49" s="21">
        <f>D25</f>
        <v>482.99426499999993</v>
      </c>
      <c r="E49" s="55"/>
      <c r="F49" s="21">
        <f>F25</f>
        <v>515.6438169999999</v>
      </c>
      <c r="G49" s="10"/>
      <c r="H49" s="21">
        <f>H25</f>
        <v>515.6438169999999</v>
      </c>
      <c r="I49" s="10"/>
      <c r="J49" s="21">
        <f>J25</f>
        <v>515.6438169999999</v>
      </c>
      <c r="K49" s="10"/>
      <c r="L49" s="21">
        <f>L25</f>
        <v>565.66069299999992</v>
      </c>
      <c r="M49" s="10"/>
      <c r="N49" s="21">
        <f>N25</f>
        <v>565.66069299999992</v>
      </c>
      <c r="O49" s="10"/>
      <c r="P49" s="21">
        <f>P25</f>
        <v>565.66069299999992</v>
      </c>
      <c r="Q49" s="10"/>
      <c r="R49" s="43">
        <f>R25</f>
        <v>578.19245899999999</v>
      </c>
      <c r="S49" s="10"/>
      <c r="T49" s="43">
        <f>T25</f>
        <v>602.36177300000008</v>
      </c>
    </row>
    <row r="50" spans="1:20" x14ac:dyDescent="0.25">
      <c r="A50" s="6" t="s">
        <v>89</v>
      </c>
      <c r="B50" s="312" t="s">
        <v>90</v>
      </c>
      <c r="C50" s="312"/>
      <c r="D50" s="21">
        <f>D37</f>
        <v>408.82695121999996</v>
      </c>
      <c r="E50" s="55"/>
      <c r="F50" s="21">
        <f>F37</f>
        <v>436.46292491599991</v>
      </c>
      <c r="G50" s="10"/>
      <c r="H50" s="21">
        <f>H37</f>
        <v>436.46292491599991</v>
      </c>
      <c r="I50" s="10"/>
      <c r="J50" s="21">
        <f>J37</f>
        <v>436.46292491599991</v>
      </c>
      <c r="K50" s="10"/>
      <c r="L50" s="21">
        <f>L37</f>
        <v>478.79934256399997</v>
      </c>
      <c r="M50" s="10"/>
      <c r="N50" s="21">
        <f>N37</f>
        <v>478.79934256399997</v>
      </c>
      <c r="O50" s="10"/>
      <c r="P50" s="21">
        <f>P37</f>
        <v>478.79934256399997</v>
      </c>
      <c r="Q50" s="10"/>
      <c r="R50" s="43">
        <f>R37</f>
        <v>489.40676393199999</v>
      </c>
      <c r="S50" s="10"/>
      <c r="T50" s="43">
        <f>T37</f>
        <v>509.86470240400001</v>
      </c>
    </row>
    <row r="51" spans="1:20" x14ac:dyDescent="0.25">
      <c r="A51" s="6" t="s">
        <v>102</v>
      </c>
      <c r="B51" s="312" t="s">
        <v>103</v>
      </c>
      <c r="C51" s="312"/>
      <c r="D51" s="21">
        <f>D45</f>
        <v>912.66800000000012</v>
      </c>
      <c r="E51" s="55"/>
      <c r="F51" s="21">
        <f>F45</f>
        <v>949.75206960000003</v>
      </c>
      <c r="G51" s="10"/>
      <c r="H51" s="21">
        <f>H45</f>
        <v>949.75206960000003</v>
      </c>
      <c r="I51" s="10"/>
      <c r="J51" s="21">
        <f>J45</f>
        <v>1044.3068812000001</v>
      </c>
      <c r="K51" s="10"/>
      <c r="L51" s="21">
        <f>L45</f>
        <v>1021.0303680000002</v>
      </c>
      <c r="M51" s="10"/>
      <c r="N51" s="21">
        <f>N45</f>
        <v>1021.0303680000002</v>
      </c>
      <c r="O51" s="10"/>
      <c r="P51" s="21">
        <f>P45</f>
        <v>1021.0303680000002</v>
      </c>
      <c r="Q51" s="10"/>
      <c r="R51" s="43">
        <f>R45</f>
        <v>1020.6639072000002</v>
      </c>
      <c r="S51" s="10"/>
      <c r="T51" s="43">
        <f>T45</f>
        <v>1047.9621268000001</v>
      </c>
    </row>
    <row r="52" spans="1:20" x14ac:dyDescent="0.25">
      <c r="A52" s="341" t="s">
        <v>32</v>
      </c>
      <c r="B52" s="350"/>
      <c r="C52" s="343"/>
      <c r="D52" s="23">
        <f>SUM(D49:D51)</f>
        <v>1804.4892162199999</v>
      </c>
      <c r="E52" s="55"/>
      <c r="F52" s="23">
        <f>SUM(F49:F51)</f>
        <v>1901.8588115159998</v>
      </c>
      <c r="G52" s="10"/>
      <c r="H52" s="23">
        <f>SUM(H49:H51)</f>
        <v>1901.8588115159998</v>
      </c>
      <c r="I52" s="10"/>
      <c r="J52" s="23">
        <f>SUM(J49:J51)</f>
        <v>1996.4136231160001</v>
      </c>
      <c r="K52" s="10"/>
      <c r="L52" s="23">
        <f>SUM(L49:L51)</f>
        <v>2065.4904035640002</v>
      </c>
      <c r="M52" s="10"/>
      <c r="N52" s="23">
        <f>SUM(N49:N51)</f>
        <v>2065.4904035640002</v>
      </c>
      <c r="O52" s="10"/>
      <c r="P52" s="23">
        <f>SUM(P49:P51)</f>
        <v>2065.4904035640002</v>
      </c>
      <c r="Q52" s="10"/>
      <c r="R52" s="169">
        <f>SUM(R49:R51)</f>
        <v>2088.2631301320002</v>
      </c>
      <c r="S52" s="10"/>
      <c r="T52" s="169">
        <f>SUM(T49:T51)</f>
        <v>2160.1886022040003</v>
      </c>
    </row>
    <row r="53" spans="1:20" x14ac:dyDescent="0.25">
      <c r="E53" s="55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39"/>
      <c r="S53" s="10"/>
      <c r="T53" s="139"/>
    </row>
    <row r="54" spans="1:20" ht="15" customHeight="1" x14ac:dyDescent="0.25">
      <c r="A54" s="276" t="s">
        <v>110</v>
      </c>
      <c r="B54" s="276"/>
      <c r="C54" s="276"/>
      <c r="D54" s="276"/>
      <c r="E54" s="55"/>
      <c r="F54" s="11"/>
      <c r="G54" s="10"/>
      <c r="H54" s="11"/>
      <c r="I54" s="10"/>
      <c r="J54" s="11"/>
      <c r="K54" s="10"/>
      <c r="L54" s="11"/>
      <c r="M54" s="10"/>
      <c r="N54" s="11"/>
      <c r="O54" s="10"/>
      <c r="P54" s="11"/>
      <c r="Q54" s="10"/>
      <c r="R54" s="141"/>
      <c r="S54" s="10"/>
      <c r="T54" s="141"/>
    </row>
    <row r="55" spans="1:20" x14ac:dyDescent="0.25">
      <c r="A55" s="163">
        <v>3</v>
      </c>
      <c r="B55" s="163" t="s">
        <v>111</v>
      </c>
      <c r="C55" s="163" t="s">
        <v>85</v>
      </c>
      <c r="D55" s="163" t="s">
        <v>30</v>
      </c>
      <c r="E55" s="162" t="s">
        <v>85</v>
      </c>
      <c r="F55" s="163" t="s">
        <v>30</v>
      </c>
      <c r="G55" s="163" t="s">
        <v>85</v>
      </c>
      <c r="H55" s="163" t="s">
        <v>30</v>
      </c>
      <c r="I55" s="163" t="s">
        <v>85</v>
      </c>
      <c r="J55" s="163" t="s">
        <v>30</v>
      </c>
      <c r="K55" s="163" t="s">
        <v>85</v>
      </c>
      <c r="L55" s="163" t="s">
        <v>30</v>
      </c>
      <c r="M55" s="163" t="s">
        <v>85</v>
      </c>
      <c r="N55" s="163" t="s">
        <v>30</v>
      </c>
      <c r="O55" s="163" t="s">
        <v>85</v>
      </c>
      <c r="P55" s="163" t="s">
        <v>30</v>
      </c>
      <c r="Q55" s="163" t="s">
        <v>85</v>
      </c>
      <c r="R55" s="41" t="s">
        <v>30</v>
      </c>
      <c r="S55" s="163" t="s">
        <v>85</v>
      </c>
      <c r="T55" s="41" t="s">
        <v>30</v>
      </c>
    </row>
    <row r="56" spans="1:20" x14ac:dyDescent="0.25">
      <c r="A56" s="6" t="s">
        <v>69</v>
      </c>
      <c r="B56" s="8" t="s">
        <v>112</v>
      </c>
      <c r="C56" s="17">
        <v>4.1999999999999997E-3</v>
      </c>
      <c r="D56" s="20">
        <f t="shared" ref="D56:D61" si="13">C56*($D$18+$D$25)</f>
        <v>11.601845912999998</v>
      </c>
      <c r="E56" s="52">
        <v>4.1999999999999997E-3</v>
      </c>
      <c r="F56" s="20">
        <f t="shared" ref="F56:F61" si="14">E56*(F$18+F$25)</f>
        <v>12.386110031399998</v>
      </c>
      <c r="G56" s="17">
        <v>4.1999999999999997E-3</v>
      </c>
      <c r="H56" s="20">
        <f t="shared" ref="H56:H61" si="15">G56*(H$18+H$25)</f>
        <v>12.386110031399998</v>
      </c>
      <c r="I56" s="17">
        <v>4.1999999999999997E-3</v>
      </c>
      <c r="J56" s="20">
        <f t="shared" ref="J56:J61" si="16">I56*(J$18+J$25)</f>
        <v>12.386110031399998</v>
      </c>
      <c r="K56" s="17">
        <v>4.1999999999999997E-3</v>
      </c>
      <c r="L56" s="20">
        <f t="shared" ref="L56:L61" si="17">K56*(L$18+L$25)</f>
        <v>13.587548910599997</v>
      </c>
      <c r="M56" s="77">
        <v>4.1999999999999997E-3</v>
      </c>
      <c r="N56" s="20">
        <f t="shared" ref="N56:N61" si="18">M56*(N$18+N$25)</f>
        <v>13.587548910599997</v>
      </c>
      <c r="O56" s="77">
        <v>4.1999999999999997E-3</v>
      </c>
      <c r="P56" s="20">
        <f t="shared" ref="P56:P61" si="19">O56*(P$18+P$25)</f>
        <v>13.587548910599997</v>
      </c>
      <c r="Q56" s="77">
        <v>4.1999999999999997E-3</v>
      </c>
      <c r="R56" s="176">
        <f t="shared" ref="R56:R61" si="20">Q56*(R$18+R$25)</f>
        <v>13.888570327799998</v>
      </c>
      <c r="S56" s="77">
        <v>4.1999999999999997E-3</v>
      </c>
      <c r="T56" s="176">
        <f t="shared" ref="T56:T61" si="21">S56*(T$18+T$25)</f>
        <v>14.469133446599999</v>
      </c>
    </row>
    <row r="57" spans="1:20" x14ac:dyDescent="0.25">
      <c r="A57" s="6" t="s">
        <v>71</v>
      </c>
      <c r="B57" s="8" t="s">
        <v>113</v>
      </c>
      <c r="C57" s="17">
        <v>2.9999999999999997E-4</v>
      </c>
      <c r="D57" s="20">
        <f t="shared" si="13"/>
        <v>0.82870327949999989</v>
      </c>
      <c r="E57" s="52">
        <v>2.9999999999999997E-4</v>
      </c>
      <c r="F57" s="20">
        <f t="shared" si="14"/>
        <v>0.8847221450999998</v>
      </c>
      <c r="G57" s="17">
        <v>2.9999999999999997E-4</v>
      </c>
      <c r="H57" s="20">
        <f t="shared" si="15"/>
        <v>0.8847221450999998</v>
      </c>
      <c r="I57" s="17">
        <v>2.9999999999999997E-4</v>
      </c>
      <c r="J57" s="20">
        <f t="shared" si="16"/>
        <v>0.8847221450999998</v>
      </c>
      <c r="K57" s="17">
        <v>2.9999999999999997E-4</v>
      </c>
      <c r="L57" s="20">
        <f t="shared" si="17"/>
        <v>0.97053920789999981</v>
      </c>
      <c r="M57" s="77">
        <v>2.9999999999999997E-4</v>
      </c>
      <c r="N57" s="20">
        <f t="shared" si="18"/>
        <v>0.97053920789999981</v>
      </c>
      <c r="O57" s="77">
        <v>2.9999999999999997E-4</v>
      </c>
      <c r="P57" s="20">
        <f t="shared" si="19"/>
        <v>0.97053920789999981</v>
      </c>
      <c r="Q57" s="77">
        <v>2.9999999999999997E-4</v>
      </c>
      <c r="R57" s="176">
        <f t="shared" si="20"/>
        <v>0.9920407376999999</v>
      </c>
      <c r="S57" s="77">
        <v>2.9999999999999997E-4</v>
      </c>
      <c r="T57" s="176">
        <f t="shared" si="21"/>
        <v>1.0335095319000001</v>
      </c>
    </row>
    <row r="58" spans="1:20" x14ac:dyDescent="0.25">
      <c r="A58" s="6" t="s">
        <v>73</v>
      </c>
      <c r="B58" s="8" t="s">
        <v>114</v>
      </c>
      <c r="C58" s="17">
        <f>(((0.42+(40%*0.42)))*8%*0.42%)</f>
        <v>1.9756799999999999E-4</v>
      </c>
      <c r="D58" s="20">
        <f t="shared" si="13"/>
        <v>0.54575083174751993</v>
      </c>
      <c r="E58" s="52">
        <f>(((0.42+(40%*0.42)))*8%*0.42%)</f>
        <v>1.9756799999999999E-4</v>
      </c>
      <c r="F58" s="20">
        <f t="shared" si="14"/>
        <v>0.5826426158770559</v>
      </c>
      <c r="G58" s="17">
        <f>(((0.42+(40%*0.42)))*8%*0.42%)</f>
        <v>1.9756799999999999E-4</v>
      </c>
      <c r="H58" s="20">
        <f t="shared" si="15"/>
        <v>0.5826426158770559</v>
      </c>
      <c r="I58" s="17">
        <f>(((0.42+(40%*0.42)))*8%*0.42%)</f>
        <v>1.9756799999999999E-4</v>
      </c>
      <c r="J58" s="20">
        <f t="shared" si="16"/>
        <v>0.5826426158770559</v>
      </c>
      <c r="K58" s="17">
        <f>(((0.42+(40%*0.42)))*8%*0.42%)</f>
        <v>1.9756799999999999E-4</v>
      </c>
      <c r="L58" s="20">
        <f t="shared" si="17"/>
        <v>0.63915830075462388</v>
      </c>
      <c r="M58" s="77">
        <f>(((0.42+(40%*0.42)))*8%*0.42%)</f>
        <v>1.9756799999999999E-4</v>
      </c>
      <c r="N58" s="20">
        <f t="shared" si="18"/>
        <v>0.63915830075462388</v>
      </c>
      <c r="O58" s="77">
        <f>(((0.42+(40%*0.42)))*8%*0.42%)</f>
        <v>1.9756799999999999E-4</v>
      </c>
      <c r="P58" s="20">
        <f t="shared" si="19"/>
        <v>0.63915830075462388</v>
      </c>
      <c r="Q58" s="77">
        <f>(((0.42+(40%*0.42)))*8%*0.42%)</f>
        <v>1.9756799999999999E-4</v>
      </c>
      <c r="R58" s="176">
        <f t="shared" si="20"/>
        <v>0.65331834821971202</v>
      </c>
      <c r="S58" s="77">
        <f>(((0.42+(40%*0.42)))*8%*0.42%)</f>
        <v>1.9756799999999999E-4</v>
      </c>
      <c r="T58" s="176">
        <f t="shared" si="21"/>
        <v>0.68062803732806398</v>
      </c>
    </row>
    <row r="59" spans="1:20" x14ac:dyDescent="0.25">
      <c r="A59" s="6" t="s">
        <v>75</v>
      </c>
      <c r="B59" s="8" t="s">
        <v>115</v>
      </c>
      <c r="C59" s="17">
        <v>1.9400000000000001E-2</v>
      </c>
      <c r="D59" s="20">
        <f t="shared" si="13"/>
        <v>53.589478740999994</v>
      </c>
      <c r="E59" s="52">
        <v>1.9400000000000001E-2</v>
      </c>
      <c r="F59" s="20">
        <f t="shared" si="14"/>
        <v>57.212032049799994</v>
      </c>
      <c r="G59" s="17">
        <v>1.9400000000000001E-2</v>
      </c>
      <c r="H59" s="20">
        <f t="shared" si="15"/>
        <v>57.212032049799994</v>
      </c>
      <c r="I59" s="17">
        <v>1.9400000000000001E-2</v>
      </c>
      <c r="J59" s="20">
        <f t="shared" si="16"/>
        <v>57.212032049799994</v>
      </c>
      <c r="K59" s="17">
        <v>1.9400000000000001E-2</v>
      </c>
      <c r="L59" s="20">
        <f t="shared" si="17"/>
        <v>62.761535444199993</v>
      </c>
      <c r="M59" s="77">
        <v>1.9400000000000001E-3</v>
      </c>
      <c r="N59" s="20">
        <f t="shared" si="18"/>
        <v>6.2761535444199996</v>
      </c>
      <c r="O59" s="77">
        <v>1.9400000000000001E-3</v>
      </c>
      <c r="P59" s="20">
        <f t="shared" si="19"/>
        <v>6.2761535444199996</v>
      </c>
      <c r="Q59" s="77">
        <v>1.9400000000000001E-3</v>
      </c>
      <c r="R59" s="176">
        <f t="shared" si="20"/>
        <v>6.4151967704600006</v>
      </c>
      <c r="S59" s="77">
        <v>1.9400000000000001E-3</v>
      </c>
      <c r="T59" s="176">
        <f t="shared" si="21"/>
        <v>6.6833616396200011</v>
      </c>
    </row>
    <row r="60" spans="1:20" x14ac:dyDescent="0.25">
      <c r="A60" s="6" t="s">
        <v>77</v>
      </c>
      <c r="B60" s="8" t="s">
        <v>116</v>
      </c>
      <c r="C60" s="17">
        <f>C59*C37</f>
        <v>2.8712000000000004E-3</v>
      </c>
      <c r="D60" s="20">
        <f t="shared" si="13"/>
        <v>7.9312428536680004</v>
      </c>
      <c r="E60" s="52">
        <f>E59*E37</f>
        <v>2.8712000000000004E-3</v>
      </c>
      <c r="F60" s="20">
        <f t="shared" si="14"/>
        <v>8.4673807433704003</v>
      </c>
      <c r="G60" s="17">
        <f>G59*G37</f>
        <v>2.8712000000000004E-3</v>
      </c>
      <c r="H60" s="20">
        <f t="shared" si="15"/>
        <v>8.4673807433704003</v>
      </c>
      <c r="I60" s="17">
        <f>I59*I37</f>
        <v>2.8712000000000004E-3</v>
      </c>
      <c r="J60" s="20">
        <f t="shared" si="16"/>
        <v>8.4673807433704003</v>
      </c>
      <c r="K60" s="17">
        <f>K59*K37</f>
        <v>2.8712000000000004E-3</v>
      </c>
      <c r="L60" s="20">
        <f t="shared" si="17"/>
        <v>9.2887072457416</v>
      </c>
      <c r="M60" s="77">
        <f>M59*M37</f>
        <v>2.8712000000000003E-4</v>
      </c>
      <c r="N60" s="20">
        <f t="shared" si="18"/>
        <v>0.92887072457415998</v>
      </c>
      <c r="O60" s="77">
        <f>O59*O37</f>
        <v>2.8712000000000003E-4</v>
      </c>
      <c r="P60" s="20">
        <f t="shared" si="19"/>
        <v>0.92887072457415998</v>
      </c>
      <c r="Q60" s="77">
        <f>Q59*Q37</f>
        <v>2.8712000000000003E-4</v>
      </c>
      <c r="R60" s="176">
        <f t="shared" si="20"/>
        <v>0.94944912202808007</v>
      </c>
      <c r="S60" s="77">
        <f>S59*S37</f>
        <v>2.8712000000000003E-4</v>
      </c>
      <c r="T60" s="176">
        <f t="shared" si="21"/>
        <v>0.98913752266376009</v>
      </c>
    </row>
    <row r="61" spans="1:20" x14ac:dyDescent="0.25">
      <c r="A61" s="18" t="s">
        <v>79</v>
      </c>
      <c r="B61" s="19" t="s">
        <v>117</v>
      </c>
      <c r="C61" s="17">
        <v>3.49E-2</v>
      </c>
      <c r="D61" s="145">
        <f t="shared" si="13"/>
        <v>96.405814848499986</v>
      </c>
      <c r="E61" s="52">
        <v>3.49E-2</v>
      </c>
      <c r="F61" s="145">
        <f t="shared" si="14"/>
        <v>102.92267621329998</v>
      </c>
      <c r="G61" s="17">
        <v>3.49E-2</v>
      </c>
      <c r="H61" s="145">
        <f t="shared" si="15"/>
        <v>102.92267621329998</v>
      </c>
      <c r="I61" s="17">
        <v>3.49E-2</v>
      </c>
      <c r="J61" s="145">
        <f t="shared" si="16"/>
        <v>102.92267621329998</v>
      </c>
      <c r="K61" s="17">
        <v>3.49E-2</v>
      </c>
      <c r="L61" s="145">
        <f t="shared" si="17"/>
        <v>112.90606118569998</v>
      </c>
      <c r="M61" s="77">
        <v>3.49E-2</v>
      </c>
      <c r="N61" s="145">
        <f t="shared" si="18"/>
        <v>112.90606118569998</v>
      </c>
      <c r="O61" s="77">
        <v>3.49E-2</v>
      </c>
      <c r="P61" s="145">
        <f t="shared" si="19"/>
        <v>112.90606118569998</v>
      </c>
      <c r="Q61" s="77">
        <v>3.49E-2</v>
      </c>
      <c r="R61" s="177">
        <f t="shared" si="20"/>
        <v>115.40740581910001</v>
      </c>
      <c r="S61" s="77">
        <v>3.49E-2</v>
      </c>
      <c r="T61" s="177">
        <f t="shared" si="21"/>
        <v>120.23160887770001</v>
      </c>
    </row>
    <row r="62" spans="1:20" x14ac:dyDescent="0.25">
      <c r="A62" s="341" t="s">
        <v>32</v>
      </c>
      <c r="B62" s="343"/>
      <c r="C62" s="25">
        <f>SUM(C56:C61)</f>
        <v>6.1868768000000005E-2</v>
      </c>
      <c r="D62" s="23">
        <f>SUM(D56:D61)</f>
        <v>170.90283646741551</v>
      </c>
      <c r="E62" s="53">
        <f t="shared" ref="E62:R62" si="22">SUM(E56:E61)</f>
        <v>6.1868768000000005E-2</v>
      </c>
      <c r="F62" s="23">
        <f t="shared" si="22"/>
        <v>182.45556379884744</v>
      </c>
      <c r="G62" s="25">
        <f t="shared" si="22"/>
        <v>6.1868768000000005E-2</v>
      </c>
      <c r="H62" s="23">
        <f t="shared" si="22"/>
        <v>182.45556379884744</v>
      </c>
      <c r="I62" s="25">
        <f t="shared" si="22"/>
        <v>6.1868768000000005E-2</v>
      </c>
      <c r="J62" s="23">
        <f t="shared" si="22"/>
        <v>182.45556379884744</v>
      </c>
      <c r="K62" s="25">
        <f t="shared" si="22"/>
        <v>6.1868768000000005E-2</v>
      </c>
      <c r="L62" s="23">
        <f t="shared" si="22"/>
        <v>200.15355029489621</v>
      </c>
      <c r="M62" s="25">
        <f t="shared" si="22"/>
        <v>4.1824687999999999E-2</v>
      </c>
      <c r="N62" s="23">
        <f t="shared" si="22"/>
        <v>135.30833187394876</v>
      </c>
      <c r="O62" s="25">
        <f t="shared" si="22"/>
        <v>4.1824687999999999E-2</v>
      </c>
      <c r="P62" s="23">
        <f t="shared" si="22"/>
        <v>135.30833187394876</v>
      </c>
      <c r="Q62" s="25">
        <f t="shared" si="22"/>
        <v>4.1824687999999999E-2</v>
      </c>
      <c r="R62" s="169">
        <f t="shared" si="22"/>
        <v>138.3059811253078</v>
      </c>
      <c r="S62" s="25">
        <f t="shared" ref="S62:T62" si="23">SUM(S56:S61)</f>
        <v>4.1824687999999999E-2</v>
      </c>
      <c r="T62" s="169">
        <f t="shared" si="23"/>
        <v>144.08737905581182</v>
      </c>
    </row>
    <row r="63" spans="1:20" x14ac:dyDescent="0.25">
      <c r="E63" s="55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39"/>
      <c r="S63" s="10"/>
      <c r="T63" s="139"/>
    </row>
    <row r="64" spans="1:20" ht="15" customHeight="1" x14ac:dyDescent="0.25">
      <c r="A64" s="276" t="s">
        <v>118</v>
      </c>
      <c r="B64" s="276"/>
      <c r="C64" s="276"/>
      <c r="D64" s="276"/>
      <c r="E64" s="55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39"/>
      <c r="S64" s="10"/>
      <c r="T64" s="139"/>
    </row>
    <row r="65" spans="1:20" ht="30" customHeight="1" x14ac:dyDescent="0.25">
      <c r="A65" s="352" t="s">
        <v>119</v>
      </c>
      <c r="B65" s="352"/>
      <c r="C65" s="352"/>
      <c r="D65" s="352"/>
      <c r="E65" s="55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39"/>
      <c r="S65" s="10"/>
      <c r="T65" s="139"/>
    </row>
    <row r="66" spans="1:20" x14ac:dyDescent="0.25">
      <c r="A66" s="159"/>
      <c r="B66" s="159"/>
      <c r="C66" s="159"/>
      <c r="D66" s="159"/>
      <c r="E66" s="165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46"/>
      <c r="S66" s="166"/>
      <c r="T66" s="146"/>
    </row>
    <row r="67" spans="1:20" ht="15" customHeight="1" x14ac:dyDescent="0.25">
      <c r="A67" s="276" t="s">
        <v>120</v>
      </c>
      <c r="B67" s="276"/>
      <c r="C67" s="276"/>
      <c r="D67" s="276"/>
      <c r="E67" s="55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39"/>
      <c r="S67" s="10"/>
      <c r="T67" s="139"/>
    </row>
    <row r="68" spans="1:20" x14ac:dyDescent="0.25">
      <c r="A68" s="163" t="s">
        <v>121</v>
      </c>
      <c r="B68" s="163" t="s">
        <v>122</v>
      </c>
      <c r="C68" s="163" t="s">
        <v>85</v>
      </c>
      <c r="D68" s="163" t="s">
        <v>30</v>
      </c>
      <c r="E68" s="162" t="s">
        <v>85</v>
      </c>
      <c r="F68" s="163" t="s">
        <v>30</v>
      </c>
      <c r="G68" s="163" t="s">
        <v>85</v>
      </c>
      <c r="H68" s="163" t="s">
        <v>30</v>
      </c>
      <c r="I68" s="163" t="s">
        <v>85</v>
      </c>
      <c r="J68" s="163" t="s">
        <v>30</v>
      </c>
      <c r="K68" s="163" t="s">
        <v>85</v>
      </c>
      <c r="L68" s="163" t="s">
        <v>30</v>
      </c>
      <c r="M68" s="163" t="s">
        <v>85</v>
      </c>
      <c r="N68" s="163" t="s">
        <v>30</v>
      </c>
      <c r="O68" s="163" t="s">
        <v>85</v>
      </c>
      <c r="P68" s="163" t="s">
        <v>30</v>
      </c>
      <c r="Q68" s="163" t="s">
        <v>85</v>
      </c>
      <c r="R68" s="41" t="s">
        <v>30</v>
      </c>
      <c r="S68" s="163" t="s">
        <v>85</v>
      </c>
      <c r="T68" s="41" t="s">
        <v>30</v>
      </c>
    </row>
    <row r="69" spans="1:20" x14ac:dyDescent="0.25">
      <c r="A69" s="6" t="s">
        <v>69</v>
      </c>
      <c r="B69" s="8" t="s">
        <v>123</v>
      </c>
      <c r="C69" s="17">
        <v>6.8999999999999999E-3</v>
      </c>
      <c r="D69" s="21">
        <f t="shared" ref="D69:D74" si="24">C69*($D$18+$D$25)</f>
        <v>19.060175428499999</v>
      </c>
      <c r="E69" s="52">
        <v>6.8999999999999999E-3</v>
      </c>
      <c r="F69" s="21">
        <f t="shared" ref="F69:F74" si="25">E69*(F$18+F$25)</f>
        <v>20.348609337299997</v>
      </c>
      <c r="G69" s="17">
        <v>6.8999999999999999E-3</v>
      </c>
      <c r="H69" s="21">
        <f t="shared" ref="H69:H74" si="26">G69*(H$18+H$25)</f>
        <v>20.348609337299997</v>
      </c>
      <c r="I69" s="17">
        <v>6.8999999999999999E-3</v>
      </c>
      <c r="J69" s="21">
        <f t="shared" ref="J69:J74" si="27">I69*(J$18+J$25)</f>
        <v>20.348609337299997</v>
      </c>
      <c r="K69" s="17">
        <v>6.8999999999999999E-3</v>
      </c>
      <c r="L69" s="21">
        <f t="shared" ref="L69:L74" si="28">K69*(L$18+L$25)</f>
        <v>22.322401781699998</v>
      </c>
      <c r="M69" s="17">
        <v>6.8999999999999999E-3</v>
      </c>
      <c r="N69" s="21">
        <f t="shared" ref="N69:N74" si="29">M69*(N$18+N$25)</f>
        <v>22.322401781699998</v>
      </c>
      <c r="O69" s="17">
        <v>6.8999999999999999E-3</v>
      </c>
      <c r="P69" s="21">
        <f t="shared" ref="P69:P74" si="30">O69*(P$18+P$25)</f>
        <v>22.322401781699998</v>
      </c>
      <c r="Q69" s="17">
        <v>6.8999999999999999E-3</v>
      </c>
      <c r="R69" s="43">
        <f t="shared" ref="R69:R74" si="31">Q69*(R$18+R$25)</f>
        <v>22.816936967099998</v>
      </c>
      <c r="S69" s="17">
        <v>6.8999999999999999E-3</v>
      </c>
      <c r="T69" s="43">
        <f t="shared" ref="T69:T74" si="32">S69*(T$18+T$25)</f>
        <v>23.7707192337</v>
      </c>
    </row>
    <row r="70" spans="1:20" x14ac:dyDescent="0.25">
      <c r="A70" s="6" t="s">
        <v>71</v>
      </c>
      <c r="B70" s="8" t="s">
        <v>124</v>
      </c>
      <c r="C70" s="17">
        <v>2.8E-3</v>
      </c>
      <c r="D70" s="21">
        <f t="shared" si="24"/>
        <v>7.7345639419999994</v>
      </c>
      <c r="E70" s="52">
        <v>2.8E-3</v>
      </c>
      <c r="F70" s="21">
        <f t="shared" si="25"/>
        <v>8.2574066875999979</v>
      </c>
      <c r="G70" s="17">
        <v>2.8E-3</v>
      </c>
      <c r="H70" s="21">
        <f t="shared" si="26"/>
        <v>8.2574066875999979</v>
      </c>
      <c r="I70" s="17">
        <v>2.8E-3</v>
      </c>
      <c r="J70" s="21">
        <f t="shared" si="27"/>
        <v>8.2574066875999979</v>
      </c>
      <c r="K70" s="17">
        <v>2.8E-3</v>
      </c>
      <c r="L70" s="21">
        <f t="shared" si="28"/>
        <v>9.0583659403999981</v>
      </c>
      <c r="M70" s="17">
        <v>2.8E-3</v>
      </c>
      <c r="N70" s="21">
        <f t="shared" si="29"/>
        <v>9.0583659403999981</v>
      </c>
      <c r="O70" s="17">
        <v>2.8E-3</v>
      </c>
      <c r="P70" s="21">
        <f t="shared" si="30"/>
        <v>9.0583659403999981</v>
      </c>
      <c r="Q70" s="17">
        <v>2.8E-3</v>
      </c>
      <c r="R70" s="43">
        <f t="shared" si="31"/>
        <v>9.2590468852000001</v>
      </c>
      <c r="S70" s="17">
        <v>2.8E-3</v>
      </c>
      <c r="T70" s="43">
        <f t="shared" si="32"/>
        <v>9.6460889644000005</v>
      </c>
    </row>
    <row r="71" spans="1:20" x14ac:dyDescent="0.25">
      <c r="A71" s="6" t="s">
        <v>73</v>
      </c>
      <c r="B71" s="8" t="s">
        <v>125</v>
      </c>
      <c r="C71" s="17">
        <v>2.0000000000000001E-4</v>
      </c>
      <c r="D71" s="21">
        <f t="shared" si="24"/>
        <v>0.55246885299999993</v>
      </c>
      <c r="E71" s="52">
        <v>2.0000000000000001E-4</v>
      </c>
      <c r="F71" s="21">
        <f t="shared" si="25"/>
        <v>0.58981476339999994</v>
      </c>
      <c r="G71" s="17">
        <v>2.0000000000000001E-4</v>
      </c>
      <c r="H71" s="21">
        <f t="shared" si="26"/>
        <v>0.58981476339999994</v>
      </c>
      <c r="I71" s="17">
        <v>2.0000000000000001E-4</v>
      </c>
      <c r="J71" s="21">
        <f t="shared" si="27"/>
        <v>0.58981476339999994</v>
      </c>
      <c r="K71" s="17">
        <v>2.0000000000000001E-4</v>
      </c>
      <c r="L71" s="21">
        <f t="shared" si="28"/>
        <v>0.64702613859999991</v>
      </c>
      <c r="M71" s="17">
        <v>2.0000000000000001E-4</v>
      </c>
      <c r="N71" s="21">
        <f t="shared" si="29"/>
        <v>0.64702613859999991</v>
      </c>
      <c r="O71" s="17">
        <v>2.0000000000000001E-4</v>
      </c>
      <c r="P71" s="21">
        <f t="shared" si="30"/>
        <v>0.64702613859999991</v>
      </c>
      <c r="Q71" s="17">
        <v>2.0000000000000001E-4</v>
      </c>
      <c r="R71" s="43">
        <f t="shared" si="31"/>
        <v>0.66136049180000001</v>
      </c>
      <c r="S71" s="17">
        <v>2.0000000000000001E-4</v>
      </c>
      <c r="T71" s="43">
        <f t="shared" si="32"/>
        <v>0.68900635460000004</v>
      </c>
    </row>
    <row r="72" spans="1:20" x14ac:dyDescent="0.25">
      <c r="A72" s="6" t="s">
        <v>75</v>
      </c>
      <c r="B72" s="8" t="s">
        <v>126</v>
      </c>
      <c r="C72" s="17">
        <v>2.7000000000000001E-3</v>
      </c>
      <c r="D72" s="21">
        <f t="shared" si="24"/>
        <v>7.4583295155</v>
      </c>
      <c r="E72" s="52">
        <v>2.7000000000000001E-3</v>
      </c>
      <c r="F72" s="21">
        <f t="shared" si="25"/>
        <v>7.9624993058999989</v>
      </c>
      <c r="G72" s="17">
        <v>2.7000000000000001E-3</v>
      </c>
      <c r="H72" s="21">
        <f t="shared" si="26"/>
        <v>7.9624993058999989</v>
      </c>
      <c r="I72" s="17">
        <v>2.7000000000000001E-3</v>
      </c>
      <c r="J72" s="21">
        <f t="shared" si="27"/>
        <v>7.9624993058999989</v>
      </c>
      <c r="K72" s="17">
        <v>2.7000000000000001E-3</v>
      </c>
      <c r="L72" s="21">
        <f t="shared" si="28"/>
        <v>8.7348528710999993</v>
      </c>
      <c r="M72" s="17">
        <v>2.7000000000000001E-3</v>
      </c>
      <c r="N72" s="21">
        <f t="shared" si="29"/>
        <v>8.7348528710999993</v>
      </c>
      <c r="O72" s="17">
        <v>2.7000000000000001E-3</v>
      </c>
      <c r="P72" s="21">
        <f t="shared" si="30"/>
        <v>8.7348528710999993</v>
      </c>
      <c r="Q72" s="17">
        <v>2.7000000000000001E-3</v>
      </c>
      <c r="R72" s="43">
        <f t="shared" si="31"/>
        <v>8.9283666393000001</v>
      </c>
      <c r="S72" s="17">
        <v>2.7000000000000001E-3</v>
      </c>
      <c r="T72" s="43">
        <f t="shared" si="32"/>
        <v>9.3015857871000005</v>
      </c>
    </row>
    <row r="73" spans="1:20" x14ac:dyDescent="0.25">
      <c r="A73" s="6" t="s">
        <v>77</v>
      </c>
      <c r="B73" s="8" t="s">
        <v>127</v>
      </c>
      <c r="C73" s="17">
        <v>2.9999999999999997E-4</v>
      </c>
      <c r="D73" s="21">
        <f t="shared" si="24"/>
        <v>0.82870327949999989</v>
      </c>
      <c r="E73" s="52">
        <v>2.9999999999999997E-4</v>
      </c>
      <c r="F73" s="21">
        <f t="shared" si="25"/>
        <v>0.8847221450999998</v>
      </c>
      <c r="G73" s="17">
        <v>2.9999999999999997E-4</v>
      </c>
      <c r="H73" s="21">
        <f t="shared" si="26"/>
        <v>0.8847221450999998</v>
      </c>
      <c r="I73" s="17">
        <v>2.9999999999999997E-4</v>
      </c>
      <c r="J73" s="21">
        <f t="shared" si="27"/>
        <v>0.8847221450999998</v>
      </c>
      <c r="K73" s="17">
        <v>2.9999999999999997E-4</v>
      </c>
      <c r="L73" s="21">
        <f t="shared" si="28"/>
        <v>0.97053920789999981</v>
      </c>
      <c r="M73" s="17">
        <v>2.9999999999999997E-4</v>
      </c>
      <c r="N73" s="21">
        <f t="shared" si="29"/>
        <v>0.97053920789999981</v>
      </c>
      <c r="O73" s="17">
        <v>2.9999999999999997E-4</v>
      </c>
      <c r="P73" s="21">
        <f t="shared" si="30"/>
        <v>0.97053920789999981</v>
      </c>
      <c r="Q73" s="17">
        <v>2.9999999999999997E-4</v>
      </c>
      <c r="R73" s="43">
        <f t="shared" si="31"/>
        <v>0.9920407376999999</v>
      </c>
      <c r="S73" s="17">
        <v>2.9999999999999997E-4</v>
      </c>
      <c r="T73" s="43">
        <f t="shared" si="32"/>
        <v>1.0335095319000001</v>
      </c>
    </row>
    <row r="74" spans="1:20" x14ac:dyDescent="0.25">
      <c r="A74" s="6" t="s">
        <v>79</v>
      </c>
      <c r="B74" s="8" t="s">
        <v>128</v>
      </c>
      <c r="C74" s="17">
        <v>0</v>
      </c>
      <c r="D74" s="21">
        <f t="shared" si="24"/>
        <v>0</v>
      </c>
      <c r="E74" s="52">
        <v>0</v>
      </c>
      <c r="F74" s="21">
        <f t="shared" si="25"/>
        <v>0</v>
      </c>
      <c r="G74" s="17">
        <v>0</v>
      </c>
      <c r="H74" s="21">
        <f t="shared" si="26"/>
        <v>0</v>
      </c>
      <c r="I74" s="17">
        <v>0</v>
      </c>
      <c r="J74" s="21">
        <f t="shared" si="27"/>
        <v>0</v>
      </c>
      <c r="K74" s="17">
        <v>0</v>
      </c>
      <c r="L74" s="21">
        <f t="shared" si="28"/>
        <v>0</v>
      </c>
      <c r="M74" s="17">
        <v>0</v>
      </c>
      <c r="N74" s="21">
        <f t="shared" si="29"/>
        <v>0</v>
      </c>
      <c r="O74" s="17">
        <v>0</v>
      </c>
      <c r="P74" s="21">
        <f t="shared" si="30"/>
        <v>0</v>
      </c>
      <c r="Q74" s="17">
        <v>0</v>
      </c>
      <c r="R74" s="43">
        <f t="shared" si="31"/>
        <v>0</v>
      </c>
      <c r="S74" s="17">
        <v>0</v>
      </c>
      <c r="T74" s="43">
        <f t="shared" si="32"/>
        <v>0</v>
      </c>
    </row>
    <row r="75" spans="1:20" x14ac:dyDescent="0.25">
      <c r="A75" s="341" t="s">
        <v>32</v>
      </c>
      <c r="B75" s="343"/>
      <c r="C75" s="25">
        <f>SUM(C69:C74)</f>
        <v>1.29E-2</v>
      </c>
      <c r="D75" s="23">
        <f>SUM(D69:D74)</f>
        <v>35.634241018499992</v>
      </c>
      <c r="E75" s="53">
        <f t="shared" ref="E75:R75" si="33">SUM(E69:E74)</f>
        <v>1.29E-2</v>
      </c>
      <c r="F75" s="23">
        <f t="shared" si="33"/>
        <v>38.043052239299989</v>
      </c>
      <c r="G75" s="25">
        <f t="shared" si="33"/>
        <v>1.29E-2</v>
      </c>
      <c r="H75" s="23">
        <f t="shared" si="33"/>
        <v>38.043052239299989</v>
      </c>
      <c r="I75" s="25">
        <f t="shared" si="33"/>
        <v>1.29E-2</v>
      </c>
      <c r="J75" s="23">
        <f t="shared" si="33"/>
        <v>38.043052239299989</v>
      </c>
      <c r="K75" s="25">
        <f t="shared" si="33"/>
        <v>1.29E-2</v>
      </c>
      <c r="L75" s="23">
        <f t="shared" si="33"/>
        <v>41.733185939699986</v>
      </c>
      <c r="M75" s="25">
        <f t="shared" si="33"/>
        <v>1.29E-2</v>
      </c>
      <c r="N75" s="23">
        <f t="shared" si="33"/>
        <v>41.733185939699986</v>
      </c>
      <c r="O75" s="25">
        <f t="shared" si="33"/>
        <v>1.29E-2</v>
      </c>
      <c r="P75" s="23">
        <f t="shared" si="33"/>
        <v>41.733185939699986</v>
      </c>
      <c r="Q75" s="25">
        <f t="shared" si="33"/>
        <v>1.29E-2</v>
      </c>
      <c r="R75" s="169">
        <f t="shared" si="33"/>
        <v>42.657751721099999</v>
      </c>
      <c r="S75" s="25">
        <f t="shared" ref="S75:T75" si="34">SUM(S69:S74)</f>
        <v>1.29E-2</v>
      </c>
      <c r="T75" s="169">
        <f t="shared" si="34"/>
        <v>44.440909871700001</v>
      </c>
    </row>
    <row r="76" spans="1:20" x14ac:dyDescent="0.25">
      <c r="E76" s="55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39"/>
      <c r="S76" s="10"/>
      <c r="T76" s="139"/>
    </row>
    <row r="77" spans="1:20" x14ac:dyDescent="0.25">
      <c r="A77" s="340" t="s">
        <v>129</v>
      </c>
      <c r="B77" s="340"/>
      <c r="C77" s="340"/>
      <c r="D77" s="340"/>
      <c r="E77" s="55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39"/>
      <c r="S77" s="10"/>
      <c r="T77" s="139"/>
    </row>
    <row r="78" spans="1:20" x14ac:dyDescent="0.25">
      <c r="A78" s="163" t="s">
        <v>130</v>
      </c>
      <c r="B78" s="163" t="s">
        <v>131</v>
      </c>
      <c r="C78" s="163"/>
      <c r="D78" s="163" t="s">
        <v>30</v>
      </c>
      <c r="E78" s="148"/>
      <c r="F78" s="163" t="s">
        <v>30</v>
      </c>
      <c r="G78" s="147"/>
      <c r="H78" s="163" t="s">
        <v>30</v>
      </c>
      <c r="I78" s="147"/>
      <c r="J78" s="163" t="s">
        <v>30</v>
      </c>
      <c r="K78" s="147"/>
      <c r="L78" s="163" t="s">
        <v>30</v>
      </c>
      <c r="M78" s="147"/>
      <c r="N78" s="163" t="s">
        <v>30</v>
      </c>
      <c r="O78" s="147"/>
      <c r="P78" s="163" t="s">
        <v>30</v>
      </c>
      <c r="Q78" s="147"/>
      <c r="R78" s="41" t="s">
        <v>30</v>
      </c>
      <c r="S78" s="147"/>
      <c r="T78" s="41" t="s">
        <v>30</v>
      </c>
    </row>
    <row r="79" spans="1:20" x14ac:dyDescent="0.25">
      <c r="A79" s="6" t="s">
        <v>69</v>
      </c>
      <c r="B79" s="8" t="s">
        <v>132</v>
      </c>
      <c r="C79" s="14"/>
      <c r="D79" s="14"/>
      <c r="E79" s="54"/>
      <c r="F79" s="10"/>
      <c r="G79" s="14"/>
      <c r="H79" s="10"/>
      <c r="I79" s="14"/>
      <c r="J79" s="10"/>
      <c r="K79" s="14"/>
      <c r="L79" s="10"/>
      <c r="M79" s="14"/>
      <c r="N79" s="10"/>
      <c r="O79" s="14"/>
      <c r="P79" s="10"/>
      <c r="Q79" s="14"/>
      <c r="R79" s="139"/>
      <c r="S79" s="14"/>
      <c r="T79" s="139"/>
    </row>
    <row r="80" spans="1:20" x14ac:dyDescent="0.25">
      <c r="A80" s="364" t="s">
        <v>32</v>
      </c>
      <c r="B80" s="365"/>
      <c r="C80" s="14"/>
      <c r="D80" s="14">
        <f>SUM(D79)</f>
        <v>0</v>
      </c>
      <c r="E80" s="55"/>
      <c r="F80" s="14">
        <f>SUM(E79)</f>
        <v>0</v>
      </c>
      <c r="G80" s="10"/>
      <c r="H80" s="14">
        <f>SUM(G79)</f>
        <v>0</v>
      </c>
      <c r="I80" s="10"/>
      <c r="J80" s="14">
        <f>SUM(I79)</f>
        <v>0</v>
      </c>
      <c r="K80" s="10"/>
      <c r="L80" s="14">
        <f>SUM(K79)</f>
        <v>0</v>
      </c>
      <c r="M80" s="10"/>
      <c r="N80" s="14">
        <f>SUM(M79)</f>
        <v>0</v>
      </c>
      <c r="O80" s="10"/>
      <c r="P80" s="14">
        <f>SUM(O79)</f>
        <v>0</v>
      </c>
      <c r="Q80" s="10"/>
      <c r="R80" s="45">
        <f>SUM(Q79)</f>
        <v>0</v>
      </c>
      <c r="S80" s="10"/>
      <c r="T80" s="45">
        <f>SUM(S79)</f>
        <v>0</v>
      </c>
    </row>
    <row r="81" spans="1:20" x14ac:dyDescent="0.25">
      <c r="E81" s="55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39"/>
      <c r="S81" s="10"/>
      <c r="T81" s="139"/>
    </row>
    <row r="82" spans="1:20" ht="15" customHeight="1" x14ac:dyDescent="0.25">
      <c r="A82" s="276" t="s">
        <v>133</v>
      </c>
      <c r="B82" s="276"/>
      <c r="C82" s="276"/>
      <c r="D82" s="276"/>
      <c r="E82" s="55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39"/>
      <c r="S82" s="10"/>
      <c r="T82" s="139"/>
    </row>
    <row r="83" spans="1:20" x14ac:dyDescent="0.25">
      <c r="A83" s="163">
        <v>4</v>
      </c>
      <c r="B83" s="340" t="s">
        <v>134</v>
      </c>
      <c r="C83" s="340"/>
      <c r="D83" s="163" t="s">
        <v>30</v>
      </c>
      <c r="E83" s="55"/>
      <c r="F83" s="163" t="s">
        <v>30</v>
      </c>
      <c r="G83" s="10"/>
      <c r="H83" s="163" t="s">
        <v>30</v>
      </c>
      <c r="I83" s="10"/>
      <c r="J83" s="163" t="s">
        <v>30</v>
      </c>
      <c r="K83" s="10"/>
      <c r="L83" s="163" t="s">
        <v>30</v>
      </c>
      <c r="M83" s="10"/>
      <c r="N83" s="163" t="s">
        <v>30</v>
      </c>
      <c r="O83" s="10"/>
      <c r="P83" s="163" t="s">
        <v>30</v>
      </c>
      <c r="Q83" s="10"/>
      <c r="R83" s="41" t="s">
        <v>30</v>
      </c>
      <c r="S83" s="10"/>
      <c r="T83" s="41" t="s">
        <v>30</v>
      </c>
    </row>
    <row r="84" spans="1:20" x14ac:dyDescent="0.25">
      <c r="A84" s="6" t="s">
        <v>121</v>
      </c>
      <c r="B84" s="312" t="s">
        <v>122</v>
      </c>
      <c r="C84" s="312"/>
      <c r="D84" s="21">
        <f>D75</f>
        <v>35.634241018499992</v>
      </c>
      <c r="E84" s="55"/>
      <c r="F84" s="21">
        <f>F75</f>
        <v>38.043052239299989</v>
      </c>
      <c r="G84" s="10"/>
      <c r="H84" s="21">
        <f>H75</f>
        <v>38.043052239299989</v>
      </c>
      <c r="I84" s="10"/>
      <c r="J84" s="21">
        <f>J75</f>
        <v>38.043052239299989</v>
      </c>
      <c r="K84" s="10"/>
      <c r="L84" s="21">
        <f>L75</f>
        <v>41.733185939699986</v>
      </c>
      <c r="M84" s="10"/>
      <c r="N84" s="21">
        <f>N75</f>
        <v>41.733185939699986</v>
      </c>
      <c r="O84" s="10"/>
      <c r="P84" s="21">
        <f>P75</f>
        <v>41.733185939699986</v>
      </c>
      <c r="Q84" s="10"/>
      <c r="R84" s="43">
        <f>R75</f>
        <v>42.657751721099999</v>
      </c>
      <c r="S84" s="10"/>
      <c r="T84" s="43">
        <f>T75</f>
        <v>44.440909871700001</v>
      </c>
    </row>
    <row r="85" spans="1:20" x14ac:dyDescent="0.25">
      <c r="A85" s="6" t="s">
        <v>130</v>
      </c>
      <c r="B85" s="10" t="s">
        <v>135</v>
      </c>
      <c r="C85" s="10"/>
      <c r="D85" s="12">
        <f>C80</f>
        <v>0</v>
      </c>
      <c r="E85" s="55"/>
      <c r="F85" s="12">
        <f>F80</f>
        <v>0</v>
      </c>
      <c r="G85" s="10"/>
      <c r="H85" s="12">
        <f>H80</f>
        <v>0</v>
      </c>
      <c r="I85" s="10"/>
      <c r="J85" s="12">
        <f>J80</f>
        <v>0</v>
      </c>
      <c r="K85" s="10"/>
      <c r="L85" s="12">
        <f>L80</f>
        <v>0</v>
      </c>
      <c r="M85" s="10"/>
      <c r="N85" s="12">
        <f>N80</f>
        <v>0</v>
      </c>
      <c r="O85" s="10"/>
      <c r="P85" s="12">
        <f>P80</f>
        <v>0</v>
      </c>
      <c r="Q85" s="10"/>
      <c r="R85" s="42">
        <f>R80</f>
        <v>0</v>
      </c>
      <c r="S85" s="10"/>
      <c r="T85" s="42">
        <f>T80</f>
        <v>0</v>
      </c>
    </row>
    <row r="86" spans="1:20" x14ac:dyDescent="0.25">
      <c r="A86" s="340" t="s">
        <v>32</v>
      </c>
      <c r="B86" s="340"/>
      <c r="C86" s="340"/>
      <c r="D86" s="23">
        <f>SUM(D84:D85)</f>
        <v>35.634241018499992</v>
      </c>
      <c r="E86" s="55"/>
      <c r="F86" s="23">
        <f>SUM(F84:F85)</f>
        <v>38.043052239299989</v>
      </c>
      <c r="G86" s="10"/>
      <c r="H86" s="23">
        <f>SUM(H84:H85)</f>
        <v>38.043052239299989</v>
      </c>
      <c r="I86" s="10"/>
      <c r="J86" s="23">
        <f>SUM(J84:J85)</f>
        <v>38.043052239299989</v>
      </c>
      <c r="K86" s="10"/>
      <c r="L86" s="23">
        <f>SUM(L84:L85)</f>
        <v>41.733185939699986</v>
      </c>
      <c r="M86" s="10"/>
      <c r="N86" s="23">
        <f>SUM(N84:N85)</f>
        <v>41.733185939699986</v>
      </c>
      <c r="O86" s="10"/>
      <c r="P86" s="23">
        <f>SUM(P84:P85)</f>
        <v>41.733185939699986</v>
      </c>
      <c r="Q86" s="10"/>
      <c r="R86" s="169">
        <f>SUM(R84:R85)</f>
        <v>42.657751721099999</v>
      </c>
      <c r="S86" s="10"/>
      <c r="T86" s="169">
        <f>SUM(T84:T85)</f>
        <v>44.440909871700001</v>
      </c>
    </row>
    <row r="87" spans="1:20" x14ac:dyDescent="0.25">
      <c r="E87" s="55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39"/>
      <c r="S87" s="10"/>
      <c r="T87" s="139"/>
    </row>
    <row r="88" spans="1:20" ht="15" customHeight="1" x14ac:dyDescent="0.25">
      <c r="A88" s="276" t="s">
        <v>136</v>
      </c>
      <c r="B88" s="276"/>
      <c r="C88" s="276"/>
      <c r="D88" s="276"/>
      <c r="E88" s="55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39"/>
      <c r="S88" s="10"/>
      <c r="T88" s="139"/>
    </row>
    <row r="89" spans="1:20" x14ac:dyDescent="0.25">
      <c r="A89" s="163">
        <v>5</v>
      </c>
      <c r="B89" s="340" t="s">
        <v>137</v>
      </c>
      <c r="C89" s="340"/>
      <c r="D89" s="163" t="s">
        <v>30</v>
      </c>
      <c r="E89" s="55"/>
      <c r="F89" s="163" t="s">
        <v>30</v>
      </c>
      <c r="G89" s="10"/>
      <c r="H89" s="163" t="s">
        <v>30</v>
      </c>
      <c r="I89" s="10"/>
      <c r="J89" s="163" t="s">
        <v>30</v>
      </c>
      <c r="K89" s="10"/>
      <c r="L89" s="163" t="s">
        <v>30</v>
      </c>
      <c r="M89" s="10"/>
      <c r="N89" s="163" t="s">
        <v>30</v>
      </c>
      <c r="O89" s="10"/>
      <c r="P89" s="163" t="s">
        <v>30</v>
      </c>
      <c r="Q89" s="10"/>
      <c r="R89" s="163" t="s">
        <v>30</v>
      </c>
      <c r="S89" s="10"/>
      <c r="T89" s="163" t="s">
        <v>30</v>
      </c>
    </row>
    <row r="90" spans="1:20" x14ac:dyDescent="0.25">
      <c r="A90" s="6" t="s">
        <v>69</v>
      </c>
      <c r="B90" s="312" t="s">
        <v>138</v>
      </c>
      <c r="C90" s="312"/>
      <c r="D90" s="12">
        <f>Uniforme!$G$14</f>
        <v>35.783999999999999</v>
      </c>
      <c r="E90" s="55"/>
      <c r="F90" s="12">
        <f>Uniforme!$G$14</f>
        <v>35.783999999999999</v>
      </c>
      <c r="G90" s="10"/>
      <c r="H90" s="12">
        <f>Uniforme!$G$14</f>
        <v>35.783999999999999</v>
      </c>
      <c r="I90" s="10"/>
      <c r="J90" s="12">
        <f>Uniforme!$G$14</f>
        <v>35.783999999999999</v>
      </c>
      <c r="K90" s="10"/>
      <c r="L90" s="12">
        <f>Uniforme!$G$14</f>
        <v>35.783999999999999</v>
      </c>
      <c r="M90" s="10"/>
      <c r="N90" s="12">
        <f>Uniforme!$G$29</f>
        <v>37.951659999999997</v>
      </c>
      <c r="O90" s="10"/>
      <c r="P90" s="12">
        <f>Uniforme!$G$29</f>
        <v>37.951659999999997</v>
      </c>
      <c r="Q90" s="10"/>
      <c r="R90" s="12">
        <f>Uniforme!$G$29</f>
        <v>37.951659999999997</v>
      </c>
      <c r="S90" s="10"/>
      <c r="T90" s="12">
        <f>Uniforme!$G$29</f>
        <v>37.951659999999997</v>
      </c>
    </row>
    <row r="91" spans="1:20" x14ac:dyDescent="0.25">
      <c r="A91" s="6" t="s">
        <v>71</v>
      </c>
      <c r="B91" s="312" t="s">
        <v>139</v>
      </c>
      <c r="C91" s="312"/>
      <c r="D91" s="22">
        <v>0</v>
      </c>
      <c r="E91" s="55"/>
      <c r="F91" s="22">
        <v>0</v>
      </c>
      <c r="G91" s="10"/>
      <c r="H91" s="22">
        <v>0</v>
      </c>
      <c r="I91" s="10"/>
      <c r="J91" s="22">
        <v>0</v>
      </c>
      <c r="K91" s="10"/>
      <c r="L91" s="22">
        <v>0</v>
      </c>
      <c r="M91" s="10"/>
      <c r="N91" s="22">
        <v>0</v>
      </c>
      <c r="O91" s="10"/>
      <c r="P91" s="22">
        <v>0</v>
      </c>
      <c r="Q91" s="10"/>
      <c r="R91" s="22">
        <v>0</v>
      </c>
      <c r="S91" s="10"/>
      <c r="T91" s="22">
        <v>0</v>
      </c>
    </row>
    <row r="92" spans="1:20" x14ac:dyDescent="0.25">
      <c r="A92" s="6" t="s">
        <v>73</v>
      </c>
      <c r="B92" s="312" t="s">
        <v>140</v>
      </c>
      <c r="C92" s="312"/>
      <c r="D92" s="22">
        <v>0</v>
      </c>
      <c r="E92" s="55"/>
      <c r="F92" s="22">
        <v>0</v>
      </c>
      <c r="G92" s="10"/>
      <c r="H92" s="22">
        <v>0</v>
      </c>
      <c r="I92" s="10"/>
      <c r="J92" s="22">
        <v>0</v>
      </c>
      <c r="K92" s="10"/>
      <c r="L92" s="22">
        <v>0</v>
      </c>
      <c r="M92" s="10"/>
      <c r="N92" s="22">
        <v>0</v>
      </c>
      <c r="O92" s="10"/>
      <c r="P92" s="22">
        <v>0</v>
      </c>
      <c r="Q92" s="10"/>
      <c r="R92" s="22">
        <v>0</v>
      </c>
      <c r="S92" s="10"/>
      <c r="T92" s="22">
        <v>0</v>
      </c>
    </row>
    <row r="93" spans="1:20" x14ac:dyDescent="0.25">
      <c r="A93" s="6" t="s">
        <v>75</v>
      </c>
      <c r="B93" s="312" t="s">
        <v>80</v>
      </c>
      <c r="C93" s="312"/>
      <c r="D93" s="22">
        <v>0</v>
      </c>
      <c r="E93" s="55"/>
      <c r="F93" s="22">
        <v>0</v>
      </c>
      <c r="G93" s="10"/>
      <c r="H93" s="22">
        <v>0</v>
      </c>
      <c r="I93" s="10"/>
      <c r="J93" s="22">
        <v>0</v>
      </c>
      <c r="K93" s="10"/>
      <c r="L93" s="22">
        <v>0</v>
      </c>
      <c r="M93" s="10"/>
      <c r="N93" s="22">
        <v>0</v>
      </c>
      <c r="O93" s="10"/>
      <c r="P93" s="22">
        <v>0</v>
      </c>
      <c r="Q93" s="10"/>
      <c r="R93" s="22">
        <v>0</v>
      </c>
      <c r="S93" s="10"/>
      <c r="T93" s="22">
        <v>0</v>
      </c>
    </row>
    <row r="94" spans="1:20" x14ac:dyDescent="0.25">
      <c r="A94" s="340" t="s">
        <v>32</v>
      </c>
      <c r="B94" s="340"/>
      <c r="C94" s="340"/>
      <c r="D94" s="16">
        <f>SUM(D90:D93)</f>
        <v>35.783999999999999</v>
      </c>
      <c r="E94" s="55"/>
      <c r="F94" s="60">
        <f>SUM(F90:F93)</f>
        <v>35.783999999999999</v>
      </c>
      <c r="G94" s="10"/>
      <c r="H94" s="60">
        <f>SUM(H90:H93)</f>
        <v>35.783999999999999</v>
      </c>
      <c r="I94" s="10"/>
      <c r="J94" s="60">
        <f>SUM(J90:J93)</f>
        <v>35.783999999999999</v>
      </c>
      <c r="K94" s="10"/>
      <c r="L94" s="60">
        <f>SUM(L90:L93)</f>
        <v>35.783999999999999</v>
      </c>
      <c r="M94" s="10"/>
      <c r="N94" s="60">
        <f>SUM(N90:N93)</f>
        <v>37.951659999999997</v>
      </c>
      <c r="O94" s="10"/>
      <c r="P94" s="60">
        <f>SUM(P90:P93)</f>
        <v>37.951659999999997</v>
      </c>
      <c r="Q94" s="10"/>
      <c r="R94" s="60">
        <f>SUM(R90:R93)</f>
        <v>37.951659999999997</v>
      </c>
      <c r="S94" s="10"/>
      <c r="T94" s="60">
        <f>SUM(T90:T93)</f>
        <v>37.951659999999997</v>
      </c>
    </row>
    <row r="95" spans="1:20" x14ac:dyDescent="0.25">
      <c r="E95" s="5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39"/>
      <c r="S95" s="10"/>
      <c r="T95" s="139"/>
    </row>
    <row r="96" spans="1:20" ht="15" customHeight="1" x14ac:dyDescent="0.25">
      <c r="A96" s="276" t="s">
        <v>141</v>
      </c>
      <c r="B96" s="276"/>
      <c r="C96" s="276"/>
      <c r="D96" s="276"/>
      <c r="E96" s="5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39"/>
      <c r="S96" s="10"/>
      <c r="T96" s="139"/>
    </row>
    <row r="97" spans="1:20" ht="15" customHeight="1" x14ac:dyDescent="0.25">
      <c r="A97" s="357" t="s">
        <v>142</v>
      </c>
      <c r="B97" s="357"/>
      <c r="C97" s="276" t="s">
        <v>143</v>
      </c>
      <c r="D97" s="276"/>
      <c r="E97" s="275" t="s">
        <v>143</v>
      </c>
      <c r="F97" s="276"/>
      <c r="G97" s="332" t="s">
        <v>143</v>
      </c>
      <c r="H97" s="333"/>
      <c r="I97" s="276" t="s">
        <v>143</v>
      </c>
      <c r="J97" s="276"/>
      <c r="K97" s="276" t="s">
        <v>143</v>
      </c>
      <c r="L97" s="276"/>
      <c r="M97" s="276" t="s">
        <v>143</v>
      </c>
      <c r="N97" s="276"/>
      <c r="O97" s="276" t="s">
        <v>143</v>
      </c>
      <c r="P97" s="276"/>
      <c r="Q97" s="276" t="s">
        <v>143</v>
      </c>
      <c r="R97" s="338"/>
      <c r="S97" s="276" t="s">
        <v>143</v>
      </c>
      <c r="T97" s="338"/>
    </row>
    <row r="98" spans="1:20" x14ac:dyDescent="0.25">
      <c r="A98" s="163">
        <v>6</v>
      </c>
      <c r="B98" s="163" t="s">
        <v>144</v>
      </c>
      <c r="C98" s="163" t="s">
        <v>85</v>
      </c>
      <c r="D98" s="163" t="s">
        <v>30</v>
      </c>
      <c r="E98" s="162" t="s">
        <v>85</v>
      </c>
      <c r="F98" s="163" t="s">
        <v>30</v>
      </c>
      <c r="G98" s="163" t="s">
        <v>85</v>
      </c>
      <c r="H98" s="163" t="s">
        <v>30</v>
      </c>
      <c r="I98" s="163" t="s">
        <v>85</v>
      </c>
      <c r="J98" s="163" t="s">
        <v>30</v>
      </c>
      <c r="K98" s="163" t="s">
        <v>85</v>
      </c>
      <c r="L98" s="163" t="s">
        <v>30</v>
      </c>
      <c r="M98" s="163" t="s">
        <v>85</v>
      </c>
      <c r="N98" s="163" t="s">
        <v>30</v>
      </c>
      <c r="O98" s="163" t="s">
        <v>85</v>
      </c>
      <c r="P98" s="163" t="s">
        <v>30</v>
      </c>
      <c r="Q98" s="163" t="s">
        <v>85</v>
      </c>
      <c r="R98" s="41" t="s">
        <v>30</v>
      </c>
      <c r="S98" s="163" t="s">
        <v>85</v>
      </c>
      <c r="T98" s="41" t="s">
        <v>30</v>
      </c>
    </row>
    <row r="99" spans="1:20" x14ac:dyDescent="0.25">
      <c r="A99" s="6" t="s">
        <v>69</v>
      </c>
      <c r="B99" s="10" t="s">
        <v>145</v>
      </c>
      <c r="C99" s="17">
        <v>4.8300000000000003E-2</v>
      </c>
      <c r="D99" s="21">
        <f>C99*D117</f>
        <v>208.9535421859957</v>
      </c>
      <c r="E99" s="52">
        <v>4.9599999999999998E-2</v>
      </c>
      <c r="F99" s="21">
        <f>E99*F117</f>
        <v>227.74194280668567</v>
      </c>
      <c r="G99" s="17">
        <v>4.9599999999999998E-2</v>
      </c>
      <c r="H99" s="21">
        <f>G99*H117</f>
        <v>227.74194280668567</v>
      </c>
      <c r="I99" s="17">
        <v>4.9599999999999998E-2</v>
      </c>
      <c r="J99" s="21">
        <f>I99*J117</f>
        <v>232.43186146204567</v>
      </c>
      <c r="K99" s="17">
        <v>4.9599999999999998E-2</v>
      </c>
      <c r="L99" s="21">
        <f>K99*L117</f>
        <v>248.62650453401037</v>
      </c>
      <c r="M99" s="17">
        <v>4.9599999999999998E-2</v>
      </c>
      <c r="N99" s="21">
        <f>M99*N117</f>
        <v>245.51769763633141</v>
      </c>
      <c r="O99" s="17">
        <v>4.9599999999999998E-2</v>
      </c>
      <c r="P99" s="21">
        <f>O99*P117</f>
        <v>245.51769763633141</v>
      </c>
      <c r="Q99" s="17">
        <v>4.9599999999999998E-2</v>
      </c>
      <c r="R99" s="43">
        <f>Q99*R117</f>
        <v>249.77511073972903</v>
      </c>
      <c r="S99" s="17">
        <v>4.9599999999999998E-2</v>
      </c>
      <c r="T99" s="43">
        <f>S99*T117</f>
        <v>259.37519213612291</v>
      </c>
    </row>
    <row r="100" spans="1:20" x14ac:dyDescent="0.25">
      <c r="A100" s="6" t="s">
        <v>71</v>
      </c>
      <c r="B100" s="10" t="s">
        <v>146</v>
      </c>
      <c r="C100" s="17">
        <v>0.05</v>
      </c>
      <c r="D100" s="21">
        <f>C100*D117</f>
        <v>216.30801468529577</v>
      </c>
      <c r="E100" s="52">
        <v>0.05</v>
      </c>
      <c r="F100" s="21">
        <f>E100*F117</f>
        <v>229.57857137770736</v>
      </c>
      <c r="G100" s="17">
        <v>0.05</v>
      </c>
      <c r="H100" s="21">
        <f>G100*H117</f>
        <v>229.57857137770736</v>
      </c>
      <c r="I100" s="17">
        <v>0.05</v>
      </c>
      <c r="J100" s="21">
        <f>I100*J117</f>
        <v>234.30631195770735</v>
      </c>
      <c r="K100" s="17">
        <v>0.05</v>
      </c>
      <c r="L100" s="21">
        <f>K100*L117</f>
        <v>250.63155698992983</v>
      </c>
      <c r="M100" s="17">
        <v>0.05</v>
      </c>
      <c r="N100" s="21">
        <f>M100*N117</f>
        <v>247.49767906888246</v>
      </c>
      <c r="O100" s="17">
        <v>0.05</v>
      </c>
      <c r="P100" s="21">
        <f>O100*P117</f>
        <v>247.49767906888246</v>
      </c>
      <c r="Q100" s="17">
        <v>0.05</v>
      </c>
      <c r="R100" s="43">
        <f>Q100*R117</f>
        <v>251.7894261489204</v>
      </c>
      <c r="S100" s="17">
        <v>0.05</v>
      </c>
      <c r="T100" s="43">
        <f>S100*T117</f>
        <v>261.46692755657557</v>
      </c>
    </row>
    <row r="101" spans="1:20" x14ac:dyDescent="0.25">
      <c r="A101" s="6" t="s">
        <v>73</v>
      </c>
      <c r="B101" s="10" t="s">
        <v>147</v>
      </c>
      <c r="C101" s="24">
        <f>SUM(C102:C105)</f>
        <v>0.10149999999999999</v>
      </c>
      <c r="D101" s="21">
        <f>SUM(D102:D105)</f>
        <v>536.74937989269495</v>
      </c>
      <c r="E101" s="56">
        <f t="shared" ref="E101:R101" si="35">SUM(E102:E105)</f>
        <v>0.10149999999999999</v>
      </c>
      <c r="F101" s="21">
        <f t="shared" si="35"/>
        <v>570.35340243345786</v>
      </c>
      <c r="G101" s="24">
        <f t="shared" si="35"/>
        <v>0.10149999999999999</v>
      </c>
      <c r="H101" s="21">
        <f t="shared" si="35"/>
        <v>570.35340243345786</v>
      </c>
      <c r="I101" s="24">
        <f t="shared" si="35"/>
        <v>0.10149999999999999</v>
      </c>
      <c r="J101" s="21">
        <f t="shared" si="35"/>
        <v>582.09876224401876</v>
      </c>
      <c r="K101" s="24">
        <f t="shared" si="35"/>
        <v>0.10149999999999999</v>
      </c>
      <c r="L101" s="21">
        <f t="shared" si="35"/>
        <v>622.65637610933504</v>
      </c>
      <c r="M101" s="24">
        <f t="shared" si="35"/>
        <v>0.10149999999999999</v>
      </c>
      <c r="N101" s="21">
        <f t="shared" si="35"/>
        <v>614.87072815293334</v>
      </c>
      <c r="O101" s="24">
        <f t="shared" si="35"/>
        <v>0.10149999999999999</v>
      </c>
      <c r="P101" s="21">
        <f t="shared" si="35"/>
        <v>614.87072815293334</v>
      </c>
      <c r="Q101" s="24">
        <f t="shared" si="35"/>
        <v>0.10149999999999999</v>
      </c>
      <c r="R101" s="43">
        <f t="shared" si="35"/>
        <v>625.53292774235535</v>
      </c>
      <c r="S101" s="24">
        <f t="shared" ref="S101:T101" si="36">SUM(S102:S105)</f>
        <v>0.10149999999999999</v>
      </c>
      <c r="T101" s="43">
        <f t="shared" si="36"/>
        <v>649.57522324836646</v>
      </c>
    </row>
    <row r="102" spans="1:20" x14ac:dyDescent="0.25">
      <c r="A102" s="6" t="s">
        <v>148</v>
      </c>
      <c r="B102" s="10" t="s">
        <v>149</v>
      </c>
      <c r="C102" s="24">
        <v>6.4999999999999997E-3</v>
      </c>
      <c r="D102" s="21">
        <f>((D117+D99+D100)/(1-$C$101))*C102</f>
        <v>34.37311299805436</v>
      </c>
      <c r="E102" s="56">
        <v>6.4999999999999997E-3</v>
      </c>
      <c r="F102" s="21">
        <f>((F117+F99+F100)/(1-$C$101))*E102</f>
        <v>36.525094737117989</v>
      </c>
      <c r="G102" s="24">
        <v>6.4999999999999997E-3</v>
      </c>
      <c r="H102" s="21">
        <f>((H117+H99+H100)/(1-$C$101))*G102</f>
        <v>36.525094737117989</v>
      </c>
      <c r="I102" s="24">
        <v>6.4999999999999997E-3</v>
      </c>
      <c r="J102" s="21">
        <f>((J117+J99+J100)/(1-$C$101))*I102</f>
        <v>37.27726063631647</v>
      </c>
      <c r="K102" s="24">
        <v>6.4999999999999997E-3</v>
      </c>
      <c r="L102" s="21">
        <f>((L117+L99+L100)/(1-$C$101))*K102</f>
        <v>39.874546253307166</v>
      </c>
      <c r="M102" s="24">
        <v>6.4999999999999997E-3</v>
      </c>
      <c r="N102" s="21">
        <f>((N117+N99+N100)/(1-$C$101))*M102</f>
        <v>39.375957960532681</v>
      </c>
      <c r="O102" s="24">
        <v>6.4999999999999997E-3</v>
      </c>
      <c r="P102" s="21">
        <f>((P117+P99+P100)/(1-$C$101))*O102</f>
        <v>39.375957960532681</v>
      </c>
      <c r="Q102" s="24">
        <v>6.4999999999999997E-3</v>
      </c>
      <c r="R102" s="43">
        <f>((R117+R99+R100)/(1-$C$101))*Q102</f>
        <v>40.058758919461177</v>
      </c>
      <c r="S102" s="24">
        <v>6.4999999999999997E-3</v>
      </c>
      <c r="T102" s="43">
        <f>((T117+T99+T100)/(1-$C$101))*S102</f>
        <v>41.598413311471738</v>
      </c>
    </row>
    <row r="103" spans="1:20" x14ac:dyDescent="0.25">
      <c r="A103" s="6" t="s">
        <v>150</v>
      </c>
      <c r="B103" s="10" t="s">
        <v>151</v>
      </c>
      <c r="C103" s="24">
        <v>0.03</v>
      </c>
      <c r="D103" s="21">
        <f>((D117+D99+D100)/(1-$C$101))*C103</f>
        <v>158.64513691409704</v>
      </c>
      <c r="E103" s="56">
        <v>0.03</v>
      </c>
      <c r="F103" s="21">
        <f>((F117+F99+F100)/(1-$C$101))*E103</f>
        <v>168.57736032515993</v>
      </c>
      <c r="G103" s="24">
        <v>0.03</v>
      </c>
      <c r="H103" s="21">
        <f>((H117+H99+H100)/(1-$C$101))*G103</f>
        <v>168.57736032515993</v>
      </c>
      <c r="I103" s="24">
        <v>0.03</v>
      </c>
      <c r="J103" s="21">
        <f>((J117+J99+J100)/(1-$C$101))*I103</f>
        <v>172.04889524453756</v>
      </c>
      <c r="K103" s="24">
        <v>0.03</v>
      </c>
      <c r="L103" s="21">
        <f>((L117+L99+L100)/(1-$C$101))*K103</f>
        <v>184.03636732295615</v>
      </c>
      <c r="M103" s="24">
        <v>0.03</v>
      </c>
      <c r="N103" s="21">
        <f>((N117+N99+N100)/(1-$C$101))*M103</f>
        <v>181.7351905870739</v>
      </c>
      <c r="O103" s="24">
        <v>0.03</v>
      </c>
      <c r="P103" s="21">
        <f>((P117+P99+P100)/(1-$C$101))*O103</f>
        <v>181.7351905870739</v>
      </c>
      <c r="Q103" s="24">
        <v>0.03</v>
      </c>
      <c r="R103" s="43">
        <f>((R117+R99+R100)/(1-$C$101))*Q103</f>
        <v>184.88657962828236</v>
      </c>
      <c r="S103" s="24">
        <v>0.03</v>
      </c>
      <c r="T103" s="43">
        <f>((T117+T99+T100)/(1-$C$101))*S103</f>
        <v>191.99267682217726</v>
      </c>
    </row>
    <row r="104" spans="1:20" x14ac:dyDescent="0.25">
      <c r="A104" s="6" t="s">
        <v>152</v>
      </c>
      <c r="B104" s="10" t="s">
        <v>153</v>
      </c>
      <c r="C104" s="24">
        <v>0.02</v>
      </c>
      <c r="D104" s="21">
        <f>((D117+D99+D100)/(1-$C$101))*C104</f>
        <v>105.76342460939803</v>
      </c>
      <c r="E104" s="56">
        <v>0.02</v>
      </c>
      <c r="F104" s="21">
        <f>((F117+F99+F100)/(1-$C$101))*E104</f>
        <v>112.38490688343997</v>
      </c>
      <c r="G104" s="24">
        <v>0.02</v>
      </c>
      <c r="H104" s="21">
        <f>((H117+H99+H100)/(1-$C$101))*G104</f>
        <v>112.38490688343997</v>
      </c>
      <c r="I104" s="24">
        <v>0.02</v>
      </c>
      <c r="J104" s="21">
        <f>((J117+J99+J100)/(1-$C$101))*I104</f>
        <v>114.69926349635838</v>
      </c>
      <c r="K104" s="24">
        <v>0.02</v>
      </c>
      <c r="L104" s="21">
        <f>((L117+L99+L100)/(1-$C$101))*K104</f>
        <v>122.69091154863743</v>
      </c>
      <c r="M104" s="24">
        <v>0.02</v>
      </c>
      <c r="N104" s="21">
        <f>((N117+N99+N100)/(1-$C$101))*M104</f>
        <v>121.15679372471594</v>
      </c>
      <c r="O104" s="24">
        <v>0.02</v>
      </c>
      <c r="P104" s="21">
        <f>((P117+P99+P100)/(1-$C$101))*O104</f>
        <v>121.15679372471594</v>
      </c>
      <c r="Q104" s="24">
        <v>0.02</v>
      </c>
      <c r="R104" s="43">
        <f>((R117+R99+R100)/(1-$C$101))*Q104</f>
        <v>123.25771975218824</v>
      </c>
      <c r="S104" s="24">
        <v>0.02</v>
      </c>
      <c r="T104" s="43">
        <f>((T117+T99+T100)/(1-$C$101))*S104</f>
        <v>127.99511788145152</v>
      </c>
    </row>
    <row r="105" spans="1:20" x14ac:dyDescent="0.25">
      <c r="A105" s="6" t="s">
        <v>75</v>
      </c>
      <c r="B105" s="8" t="s">
        <v>154</v>
      </c>
      <c r="C105" s="17">
        <v>4.4999999999999998E-2</v>
      </c>
      <c r="D105" s="12">
        <f>((D117+D99+D100)/(1-$C$101))*C105</f>
        <v>237.96770537114554</v>
      </c>
      <c r="E105" s="52">
        <v>4.4999999999999998E-2</v>
      </c>
      <c r="F105" s="12">
        <f>((F117+F99+F100)/(1-$C$101))*E105</f>
        <v>252.86604048773989</v>
      </c>
      <c r="G105" s="17">
        <v>4.4999999999999998E-2</v>
      </c>
      <c r="H105" s="12">
        <f>((H117+H99+H100)/(1-$C$101))*G105</f>
        <v>252.86604048773989</v>
      </c>
      <c r="I105" s="17">
        <v>4.4999999999999998E-2</v>
      </c>
      <c r="J105" s="12">
        <f>((J117+J99+J100)/(1-$C$101))*I105</f>
        <v>258.07334286680634</v>
      </c>
      <c r="K105" s="17">
        <v>4.4999999999999998E-2</v>
      </c>
      <c r="L105" s="12">
        <f>((L117+L99+L100)/(1-$C$101))*K105</f>
        <v>276.05455098443423</v>
      </c>
      <c r="M105" s="17">
        <v>4.4999999999999998E-2</v>
      </c>
      <c r="N105" s="12">
        <f>((N117+N99+N100)/(1-$C$101))*M105</f>
        <v>272.60278588061084</v>
      </c>
      <c r="O105" s="17">
        <v>4.4999999999999998E-2</v>
      </c>
      <c r="P105" s="12">
        <f>((P117+P99+P100)/(1-$C$101))*O105</f>
        <v>272.60278588061084</v>
      </c>
      <c r="Q105" s="17">
        <v>4.4999999999999998E-2</v>
      </c>
      <c r="R105" s="42">
        <f>((R117+R99+R100)/(1-$C$101))*Q105</f>
        <v>277.32986944242356</v>
      </c>
      <c r="S105" s="17">
        <v>4.4999999999999998E-2</v>
      </c>
      <c r="T105" s="42">
        <f>((T117+T99+T100)/(1-$C$101))*S105</f>
        <v>287.98901523326589</v>
      </c>
    </row>
    <row r="106" spans="1:20" x14ac:dyDescent="0.25">
      <c r="A106" s="340" t="s">
        <v>32</v>
      </c>
      <c r="B106" s="340"/>
      <c r="C106" s="29">
        <f>SUM(C99:C101)</f>
        <v>0.19979999999999998</v>
      </c>
      <c r="D106" s="23">
        <f>D99+D100+D101</f>
        <v>962.01093676398636</v>
      </c>
      <c r="E106" s="57">
        <f>SUM(E99:E101)</f>
        <v>0.2011</v>
      </c>
      <c r="F106" s="23">
        <f>F99+F100+F101</f>
        <v>1027.6739166178509</v>
      </c>
      <c r="G106" s="29">
        <f>SUM(G99:G101)</f>
        <v>0.2011</v>
      </c>
      <c r="H106" s="23">
        <f>H99+H100+H101</f>
        <v>1027.6739166178509</v>
      </c>
      <c r="I106" s="29">
        <f>SUM(I99:I101)</f>
        <v>0.2011</v>
      </c>
      <c r="J106" s="23">
        <f>J99+J100+J101</f>
        <v>1048.8369356637718</v>
      </c>
      <c r="K106" s="29">
        <f>SUM(K99:K101)</f>
        <v>0.2011</v>
      </c>
      <c r="L106" s="23">
        <f>L99+L100+L101</f>
        <v>1121.9144376332752</v>
      </c>
      <c r="M106" s="29">
        <f>SUM(M99:M101)</f>
        <v>0.2011</v>
      </c>
      <c r="N106" s="23">
        <f>N99+N100+N101</f>
        <v>1107.8861048581471</v>
      </c>
      <c r="O106" s="29">
        <f>SUM(O99:O101)</f>
        <v>0.2011</v>
      </c>
      <c r="P106" s="23">
        <f>P99+P100+P101</f>
        <v>1107.8861048581471</v>
      </c>
      <c r="Q106" s="29">
        <f>SUM(Q99:Q101)</f>
        <v>0.2011</v>
      </c>
      <c r="R106" s="169">
        <f>R99+R100+R101</f>
        <v>1127.0974646310046</v>
      </c>
      <c r="S106" s="29">
        <f>SUM(S99:S101)</f>
        <v>0.2011</v>
      </c>
      <c r="T106" s="169">
        <f>T99+T100+T101</f>
        <v>1170.4173429410648</v>
      </c>
    </row>
    <row r="107" spans="1:20" x14ac:dyDescent="0.25">
      <c r="A107" s="355" t="s">
        <v>155</v>
      </c>
      <c r="B107" s="355"/>
      <c r="C107" s="355"/>
      <c r="D107" s="355"/>
      <c r="E107" s="55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39"/>
      <c r="S107" s="10"/>
      <c r="T107" s="139"/>
    </row>
    <row r="108" spans="1:20" ht="30" customHeight="1" x14ac:dyDescent="0.25">
      <c r="A108" s="355" t="s">
        <v>156</v>
      </c>
      <c r="B108" s="355"/>
      <c r="C108" s="355"/>
      <c r="D108" s="355"/>
      <c r="E108" s="55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39"/>
      <c r="S108" s="10"/>
      <c r="T108" s="139"/>
    </row>
    <row r="109" spans="1:20" x14ac:dyDescent="0.25">
      <c r="E109" s="55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39"/>
      <c r="S109" s="10"/>
      <c r="T109" s="139"/>
    </row>
    <row r="110" spans="1:20" ht="15" customHeight="1" x14ac:dyDescent="0.25">
      <c r="A110" s="276" t="s">
        <v>157</v>
      </c>
      <c r="B110" s="276"/>
      <c r="C110" s="276"/>
      <c r="D110" s="276"/>
      <c r="E110" s="5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39"/>
      <c r="S110" s="10"/>
      <c r="T110" s="139"/>
    </row>
    <row r="111" spans="1:20" x14ac:dyDescent="0.25">
      <c r="A111" s="341" t="s">
        <v>158</v>
      </c>
      <c r="B111" s="350"/>
      <c r="C111" s="343"/>
      <c r="D111" s="163" t="s">
        <v>30</v>
      </c>
      <c r="E111" s="55"/>
      <c r="F111" s="163" t="s">
        <v>30</v>
      </c>
      <c r="G111" s="10"/>
      <c r="H111" s="163" t="s">
        <v>30</v>
      </c>
      <c r="I111" s="10"/>
      <c r="J111" s="163" t="s">
        <v>30</v>
      </c>
      <c r="K111" s="10"/>
      <c r="L111" s="163" t="s">
        <v>30</v>
      </c>
      <c r="M111" s="10"/>
      <c r="N111" s="163" t="s">
        <v>30</v>
      </c>
      <c r="O111" s="10"/>
      <c r="P111" s="163" t="s">
        <v>30</v>
      </c>
      <c r="Q111" s="10"/>
      <c r="R111" s="41" t="s">
        <v>30</v>
      </c>
      <c r="S111" s="10"/>
      <c r="T111" s="41" t="s">
        <v>30</v>
      </c>
    </row>
    <row r="112" spans="1:20" x14ac:dyDescent="0.25">
      <c r="A112" s="6" t="s">
        <v>69</v>
      </c>
      <c r="B112" s="320" t="s">
        <v>67</v>
      </c>
      <c r="C112" s="320"/>
      <c r="D112" s="21">
        <f>D18</f>
        <v>2279.35</v>
      </c>
      <c r="E112" s="55"/>
      <c r="F112" s="21">
        <f>F18</f>
        <v>2433.4299999999998</v>
      </c>
      <c r="G112" s="10"/>
      <c r="H112" s="21">
        <f>H18</f>
        <v>2433.4299999999998</v>
      </c>
      <c r="I112" s="10"/>
      <c r="J112" s="21">
        <f>J18</f>
        <v>2433.4299999999998</v>
      </c>
      <c r="K112" s="10"/>
      <c r="L112" s="21">
        <f>L18</f>
        <v>2669.47</v>
      </c>
      <c r="M112" s="10"/>
      <c r="N112" s="21">
        <f>N18</f>
        <v>2669.47</v>
      </c>
      <c r="O112" s="10"/>
      <c r="P112" s="21">
        <f>P18</f>
        <v>2669.47</v>
      </c>
      <c r="Q112" s="10"/>
      <c r="R112" s="43">
        <f>R18</f>
        <v>2728.61</v>
      </c>
      <c r="S112" s="10"/>
      <c r="T112" s="43">
        <f>T18</f>
        <v>2842.67</v>
      </c>
    </row>
    <row r="113" spans="1:20" x14ac:dyDescent="0.25">
      <c r="A113" s="6" t="s">
        <v>71</v>
      </c>
      <c r="B113" s="320" t="s">
        <v>81</v>
      </c>
      <c r="C113" s="320"/>
      <c r="D113" s="21">
        <f>D52</f>
        <v>1804.4892162199999</v>
      </c>
      <c r="E113" s="67"/>
      <c r="F113" s="21">
        <f>F52</f>
        <v>1901.8588115159998</v>
      </c>
      <c r="G113" s="65"/>
      <c r="H113" s="21">
        <f>H52</f>
        <v>1901.8588115159998</v>
      </c>
      <c r="I113" s="65"/>
      <c r="J113" s="21">
        <f>J52</f>
        <v>1996.4136231160001</v>
      </c>
      <c r="K113" s="65"/>
      <c r="L113" s="21">
        <f>L52</f>
        <v>2065.4904035640002</v>
      </c>
      <c r="M113" s="65"/>
      <c r="N113" s="21">
        <f>N52</f>
        <v>2065.4904035640002</v>
      </c>
      <c r="O113" s="65"/>
      <c r="P113" s="21">
        <f>P52</f>
        <v>2065.4904035640002</v>
      </c>
      <c r="Q113" s="65"/>
      <c r="R113" s="43">
        <f>R52</f>
        <v>2088.2631301320002</v>
      </c>
      <c r="S113" s="65"/>
      <c r="T113" s="43">
        <f>T52</f>
        <v>2160.1886022040003</v>
      </c>
    </row>
    <row r="114" spans="1:20" x14ac:dyDescent="0.25">
      <c r="A114" s="6" t="s">
        <v>73</v>
      </c>
      <c r="B114" s="320" t="s">
        <v>110</v>
      </c>
      <c r="C114" s="320"/>
      <c r="D114" s="21">
        <f>D62</f>
        <v>170.90283646741551</v>
      </c>
      <c r="E114" s="68"/>
      <c r="F114" s="21">
        <f>F62</f>
        <v>182.45556379884744</v>
      </c>
      <c r="G114" s="66"/>
      <c r="H114" s="21">
        <f>H62</f>
        <v>182.45556379884744</v>
      </c>
      <c r="I114" s="66"/>
      <c r="J114" s="21">
        <f>J62</f>
        <v>182.45556379884744</v>
      </c>
      <c r="K114" s="66"/>
      <c r="L114" s="21">
        <f>L62</f>
        <v>200.15355029489621</v>
      </c>
      <c r="M114" s="66"/>
      <c r="N114" s="21">
        <f>N62</f>
        <v>135.30833187394876</v>
      </c>
      <c r="O114" s="66"/>
      <c r="P114" s="21">
        <f>P62</f>
        <v>135.30833187394876</v>
      </c>
      <c r="Q114" s="66"/>
      <c r="R114" s="43">
        <f>R62</f>
        <v>138.3059811253078</v>
      </c>
      <c r="S114" s="66"/>
      <c r="T114" s="43">
        <f>T62</f>
        <v>144.08737905581182</v>
      </c>
    </row>
    <row r="115" spans="1:20" x14ac:dyDescent="0.25">
      <c r="A115" s="6" t="s">
        <v>75</v>
      </c>
      <c r="B115" s="320" t="s">
        <v>118</v>
      </c>
      <c r="C115" s="320"/>
      <c r="D115" s="21">
        <f>D86</f>
        <v>35.634241018499992</v>
      </c>
      <c r="E115" s="68"/>
      <c r="F115" s="21">
        <f>F86</f>
        <v>38.043052239299989</v>
      </c>
      <c r="G115" s="66"/>
      <c r="H115" s="21">
        <f>H86</f>
        <v>38.043052239299989</v>
      </c>
      <c r="I115" s="66"/>
      <c r="J115" s="21">
        <f>J86</f>
        <v>38.043052239299989</v>
      </c>
      <c r="K115" s="66"/>
      <c r="L115" s="21">
        <f>L86</f>
        <v>41.733185939699986</v>
      </c>
      <c r="M115" s="66"/>
      <c r="N115" s="21">
        <f>N86</f>
        <v>41.733185939699986</v>
      </c>
      <c r="O115" s="66"/>
      <c r="P115" s="21">
        <f>P86</f>
        <v>41.733185939699986</v>
      </c>
      <c r="Q115" s="66"/>
      <c r="R115" s="43">
        <f>R86</f>
        <v>42.657751721099999</v>
      </c>
      <c r="S115" s="66"/>
      <c r="T115" s="43">
        <f>T86</f>
        <v>44.440909871700001</v>
      </c>
    </row>
    <row r="116" spans="1:20" x14ac:dyDescent="0.25">
      <c r="A116" s="6" t="s">
        <v>77</v>
      </c>
      <c r="B116" s="320" t="s">
        <v>136</v>
      </c>
      <c r="C116" s="320"/>
      <c r="D116" s="12">
        <f>D94</f>
        <v>35.783999999999999</v>
      </c>
      <c r="E116" s="55"/>
      <c r="F116" s="12">
        <f>F94</f>
        <v>35.783999999999999</v>
      </c>
      <c r="G116" s="10"/>
      <c r="H116" s="12">
        <f>H94</f>
        <v>35.783999999999999</v>
      </c>
      <c r="I116" s="10"/>
      <c r="J116" s="12">
        <f>J94</f>
        <v>35.783999999999999</v>
      </c>
      <c r="K116" s="10"/>
      <c r="L116" s="12">
        <f>L94</f>
        <v>35.783999999999999</v>
      </c>
      <c r="M116" s="10"/>
      <c r="N116" s="12">
        <f>N94</f>
        <v>37.951659999999997</v>
      </c>
      <c r="O116" s="10"/>
      <c r="P116" s="12">
        <f>P94</f>
        <v>37.951659999999997</v>
      </c>
      <c r="Q116" s="10"/>
      <c r="R116" s="42">
        <f>R94</f>
        <v>37.951659999999997</v>
      </c>
      <c r="S116" s="10"/>
      <c r="T116" s="42">
        <f>T94</f>
        <v>37.951659999999997</v>
      </c>
    </row>
    <row r="117" spans="1:20" x14ac:dyDescent="0.25">
      <c r="A117" s="340" t="s">
        <v>159</v>
      </c>
      <c r="B117" s="340"/>
      <c r="C117" s="340"/>
      <c r="D117" s="23">
        <f>SUM(D112:D116)</f>
        <v>4326.1602937059151</v>
      </c>
      <c r="E117" s="150"/>
      <c r="F117" s="23">
        <f>SUM(F112:F116)</f>
        <v>4591.5714275541468</v>
      </c>
      <c r="G117" s="12"/>
      <c r="H117" s="23">
        <f>SUM(H112:H116)</f>
        <v>4591.5714275541468</v>
      </c>
      <c r="I117" s="12"/>
      <c r="J117" s="23">
        <f>SUM(J112:J116)</f>
        <v>4686.1262391541468</v>
      </c>
      <c r="K117" s="12"/>
      <c r="L117" s="23">
        <f>SUM(L112:L116)</f>
        <v>5012.6311397985965</v>
      </c>
      <c r="M117" s="12"/>
      <c r="N117" s="23">
        <f>SUM(N112:N116)</f>
        <v>4949.9535813776492</v>
      </c>
      <c r="O117" s="12"/>
      <c r="P117" s="23">
        <f>SUM(P112:P116)</f>
        <v>4949.9535813776492</v>
      </c>
      <c r="Q117" s="12"/>
      <c r="R117" s="169">
        <f>SUM(R112:R116)</f>
        <v>5035.7885229784079</v>
      </c>
      <c r="S117" s="12"/>
      <c r="T117" s="169">
        <f>SUM(T112:T116)</f>
        <v>5229.3385511315109</v>
      </c>
    </row>
    <row r="118" spans="1:20" x14ac:dyDescent="0.25">
      <c r="A118" s="6" t="s">
        <v>79</v>
      </c>
      <c r="B118" s="312" t="s">
        <v>141</v>
      </c>
      <c r="C118" s="312"/>
      <c r="D118" s="12">
        <f>D106</f>
        <v>962.01093676398636</v>
      </c>
      <c r="E118" s="150"/>
      <c r="F118" s="12">
        <f>F106</f>
        <v>1027.6739166178509</v>
      </c>
      <c r="G118" s="12"/>
      <c r="H118" s="12">
        <f>H106</f>
        <v>1027.6739166178509</v>
      </c>
      <c r="I118" s="12"/>
      <c r="J118" s="12">
        <f>J106</f>
        <v>1048.8369356637718</v>
      </c>
      <c r="K118" s="12"/>
      <c r="L118" s="12">
        <f>L106</f>
        <v>1121.9144376332752</v>
      </c>
      <c r="M118" s="12"/>
      <c r="N118" s="12">
        <f>N106</f>
        <v>1107.8861048581471</v>
      </c>
      <c r="O118" s="12"/>
      <c r="P118" s="12">
        <f>P106</f>
        <v>1107.8861048581471</v>
      </c>
      <c r="Q118" s="12"/>
      <c r="R118" s="42">
        <f>R106</f>
        <v>1127.0974646310046</v>
      </c>
      <c r="S118" s="12"/>
      <c r="T118" s="42">
        <f>T106</f>
        <v>1170.4173429410648</v>
      </c>
    </row>
    <row r="119" spans="1:20" ht="15.75" thickBot="1" x14ac:dyDescent="0.3">
      <c r="A119" s="340" t="s">
        <v>160</v>
      </c>
      <c r="B119" s="340"/>
      <c r="C119" s="340"/>
      <c r="D119" s="23">
        <f>SUM(D117:D118)</f>
        <v>5288.1712304699013</v>
      </c>
      <c r="E119" s="151"/>
      <c r="F119" s="69">
        <f>SUM(F117:F118)</f>
        <v>5619.2453441719972</v>
      </c>
      <c r="G119" s="152"/>
      <c r="H119" s="69">
        <f>SUM(H117:H118)</f>
        <v>5619.2453441719972</v>
      </c>
      <c r="I119" s="152"/>
      <c r="J119" s="69">
        <f>SUM(J117:J118)</f>
        <v>5734.9631748179181</v>
      </c>
      <c r="K119" s="152"/>
      <c r="L119" s="69">
        <f>SUM(L117:L118)</f>
        <v>6134.5455774318716</v>
      </c>
      <c r="M119" s="152"/>
      <c r="N119" s="69">
        <f>SUM(N117:N118)</f>
        <v>6057.8396862357968</v>
      </c>
      <c r="O119" s="152"/>
      <c r="P119" s="69">
        <f>SUM(P117:P118)</f>
        <v>6057.8396862357968</v>
      </c>
      <c r="Q119" s="152"/>
      <c r="R119" s="178">
        <f>SUM(R117:R118)</f>
        <v>6162.885987609412</v>
      </c>
      <c r="S119" s="152"/>
      <c r="T119" s="178">
        <f>SUM(T117:T118)</f>
        <v>6399.7558940725758</v>
      </c>
    </row>
  </sheetData>
  <mergeCells count="130">
    <mergeCell ref="O97:P97"/>
    <mergeCell ref="Q97:R97"/>
    <mergeCell ref="E97:F97"/>
    <mergeCell ref="G97:H97"/>
    <mergeCell ref="I97:J97"/>
    <mergeCell ref="K97:L97"/>
    <mergeCell ref="M97:N97"/>
    <mergeCell ref="O8:P8"/>
    <mergeCell ref="Q8:R8"/>
    <mergeCell ref="E9:F9"/>
    <mergeCell ref="G9:H9"/>
    <mergeCell ref="I9:J9"/>
    <mergeCell ref="K9:L9"/>
    <mergeCell ref="M9:N9"/>
    <mergeCell ref="O9:P9"/>
    <mergeCell ref="Q9:R9"/>
    <mergeCell ref="E8:F8"/>
    <mergeCell ref="G8:H8"/>
    <mergeCell ref="I8:J8"/>
    <mergeCell ref="K8:L8"/>
    <mergeCell ref="M8:N8"/>
    <mergeCell ref="O6:P6"/>
    <mergeCell ref="Q6:R6"/>
    <mergeCell ref="E7:F7"/>
    <mergeCell ref="G7:H7"/>
    <mergeCell ref="I7:J7"/>
    <mergeCell ref="K7:L7"/>
    <mergeCell ref="M7:N7"/>
    <mergeCell ref="O7:P7"/>
    <mergeCell ref="Q7:R7"/>
    <mergeCell ref="E6:F6"/>
    <mergeCell ref="G6:H6"/>
    <mergeCell ref="I6:J6"/>
    <mergeCell ref="K6:L6"/>
    <mergeCell ref="M6:N6"/>
    <mergeCell ref="O4:P4"/>
    <mergeCell ref="Q4:R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E1:R2"/>
    <mergeCell ref="E3:F3"/>
    <mergeCell ref="G3:H3"/>
    <mergeCell ref="I3:J3"/>
    <mergeCell ref="K3:L3"/>
    <mergeCell ref="M3:N3"/>
    <mergeCell ref="O3:P3"/>
    <mergeCell ref="Q3:R3"/>
    <mergeCell ref="A117:C117"/>
    <mergeCell ref="B91:C91"/>
    <mergeCell ref="B92:C92"/>
    <mergeCell ref="B93:C93"/>
    <mergeCell ref="A94:C94"/>
    <mergeCell ref="A96:D96"/>
    <mergeCell ref="B84:C84"/>
    <mergeCell ref="A86:C86"/>
    <mergeCell ref="A88:D88"/>
    <mergeCell ref="B89:C89"/>
    <mergeCell ref="B90:C90"/>
    <mergeCell ref="A75:B75"/>
    <mergeCell ref="A77:D77"/>
    <mergeCell ref="A80:B80"/>
    <mergeCell ref="A82:D82"/>
    <mergeCell ref="B83:C83"/>
    <mergeCell ref="B118:C118"/>
    <mergeCell ref="A119:C119"/>
    <mergeCell ref="B112:C112"/>
    <mergeCell ref="B113:C113"/>
    <mergeCell ref="B114:C114"/>
    <mergeCell ref="B115:C115"/>
    <mergeCell ref="B116:C116"/>
    <mergeCell ref="A97:B97"/>
    <mergeCell ref="C97:D97"/>
    <mergeCell ref="A106:B106"/>
    <mergeCell ref="A110:D110"/>
    <mergeCell ref="A111:C111"/>
    <mergeCell ref="A108:D108"/>
    <mergeCell ref="A107:D107"/>
    <mergeCell ref="A54:D54"/>
    <mergeCell ref="A62:B62"/>
    <mergeCell ref="A64:D64"/>
    <mergeCell ref="A65:D65"/>
    <mergeCell ref="A67:D67"/>
    <mergeCell ref="B48:C48"/>
    <mergeCell ref="B49:C49"/>
    <mergeCell ref="B50:C50"/>
    <mergeCell ref="B51:C51"/>
    <mergeCell ref="A52:C52"/>
    <mergeCell ref="A37:B37"/>
    <mergeCell ref="A39:D39"/>
    <mergeCell ref="A45:C45"/>
    <mergeCell ref="A47:D47"/>
    <mergeCell ref="B17:C17"/>
    <mergeCell ref="A18:C18"/>
    <mergeCell ref="A20:D20"/>
    <mergeCell ref="A21:D21"/>
    <mergeCell ref="A25:B25"/>
    <mergeCell ref="S3:T3"/>
    <mergeCell ref="S4:T4"/>
    <mergeCell ref="S5:T5"/>
    <mergeCell ref="S6:T6"/>
    <mergeCell ref="S7:T7"/>
    <mergeCell ref="S8:T8"/>
    <mergeCell ref="S9:T9"/>
    <mergeCell ref="S97:T97"/>
    <mergeCell ref="A1:D1"/>
    <mergeCell ref="A2:D2"/>
    <mergeCell ref="C3:D3"/>
    <mergeCell ref="C4:D4"/>
    <mergeCell ref="C5:D5"/>
    <mergeCell ref="B12:C12"/>
    <mergeCell ref="B13:C13"/>
    <mergeCell ref="B14:C14"/>
    <mergeCell ref="B15:C15"/>
    <mergeCell ref="B16:C16"/>
    <mergeCell ref="C6:D6"/>
    <mergeCell ref="C7:D7"/>
    <mergeCell ref="C8:D8"/>
    <mergeCell ref="A10:D10"/>
    <mergeCell ref="B11:C11"/>
    <mergeCell ref="A27:D27"/>
  </mergeCells>
  <pageMargins left="0.511811024" right="0.511811024" top="0.78740157499999996" bottom="0.78740157499999996" header="0.31496062000000002" footer="0.31496062000000002"/>
  <pageSetup paperSize="9" scale="88" orientation="portrait" r:id="rId1"/>
  <rowBreaks count="2" manualBreakCount="2">
    <brk id="46" max="3" man="1"/>
    <brk id="95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19"/>
  <sheetViews>
    <sheetView topLeftCell="F1" zoomScaleNormal="100" zoomScaleSheetLayoutView="100" workbookViewId="0">
      <selection activeCell="T12" sqref="T12"/>
    </sheetView>
  </sheetViews>
  <sheetFormatPr defaultColWidth="9" defaultRowHeight="15" x14ac:dyDescent="0.25"/>
  <cols>
    <col min="1" max="1" width="4.7109375" style="9" bestFit="1" customWidth="1"/>
    <col min="2" max="2" width="84.28515625" style="9" bestFit="1" customWidth="1"/>
    <col min="3" max="3" width="14.140625" style="9" bestFit="1" customWidth="1"/>
    <col min="4" max="4" width="11.7109375" style="9" bestFit="1" customWidth="1"/>
    <col min="5" max="20" width="15.7109375" style="9" customWidth="1"/>
    <col min="21" max="16384" width="9" style="9"/>
  </cols>
  <sheetData>
    <row r="1" spans="1:20" x14ac:dyDescent="0.25">
      <c r="A1" s="362" t="s">
        <v>161</v>
      </c>
      <c r="B1" s="362"/>
      <c r="C1" s="362"/>
      <c r="D1" s="362"/>
      <c r="E1" s="292" t="s">
        <v>46</v>
      </c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4"/>
      <c r="S1" s="179"/>
      <c r="T1" s="179"/>
    </row>
    <row r="2" spans="1:20" ht="15.75" customHeight="1" thickBot="1" x14ac:dyDescent="0.3">
      <c r="A2" s="340" t="s">
        <v>47</v>
      </c>
      <c r="B2" s="340"/>
      <c r="C2" s="340"/>
      <c r="D2" s="340"/>
      <c r="E2" s="295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7"/>
      <c r="S2" s="179"/>
      <c r="T2" s="179"/>
    </row>
    <row r="3" spans="1:20" ht="80.099999999999994" customHeight="1" x14ac:dyDescent="0.25">
      <c r="A3" s="6">
        <v>1</v>
      </c>
      <c r="B3" s="7" t="s">
        <v>48</v>
      </c>
      <c r="C3" s="360" t="s">
        <v>17</v>
      </c>
      <c r="D3" s="360"/>
      <c r="E3" s="360" t="s">
        <v>17</v>
      </c>
      <c r="F3" s="360"/>
      <c r="G3" s="305"/>
      <c r="H3" s="306"/>
      <c r="I3" s="360" t="s">
        <v>17</v>
      </c>
      <c r="J3" s="360"/>
      <c r="K3" s="307"/>
      <c r="L3" s="307"/>
      <c r="M3" s="307"/>
      <c r="N3" s="307"/>
      <c r="O3" s="307"/>
      <c r="P3" s="307"/>
      <c r="Q3" s="307"/>
      <c r="R3" s="308"/>
      <c r="S3" s="360" t="s">
        <v>17</v>
      </c>
      <c r="T3" s="360"/>
    </row>
    <row r="4" spans="1:20" x14ac:dyDescent="0.25">
      <c r="A4" s="155">
        <v>2</v>
      </c>
      <c r="B4" s="8" t="s">
        <v>50</v>
      </c>
      <c r="C4" s="312" t="s">
        <v>16</v>
      </c>
      <c r="D4" s="312"/>
      <c r="E4" s="312" t="s">
        <v>16</v>
      </c>
      <c r="F4" s="312"/>
      <c r="G4" s="298"/>
      <c r="H4" s="299"/>
      <c r="I4" s="312" t="s">
        <v>16</v>
      </c>
      <c r="J4" s="312"/>
      <c r="K4" s="309"/>
      <c r="L4" s="309"/>
      <c r="M4" s="309"/>
      <c r="N4" s="309"/>
      <c r="O4" s="309"/>
      <c r="P4" s="309"/>
      <c r="Q4" s="309"/>
      <c r="R4" s="317"/>
      <c r="S4" s="312" t="s">
        <v>16</v>
      </c>
      <c r="T4" s="312"/>
    </row>
    <row r="5" spans="1:20" x14ac:dyDescent="0.25">
      <c r="A5" s="155">
        <v>3</v>
      </c>
      <c r="B5" s="8" t="s">
        <v>51</v>
      </c>
      <c r="C5" s="361">
        <v>1175.42</v>
      </c>
      <c r="D5" s="361"/>
      <c r="E5" s="361">
        <v>1175.42</v>
      </c>
      <c r="F5" s="361"/>
      <c r="G5" s="300"/>
      <c r="H5" s="301"/>
      <c r="I5" s="361">
        <v>1175.42</v>
      </c>
      <c r="J5" s="361"/>
      <c r="K5" s="316"/>
      <c r="L5" s="316"/>
      <c r="M5" s="316"/>
      <c r="N5" s="316"/>
      <c r="O5" s="316"/>
      <c r="P5" s="316"/>
      <c r="Q5" s="316"/>
      <c r="R5" s="318"/>
      <c r="S5" s="361">
        <v>1175.42</v>
      </c>
      <c r="T5" s="361"/>
    </row>
    <row r="6" spans="1:20" x14ac:dyDescent="0.25">
      <c r="A6" s="155">
        <v>4</v>
      </c>
      <c r="B6" s="8" t="s">
        <v>52</v>
      </c>
      <c r="C6" s="320" t="s">
        <v>162</v>
      </c>
      <c r="D6" s="320"/>
      <c r="E6" s="314" t="s">
        <v>53</v>
      </c>
      <c r="F6" s="315"/>
      <c r="G6" s="302"/>
      <c r="H6" s="303"/>
      <c r="I6" s="320" t="s">
        <v>53</v>
      </c>
      <c r="J6" s="320"/>
      <c r="K6" s="315"/>
      <c r="L6" s="315"/>
      <c r="M6" s="315"/>
      <c r="N6" s="315"/>
      <c r="O6" s="315"/>
      <c r="P6" s="315"/>
      <c r="Q6" s="315"/>
      <c r="R6" s="319"/>
      <c r="S6" s="314" t="s">
        <v>53</v>
      </c>
      <c r="T6" s="315"/>
    </row>
    <row r="7" spans="1:20" x14ac:dyDescent="0.25">
      <c r="A7" s="155">
        <v>5</v>
      </c>
      <c r="B7" s="8" t="s">
        <v>54</v>
      </c>
      <c r="C7" s="328">
        <v>43952</v>
      </c>
      <c r="D7" s="312"/>
      <c r="E7" s="335">
        <v>44317</v>
      </c>
      <c r="F7" s="328"/>
      <c r="G7" s="336"/>
      <c r="H7" s="337"/>
      <c r="I7" s="328">
        <v>44682</v>
      </c>
      <c r="J7" s="328"/>
      <c r="K7" s="322"/>
      <c r="L7" s="322"/>
      <c r="M7" s="322"/>
      <c r="N7" s="322"/>
      <c r="O7" s="322"/>
      <c r="P7" s="322"/>
      <c r="Q7" s="322"/>
      <c r="R7" s="323"/>
      <c r="S7" s="335">
        <v>45047</v>
      </c>
      <c r="T7" s="328"/>
    </row>
    <row r="8" spans="1:20" x14ac:dyDescent="0.25">
      <c r="A8" s="155">
        <v>6</v>
      </c>
      <c r="B8" s="8" t="s">
        <v>55</v>
      </c>
      <c r="C8" s="328" t="s">
        <v>163</v>
      </c>
      <c r="D8" s="312"/>
      <c r="E8" s="335" t="s">
        <v>56</v>
      </c>
      <c r="F8" s="328"/>
      <c r="G8" s="336"/>
      <c r="H8" s="337"/>
      <c r="I8" s="328" t="s">
        <v>57</v>
      </c>
      <c r="J8" s="328"/>
      <c r="K8" s="322"/>
      <c r="L8" s="322"/>
      <c r="M8" s="322"/>
      <c r="N8" s="322"/>
      <c r="O8" s="322"/>
      <c r="P8" s="322"/>
      <c r="Q8" s="322"/>
      <c r="R8" s="323"/>
      <c r="S8" s="335" t="s">
        <v>58</v>
      </c>
      <c r="T8" s="328"/>
    </row>
    <row r="9" spans="1:20" ht="75" customHeight="1" x14ac:dyDescent="0.25">
      <c r="E9" s="334" t="s">
        <v>59</v>
      </c>
      <c r="F9" s="331"/>
      <c r="G9" s="329" t="s">
        <v>60</v>
      </c>
      <c r="H9" s="330"/>
      <c r="I9" s="331" t="s">
        <v>61</v>
      </c>
      <c r="J9" s="331"/>
      <c r="K9" s="331" t="s">
        <v>62</v>
      </c>
      <c r="L9" s="331"/>
      <c r="M9" s="331" t="s">
        <v>63</v>
      </c>
      <c r="N9" s="331"/>
      <c r="O9" s="331" t="s">
        <v>64</v>
      </c>
      <c r="P9" s="331"/>
      <c r="Q9" s="320" t="s">
        <v>164</v>
      </c>
      <c r="R9" s="321"/>
      <c r="S9" s="320" t="s">
        <v>165</v>
      </c>
      <c r="T9" s="321"/>
    </row>
    <row r="10" spans="1:20" ht="27.75" customHeight="1" x14ac:dyDescent="0.25">
      <c r="A10" s="276" t="s">
        <v>67</v>
      </c>
      <c r="B10" s="276"/>
      <c r="C10" s="276"/>
      <c r="D10" s="276"/>
      <c r="E10" s="171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0"/>
      <c r="R10" s="139"/>
      <c r="S10" s="10"/>
      <c r="T10" s="139"/>
    </row>
    <row r="11" spans="1:20" x14ac:dyDescent="0.25">
      <c r="A11" s="163">
        <v>1</v>
      </c>
      <c r="B11" s="340" t="s">
        <v>68</v>
      </c>
      <c r="C11" s="340"/>
      <c r="D11" s="163" t="s">
        <v>171</v>
      </c>
      <c r="E11" s="55"/>
      <c r="F11" s="163" t="s">
        <v>30</v>
      </c>
      <c r="G11" s="10"/>
      <c r="H11" s="163" t="s">
        <v>30</v>
      </c>
      <c r="I11" s="10"/>
      <c r="J11" s="163" t="s">
        <v>30</v>
      </c>
      <c r="K11" s="10"/>
      <c r="L11" s="163" t="s">
        <v>30</v>
      </c>
      <c r="M11" s="10"/>
      <c r="N11" s="163" t="s">
        <v>30</v>
      </c>
      <c r="O11" s="10"/>
      <c r="P11" s="163" t="s">
        <v>30</v>
      </c>
      <c r="Q11" s="10"/>
      <c r="R11" s="41" t="s">
        <v>30</v>
      </c>
      <c r="S11" s="10"/>
      <c r="T11" s="41" t="s">
        <v>30</v>
      </c>
    </row>
    <row r="12" spans="1:20" x14ac:dyDescent="0.25">
      <c r="A12" s="6" t="s">
        <v>69</v>
      </c>
      <c r="B12" s="312" t="s">
        <v>70</v>
      </c>
      <c r="C12" s="312"/>
      <c r="D12" s="20">
        <v>2937.99</v>
      </c>
      <c r="E12" s="55"/>
      <c r="F12" s="72">
        <f>ROUND(D12*(1+6.76%),2)</f>
        <v>3136.6</v>
      </c>
      <c r="G12" s="10"/>
      <c r="H12" s="72">
        <f>F12</f>
        <v>3136.6</v>
      </c>
      <c r="I12" s="10"/>
      <c r="J12" s="72">
        <f>H12</f>
        <v>3136.6</v>
      </c>
      <c r="K12" s="10"/>
      <c r="L12" s="72">
        <f>ROUND(J12*(1+9.7%),2)</f>
        <v>3440.85</v>
      </c>
      <c r="M12" s="10"/>
      <c r="N12" s="72">
        <f>L12</f>
        <v>3440.85</v>
      </c>
      <c r="O12" s="10"/>
      <c r="P12" s="72">
        <f>N12</f>
        <v>3440.85</v>
      </c>
      <c r="Q12" s="10"/>
      <c r="R12" s="74">
        <f>ROUND(J12*(1+12.13%),2)</f>
        <v>3517.07</v>
      </c>
      <c r="S12" s="10"/>
      <c r="T12" s="74">
        <f>ROUND(R12*(1+4.18%),2)</f>
        <v>3664.08</v>
      </c>
    </row>
    <row r="13" spans="1:20" x14ac:dyDescent="0.25">
      <c r="A13" s="6" t="s">
        <v>71</v>
      </c>
      <c r="B13" s="312" t="s">
        <v>72</v>
      </c>
      <c r="C13" s="312"/>
      <c r="D13" s="20">
        <v>0</v>
      </c>
      <c r="E13" s="55"/>
      <c r="F13" s="72" t="s">
        <v>38</v>
      </c>
      <c r="G13" s="10"/>
      <c r="H13" s="72" t="s">
        <v>38</v>
      </c>
      <c r="I13" s="10"/>
      <c r="J13" s="72" t="s">
        <v>38</v>
      </c>
      <c r="K13" s="10"/>
      <c r="L13" s="72" t="s">
        <v>38</v>
      </c>
      <c r="M13" s="10"/>
      <c r="N13" s="72" t="s">
        <v>38</v>
      </c>
      <c r="O13" s="10"/>
      <c r="P13" s="72" t="s">
        <v>38</v>
      </c>
      <c r="Q13" s="10"/>
      <c r="R13" s="74" t="s">
        <v>38</v>
      </c>
      <c r="S13" s="10"/>
      <c r="T13" s="74" t="s">
        <v>38</v>
      </c>
    </row>
    <row r="14" spans="1:20" x14ac:dyDescent="0.25">
      <c r="A14" s="6" t="s">
        <v>73</v>
      </c>
      <c r="B14" s="312" t="s">
        <v>74</v>
      </c>
      <c r="C14" s="312"/>
      <c r="D14" s="20">
        <v>0</v>
      </c>
      <c r="E14" s="55"/>
      <c r="F14" s="72" t="s">
        <v>38</v>
      </c>
      <c r="G14" s="10"/>
      <c r="H14" s="72" t="s">
        <v>38</v>
      </c>
      <c r="I14" s="10"/>
      <c r="J14" s="72" t="s">
        <v>38</v>
      </c>
      <c r="K14" s="10"/>
      <c r="L14" s="72" t="s">
        <v>38</v>
      </c>
      <c r="M14" s="10"/>
      <c r="N14" s="72" t="s">
        <v>38</v>
      </c>
      <c r="O14" s="10"/>
      <c r="P14" s="72" t="s">
        <v>38</v>
      </c>
      <c r="Q14" s="10"/>
      <c r="R14" s="74" t="s">
        <v>38</v>
      </c>
      <c r="S14" s="10"/>
      <c r="T14" s="74" t="s">
        <v>38</v>
      </c>
    </row>
    <row r="15" spans="1:20" x14ac:dyDescent="0.25">
      <c r="A15" s="6" t="s">
        <v>75</v>
      </c>
      <c r="B15" s="312" t="s">
        <v>76</v>
      </c>
      <c r="C15" s="312"/>
      <c r="D15" s="20">
        <v>0</v>
      </c>
      <c r="E15" s="55"/>
      <c r="F15" s="72" t="s">
        <v>38</v>
      </c>
      <c r="G15" s="10"/>
      <c r="H15" s="72" t="s">
        <v>38</v>
      </c>
      <c r="I15" s="10"/>
      <c r="J15" s="72" t="s">
        <v>38</v>
      </c>
      <c r="K15" s="10"/>
      <c r="L15" s="72" t="s">
        <v>38</v>
      </c>
      <c r="M15" s="10"/>
      <c r="N15" s="72" t="s">
        <v>38</v>
      </c>
      <c r="O15" s="10"/>
      <c r="P15" s="72" t="s">
        <v>38</v>
      </c>
      <c r="Q15" s="10"/>
      <c r="R15" s="74" t="s">
        <v>38</v>
      </c>
      <c r="S15" s="10"/>
      <c r="T15" s="74" t="s">
        <v>38</v>
      </c>
    </row>
    <row r="16" spans="1:20" x14ac:dyDescent="0.25">
      <c r="A16" s="6" t="s">
        <v>77</v>
      </c>
      <c r="B16" s="312" t="s">
        <v>78</v>
      </c>
      <c r="C16" s="312"/>
      <c r="D16" s="20">
        <v>0</v>
      </c>
      <c r="E16" s="55"/>
      <c r="F16" s="72" t="s">
        <v>38</v>
      </c>
      <c r="G16" s="10"/>
      <c r="H16" s="72" t="s">
        <v>38</v>
      </c>
      <c r="I16" s="10"/>
      <c r="J16" s="72" t="s">
        <v>38</v>
      </c>
      <c r="K16" s="10"/>
      <c r="L16" s="72" t="s">
        <v>38</v>
      </c>
      <c r="M16" s="10"/>
      <c r="N16" s="72" t="s">
        <v>38</v>
      </c>
      <c r="O16" s="10"/>
      <c r="P16" s="72" t="s">
        <v>38</v>
      </c>
      <c r="Q16" s="10"/>
      <c r="R16" s="74" t="s">
        <v>38</v>
      </c>
      <c r="S16" s="10"/>
      <c r="T16" s="74" t="s">
        <v>38</v>
      </c>
    </row>
    <row r="17" spans="1:20" x14ac:dyDescent="0.25">
      <c r="A17" s="6" t="s">
        <v>79</v>
      </c>
      <c r="B17" s="312" t="s">
        <v>80</v>
      </c>
      <c r="C17" s="312"/>
      <c r="D17" s="20">
        <v>0</v>
      </c>
      <c r="E17" s="55"/>
      <c r="F17" s="72" t="s">
        <v>38</v>
      </c>
      <c r="G17" s="10"/>
      <c r="H17" s="72" t="s">
        <v>38</v>
      </c>
      <c r="I17" s="10"/>
      <c r="J17" s="72" t="s">
        <v>38</v>
      </c>
      <c r="K17" s="10"/>
      <c r="L17" s="72" t="s">
        <v>38</v>
      </c>
      <c r="M17" s="10"/>
      <c r="N17" s="72" t="s">
        <v>38</v>
      </c>
      <c r="O17" s="10"/>
      <c r="P17" s="72" t="s">
        <v>38</v>
      </c>
      <c r="Q17" s="10"/>
      <c r="R17" s="74" t="s">
        <v>38</v>
      </c>
      <c r="S17" s="10"/>
      <c r="T17" s="74" t="s">
        <v>38</v>
      </c>
    </row>
    <row r="18" spans="1:20" x14ac:dyDescent="0.25">
      <c r="A18" s="340" t="s">
        <v>32</v>
      </c>
      <c r="B18" s="340"/>
      <c r="C18" s="340"/>
      <c r="D18" s="28">
        <f>SUM(D12:D17)</f>
        <v>2937.99</v>
      </c>
      <c r="E18" s="55"/>
      <c r="F18" s="73">
        <f>SUM(F12:F17)</f>
        <v>3136.6</v>
      </c>
      <c r="G18" s="10"/>
      <c r="H18" s="73">
        <f>SUM(H12:H17)</f>
        <v>3136.6</v>
      </c>
      <c r="I18" s="10"/>
      <c r="J18" s="73">
        <f>SUM(J12:J17)</f>
        <v>3136.6</v>
      </c>
      <c r="K18" s="10"/>
      <c r="L18" s="73">
        <f>SUM(L12:L17)</f>
        <v>3440.85</v>
      </c>
      <c r="M18" s="10"/>
      <c r="N18" s="73">
        <f>SUM(N12:N17)</f>
        <v>3440.85</v>
      </c>
      <c r="O18" s="10"/>
      <c r="P18" s="73">
        <f>SUM(P12:P17)</f>
        <v>3440.85</v>
      </c>
      <c r="Q18" s="10"/>
      <c r="R18" s="173">
        <f>SUM(R12:R17)</f>
        <v>3517.07</v>
      </c>
      <c r="S18" s="10"/>
      <c r="T18" s="173">
        <f>SUM(T12:T17)</f>
        <v>3664.08</v>
      </c>
    </row>
    <row r="19" spans="1:20" x14ac:dyDescent="0.25">
      <c r="E19" s="5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39"/>
      <c r="S19" s="10"/>
      <c r="T19" s="139"/>
    </row>
    <row r="20" spans="1:20" x14ac:dyDescent="0.25">
      <c r="A20" s="340" t="s">
        <v>81</v>
      </c>
      <c r="B20" s="340"/>
      <c r="C20" s="340"/>
      <c r="D20" s="340"/>
      <c r="E20" s="5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39"/>
      <c r="S20" s="10"/>
      <c r="T20" s="139"/>
    </row>
    <row r="21" spans="1:20" x14ac:dyDescent="0.25">
      <c r="A21" s="340" t="s">
        <v>82</v>
      </c>
      <c r="B21" s="340"/>
      <c r="C21" s="340"/>
      <c r="D21" s="340"/>
      <c r="E21" s="5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39"/>
      <c r="S21" s="10"/>
      <c r="T21" s="139"/>
    </row>
    <row r="22" spans="1:20" x14ac:dyDescent="0.25">
      <c r="A22" s="156" t="s">
        <v>83</v>
      </c>
      <c r="B22" s="156" t="s">
        <v>84</v>
      </c>
      <c r="C22" s="163" t="s">
        <v>172</v>
      </c>
      <c r="D22" s="156" t="s">
        <v>171</v>
      </c>
      <c r="E22" s="162" t="s">
        <v>85</v>
      </c>
      <c r="F22" s="156" t="s">
        <v>30</v>
      </c>
      <c r="G22" s="163" t="s">
        <v>85</v>
      </c>
      <c r="H22" s="156" t="s">
        <v>30</v>
      </c>
      <c r="I22" s="163" t="s">
        <v>85</v>
      </c>
      <c r="J22" s="156" t="s">
        <v>30</v>
      </c>
      <c r="K22" s="163" t="s">
        <v>85</v>
      </c>
      <c r="L22" s="156" t="s">
        <v>30</v>
      </c>
      <c r="M22" s="163" t="s">
        <v>85</v>
      </c>
      <c r="N22" s="156" t="s">
        <v>30</v>
      </c>
      <c r="O22" s="163" t="s">
        <v>85</v>
      </c>
      <c r="P22" s="156" t="s">
        <v>30</v>
      </c>
      <c r="Q22" s="163" t="s">
        <v>85</v>
      </c>
      <c r="R22" s="157" t="s">
        <v>30</v>
      </c>
      <c r="S22" s="163" t="s">
        <v>85</v>
      </c>
      <c r="T22" s="157" t="s">
        <v>30</v>
      </c>
    </row>
    <row r="23" spans="1:20" x14ac:dyDescent="0.25">
      <c r="A23" s="6" t="s">
        <v>69</v>
      </c>
      <c r="B23" s="10" t="s">
        <v>86</v>
      </c>
      <c r="C23" s="11">
        <v>9.0899999999999995E-2</v>
      </c>
      <c r="D23" s="12">
        <f>C23*$D$18</f>
        <v>267.06329099999999</v>
      </c>
      <c r="E23" s="46">
        <v>9.0899999999999995E-2</v>
      </c>
      <c r="F23" s="12">
        <f>E23*F$18</f>
        <v>285.11694</v>
      </c>
      <c r="G23" s="11">
        <v>9.0899999999999995E-2</v>
      </c>
      <c r="H23" s="12">
        <f>G23*H$18</f>
        <v>285.11694</v>
      </c>
      <c r="I23" s="11">
        <v>9.0899999999999995E-2</v>
      </c>
      <c r="J23" s="12">
        <f>I23*J$18</f>
        <v>285.11694</v>
      </c>
      <c r="K23" s="11">
        <v>9.0899999999999995E-2</v>
      </c>
      <c r="L23" s="12">
        <f>K23*L$18</f>
        <v>312.77326499999998</v>
      </c>
      <c r="M23" s="11">
        <v>9.0899999999999995E-2</v>
      </c>
      <c r="N23" s="12">
        <f>M23*N$18</f>
        <v>312.77326499999998</v>
      </c>
      <c r="O23" s="11">
        <v>9.0899999999999995E-2</v>
      </c>
      <c r="P23" s="12">
        <f>O23*P$18</f>
        <v>312.77326499999998</v>
      </c>
      <c r="Q23" s="11">
        <v>9.0899999999999995E-2</v>
      </c>
      <c r="R23" s="42">
        <f>Q23*R$18</f>
        <v>319.701663</v>
      </c>
      <c r="S23" s="11">
        <v>9.0899999999999995E-2</v>
      </c>
      <c r="T23" s="42">
        <f>S23*T$18</f>
        <v>333.06487199999998</v>
      </c>
    </row>
    <row r="24" spans="1:20" x14ac:dyDescent="0.25">
      <c r="A24" s="6" t="s">
        <v>71</v>
      </c>
      <c r="B24" s="10" t="s">
        <v>87</v>
      </c>
      <c r="C24" s="11">
        <v>0.121</v>
      </c>
      <c r="D24" s="12">
        <f>C24*$D$18</f>
        <v>355.49678999999998</v>
      </c>
      <c r="E24" s="46">
        <v>0.121</v>
      </c>
      <c r="F24" s="12">
        <f>E24*F$18</f>
        <v>379.52859999999998</v>
      </c>
      <c r="G24" s="11">
        <v>0.121</v>
      </c>
      <c r="H24" s="12">
        <f>G24*H$18</f>
        <v>379.52859999999998</v>
      </c>
      <c r="I24" s="11">
        <v>0.121</v>
      </c>
      <c r="J24" s="12">
        <f>I24*J$18</f>
        <v>379.52859999999998</v>
      </c>
      <c r="K24" s="11">
        <v>0.121</v>
      </c>
      <c r="L24" s="12">
        <f>K24*L$18</f>
        <v>416.34285</v>
      </c>
      <c r="M24" s="11">
        <v>0.121</v>
      </c>
      <c r="N24" s="12">
        <f>M24*N$18</f>
        <v>416.34285</v>
      </c>
      <c r="O24" s="11">
        <v>0.121</v>
      </c>
      <c r="P24" s="12">
        <f>O24*P$18</f>
        <v>416.34285</v>
      </c>
      <c r="Q24" s="11">
        <v>0.121</v>
      </c>
      <c r="R24" s="42">
        <f>Q24*R$18</f>
        <v>425.56547</v>
      </c>
      <c r="S24" s="11">
        <v>0.121</v>
      </c>
      <c r="T24" s="42">
        <f>S24*T$18</f>
        <v>443.35368</v>
      </c>
    </row>
    <row r="25" spans="1:20" x14ac:dyDescent="0.25">
      <c r="A25" s="340" t="s">
        <v>32</v>
      </c>
      <c r="B25" s="340"/>
      <c r="C25" s="27">
        <f>SUM(C23:C24)</f>
        <v>0.21189999999999998</v>
      </c>
      <c r="D25" s="23">
        <f>SUM(D23:D24)</f>
        <v>622.56008099999997</v>
      </c>
      <c r="E25" s="47">
        <f t="shared" ref="E25:R25" si="0">SUM(E23:E24)</f>
        <v>0.21189999999999998</v>
      </c>
      <c r="F25" s="23">
        <f t="shared" si="0"/>
        <v>664.64553999999998</v>
      </c>
      <c r="G25" s="27">
        <f t="shared" si="0"/>
        <v>0.21189999999999998</v>
      </c>
      <c r="H25" s="23">
        <f t="shared" si="0"/>
        <v>664.64553999999998</v>
      </c>
      <c r="I25" s="27">
        <f t="shared" si="0"/>
        <v>0.21189999999999998</v>
      </c>
      <c r="J25" s="23">
        <f t="shared" si="0"/>
        <v>664.64553999999998</v>
      </c>
      <c r="K25" s="27">
        <f t="shared" si="0"/>
        <v>0.21189999999999998</v>
      </c>
      <c r="L25" s="23">
        <f t="shared" si="0"/>
        <v>729.11611500000004</v>
      </c>
      <c r="M25" s="27">
        <f t="shared" si="0"/>
        <v>0.21189999999999998</v>
      </c>
      <c r="N25" s="23">
        <f t="shared" si="0"/>
        <v>729.11611500000004</v>
      </c>
      <c r="O25" s="27">
        <f t="shared" si="0"/>
        <v>0.21189999999999998</v>
      </c>
      <c r="P25" s="23">
        <f t="shared" si="0"/>
        <v>729.11611500000004</v>
      </c>
      <c r="Q25" s="27">
        <f t="shared" si="0"/>
        <v>0.21189999999999998</v>
      </c>
      <c r="R25" s="169">
        <f t="shared" si="0"/>
        <v>745.26713300000006</v>
      </c>
      <c r="S25" s="27">
        <f t="shared" ref="S25:T25" si="1">SUM(S23:S24)</f>
        <v>0.21189999999999998</v>
      </c>
      <c r="T25" s="169">
        <f t="shared" si="1"/>
        <v>776.41855199999998</v>
      </c>
    </row>
    <row r="26" spans="1:20" x14ac:dyDescent="0.25">
      <c r="E26" s="5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39"/>
      <c r="S26" s="10"/>
      <c r="T26" s="139"/>
    </row>
    <row r="27" spans="1:20" ht="33" customHeight="1" x14ac:dyDescent="0.25">
      <c r="A27" s="276" t="s">
        <v>88</v>
      </c>
      <c r="B27" s="276"/>
      <c r="C27" s="276"/>
      <c r="D27" s="276"/>
      <c r="E27" s="55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39"/>
      <c r="S27" s="10"/>
      <c r="T27" s="139"/>
    </row>
    <row r="28" spans="1:20" x14ac:dyDescent="0.25">
      <c r="A28" s="163" t="s">
        <v>89</v>
      </c>
      <c r="B28" s="163" t="s">
        <v>90</v>
      </c>
      <c r="C28" s="163" t="s">
        <v>172</v>
      </c>
      <c r="D28" s="163" t="s">
        <v>171</v>
      </c>
      <c r="E28" s="162" t="s">
        <v>85</v>
      </c>
      <c r="F28" s="163" t="s">
        <v>30</v>
      </c>
      <c r="G28" s="163" t="s">
        <v>85</v>
      </c>
      <c r="H28" s="163" t="s">
        <v>30</v>
      </c>
      <c r="I28" s="163" t="s">
        <v>85</v>
      </c>
      <c r="J28" s="163" t="s">
        <v>30</v>
      </c>
      <c r="K28" s="163" t="s">
        <v>85</v>
      </c>
      <c r="L28" s="163" t="s">
        <v>30</v>
      </c>
      <c r="M28" s="163" t="s">
        <v>85</v>
      </c>
      <c r="N28" s="163" t="s">
        <v>30</v>
      </c>
      <c r="O28" s="163" t="s">
        <v>85</v>
      </c>
      <c r="P28" s="163" t="s">
        <v>30</v>
      </c>
      <c r="Q28" s="163" t="s">
        <v>85</v>
      </c>
      <c r="R28" s="41" t="s">
        <v>30</v>
      </c>
      <c r="S28" s="163" t="s">
        <v>85</v>
      </c>
      <c r="T28" s="41" t="s">
        <v>30</v>
      </c>
    </row>
    <row r="29" spans="1:20" x14ac:dyDescent="0.25">
      <c r="A29" s="6" t="s">
        <v>69</v>
      </c>
      <c r="B29" s="10" t="s">
        <v>91</v>
      </c>
      <c r="C29" s="13">
        <v>0</v>
      </c>
      <c r="D29" s="21">
        <f t="shared" ref="D29:D36" si="2">C29*($D$18+$D$25)</f>
        <v>0</v>
      </c>
      <c r="E29" s="48">
        <v>0</v>
      </c>
      <c r="F29" s="21">
        <f t="shared" ref="F29:F36" si="3">E29*(F$18+F$25)</f>
        <v>0</v>
      </c>
      <c r="G29" s="13">
        <v>0</v>
      </c>
      <c r="H29" s="21">
        <f t="shared" ref="H29:H36" si="4">G29*(H$18+H$25)</f>
        <v>0</v>
      </c>
      <c r="I29" s="13">
        <v>0</v>
      </c>
      <c r="J29" s="21">
        <f t="shared" ref="J29:J36" si="5">I29*(J$18+J$25)</f>
        <v>0</v>
      </c>
      <c r="K29" s="13">
        <v>0</v>
      </c>
      <c r="L29" s="21">
        <f t="shared" ref="L29:L36" si="6">K29*(L$18+L$25)</f>
        <v>0</v>
      </c>
      <c r="M29" s="13">
        <v>0</v>
      </c>
      <c r="N29" s="21">
        <f t="shared" ref="N29:N36" si="7">M29*(N$18+N$25)</f>
        <v>0</v>
      </c>
      <c r="O29" s="13">
        <v>0</v>
      </c>
      <c r="P29" s="21">
        <f t="shared" ref="P29:P36" si="8">O29*(P$18+P$25)</f>
        <v>0</v>
      </c>
      <c r="Q29" s="13">
        <v>0</v>
      </c>
      <c r="R29" s="43">
        <f t="shared" ref="R29:R36" si="9">Q29*(R$18+R$25)</f>
        <v>0</v>
      </c>
      <c r="S29" s="13">
        <v>0</v>
      </c>
      <c r="T29" s="43">
        <f t="shared" ref="T29:T36" si="10">S29*(T$18+T$25)</f>
        <v>0</v>
      </c>
    </row>
    <row r="30" spans="1:20" x14ac:dyDescent="0.25">
      <c r="A30" s="6" t="s">
        <v>71</v>
      </c>
      <c r="B30" s="10" t="s">
        <v>92</v>
      </c>
      <c r="C30" s="13">
        <v>2.5000000000000001E-2</v>
      </c>
      <c r="D30" s="21">
        <f t="shared" si="2"/>
        <v>89.013752025000002</v>
      </c>
      <c r="E30" s="48">
        <v>2.5000000000000001E-2</v>
      </c>
      <c r="F30" s="21">
        <f t="shared" si="3"/>
        <v>95.031138499999997</v>
      </c>
      <c r="G30" s="13">
        <v>2.5000000000000001E-2</v>
      </c>
      <c r="H30" s="21">
        <f t="shared" si="4"/>
        <v>95.031138499999997</v>
      </c>
      <c r="I30" s="13">
        <v>2.5000000000000001E-2</v>
      </c>
      <c r="J30" s="21">
        <f t="shared" si="5"/>
        <v>95.031138499999997</v>
      </c>
      <c r="K30" s="13">
        <v>2.5000000000000001E-2</v>
      </c>
      <c r="L30" s="21">
        <f t="shared" si="6"/>
        <v>104.24915287500001</v>
      </c>
      <c r="M30" s="13">
        <v>2.5000000000000001E-2</v>
      </c>
      <c r="N30" s="21">
        <f t="shared" si="7"/>
        <v>104.24915287500001</v>
      </c>
      <c r="O30" s="13">
        <v>2.5000000000000001E-2</v>
      </c>
      <c r="P30" s="21">
        <f t="shared" si="8"/>
        <v>104.24915287500001</v>
      </c>
      <c r="Q30" s="13">
        <v>2.5000000000000001E-2</v>
      </c>
      <c r="R30" s="43">
        <f t="shared" si="9"/>
        <v>106.55842832500001</v>
      </c>
      <c r="S30" s="13">
        <v>2.5000000000000001E-2</v>
      </c>
      <c r="T30" s="43">
        <f t="shared" si="10"/>
        <v>111.01246380000001</v>
      </c>
    </row>
    <row r="31" spans="1:20" x14ac:dyDescent="0.25">
      <c r="A31" s="6" t="s">
        <v>73</v>
      </c>
      <c r="B31" s="10" t="s">
        <v>166</v>
      </c>
      <c r="C31" s="13">
        <v>0.01</v>
      </c>
      <c r="D31" s="21">
        <f t="shared" si="2"/>
        <v>35.605500810000002</v>
      </c>
      <c r="E31" s="13">
        <f>0.5*2%</f>
        <v>0.01</v>
      </c>
      <c r="F31" s="21">
        <f t="shared" si="3"/>
        <v>38.0124554</v>
      </c>
      <c r="G31" s="13">
        <f>0.5*2%</f>
        <v>0.01</v>
      </c>
      <c r="H31" s="21">
        <f t="shared" si="4"/>
        <v>38.0124554</v>
      </c>
      <c r="I31" s="13">
        <f>0.5*2%</f>
        <v>0.01</v>
      </c>
      <c r="J31" s="21">
        <f t="shared" si="5"/>
        <v>38.0124554</v>
      </c>
      <c r="K31" s="13">
        <f>0.5*2%</f>
        <v>0.01</v>
      </c>
      <c r="L31" s="21">
        <f t="shared" si="6"/>
        <v>41.699661150000004</v>
      </c>
      <c r="M31" s="13">
        <f>0.5*2%</f>
        <v>0.01</v>
      </c>
      <c r="N31" s="21">
        <f t="shared" si="7"/>
        <v>41.699661150000004</v>
      </c>
      <c r="O31" s="13">
        <f>0.5*2%</f>
        <v>0.01</v>
      </c>
      <c r="P31" s="21">
        <f t="shared" si="8"/>
        <v>41.699661150000004</v>
      </c>
      <c r="Q31" s="13">
        <f>0.5*2%</f>
        <v>0.01</v>
      </c>
      <c r="R31" s="43">
        <f t="shared" si="9"/>
        <v>42.623371329999998</v>
      </c>
      <c r="S31" s="13">
        <f>0.5*2%</f>
        <v>0.01</v>
      </c>
      <c r="T31" s="43">
        <f t="shared" si="10"/>
        <v>44.404985520000004</v>
      </c>
    </row>
    <row r="32" spans="1:20" x14ac:dyDescent="0.25">
      <c r="A32" s="6" t="s">
        <v>75</v>
      </c>
      <c r="B32" s="10" t="s">
        <v>94</v>
      </c>
      <c r="C32" s="13">
        <v>1.4999999999999999E-2</v>
      </c>
      <c r="D32" s="21">
        <f t="shared" si="2"/>
        <v>53.408251214999993</v>
      </c>
      <c r="E32" s="48">
        <v>1.4999999999999999E-2</v>
      </c>
      <c r="F32" s="21">
        <f t="shared" si="3"/>
        <v>57.018683099999997</v>
      </c>
      <c r="G32" s="13">
        <v>1.4999999999999999E-2</v>
      </c>
      <c r="H32" s="21">
        <f t="shared" si="4"/>
        <v>57.018683099999997</v>
      </c>
      <c r="I32" s="13">
        <v>1.4999999999999999E-2</v>
      </c>
      <c r="J32" s="21">
        <f t="shared" si="5"/>
        <v>57.018683099999997</v>
      </c>
      <c r="K32" s="13">
        <v>1.4999999999999999E-2</v>
      </c>
      <c r="L32" s="21">
        <f t="shared" si="6"/>
        <v>62.549491725000003</v>
      </c>
      <c r="M32" s="13">
        <v>1.4999999999999999E-2</v>
      </c>
      <c r="N32" s="21">
        <f t="shared" si="7"/>
        <v>62.549491725000003</v>
      </c>
      <c r="O32" s="13">
        <v>1.4999999999999999E-2</v>
      </c>
      <c r="P32" s="21">
        <f t="shared" si="8"/>
        <v>62.549491725000003</v>
      </c>
      <c r="Q32" s="13">
        <v>1.4999999999999999E-2</v>
      </c>
      <c r="R32" s="43">
        <f t="shared" si="9"/>
        <v>63.935056994999997</v>
      </c>
      <c r="S32" s="13">
        <v>1.4999999999999999E-2</v>
      </c>
      <c r="T32" s="43">
        <f t="shared" si="10"/>
        <v>66.607478279999995</v>
      </c>
    </row>
    <row r="33" spans="1:20" x14ac:dyDescent="0.25">
      <c r="A33" s="6" t="s">
        <v>77</v>
      </c>
      <c r="B33" s="10" t="s">
        <v>95</v>
      </c>
      <c r="C33" s="13">
        <v>0.01</v>
      </c>
      <c r="D33" s="21">
        <f t="shared" si="2"/>
        <v>35.605500810000002</v>
      </c>
      <c r="E33" s="48">
        <v>0.01</v>
      </c>
      <c r="F33" s="21">
        <f t="shared" si="3"/>
        <v>38.0124554</v>
      </c>
      <c r="G33" s="13">
        <v>0.01</v>
      </c>
      <c r="H33" s="21">
        <f t="shared" si="4"/>
        <v>38.0124554</v>
      </c>
      <c r="I33" s="13">
        <v>0.01</v>
      </c>
      <c r="J33" s="21">
        <f t="shared" si="5"/>
        <v>38.0124554</v>
      </c>
      <c r="K33" s="13">
        <v>0.01</v>
      </c>
      <c r="L33" s="21">
        <f t="shared" si="6"/>
        <v>41.699661150000004</v>
      </c>
      <c r="M33" s="13">
        <v>0.01</v>
      </c>
      <c r="N33" s="21">
        <f t="shared" si="7"/>
        <v>41.699661150000004</v>
      </c>
      <c r="O33" s="13">
        <v>0.01</v>
      </c>
      <c r="P33" s="21">
        <f t="shared" si="8"/>
        <v>41.699661150000004</v>
      </c>
      <c r="Q33" s="13">
        <v>0.01</v>
      </c>
      <c r="R33" s="43">
        <f t="shared" si="9"/>
        <v>42.623371329999998</v>
      </c>
      <c r="S33" s="13">
        <v>0.01</v>
      </c>
      <c r="T33" s="43">
        <f t="shared" si="10"/>
        <v>44.404985520000004</v>
      </c>
    </row>
    <row r="34" spans="1:20" x14ac:dyDescent="0.25">
      <c r="A34" s="6" t="s">
        <v>79</v>
      </c>
      <c r="B34" s="10" t="s">
        <v>96</v>
      </c>
      <c r="C34" s="13">
        <v>6.0000000000000001E-3</v>
      </c>
      <c r="D34" s="21">
        <f t="shared" si="2"/>
        <v>21.363300486</v>
      </c>
      <c r="E34" s="48">
        <v>6.0000000000000001E-3</v>
      </c>
      <c r="F34" s="21">
        <f t="shared" si="3"/>
        <v>22.80747324</v>
      </c>
      <c r="G34" s="13">
        <v>6.0000000000000001E-3</v>
      </c>
      <c r="H34" s="21">
        <f t="shared" si="4"/>
        <v>22.80747324</v>
      </c>
      <c r="I34" s="13">
        <v>6.0000000000000001E-3</v>
      </c>
      <c r="J34" s="21">
        <f t="shared" si="5"/>
        <v>22.80747324</v>
      </c>
      <c r="K34" s="13">
        <v>6.0000000000000001E-3</v>
      </c>
      <c r="L34" s="21">
        <f t="shared" si="6"/>
        <v>25.019796690000003</v>
      </c>
      <c r="M34" s="13">
        <v>6.0000000000000001E-3</v>
      </c>
      <c r="N34" s="21">
        <f t="shared" si="7"/>
        <v>25.019796690000003</v>
      </c>
      <c r="O34" s="13">
        <v>6.0000000000000001E-3</v>
      </c>
      <c r="P34" s="21">
        <f t="shared" si="8"/>
        <v>25.019796690000003</v>
      </c>
      <c r="Q34" s="13">
        <v>6.0000000000000001E-3</v>
      </c>
      <c r="R34" s="43">
        <f t="shared" si="9"/>
        <v>25.574022798000001</v>
      </c>
      <c r="S34" s="13">
        <v>6.0000000000000001E-3</v>
      </c>
      <c r="T34" s="43">
        <f t="shared" si="10"/>
        <v>26.642991311999999</v>
      </c>
    </row>
    <row r="35" spans="1:20" x14ac:dyDescent="0.25">
      <c r="A35" s="6" t="s">
        <v>97</v>
      </c>
      <c r="B35" s="10" t="s">
        <v>98</v>
      </c>
      <c r="C35" s="13">
        <v>2E-3</v>
      </c>
      <c r="D35" s="21">
        <f t="shared" si="2"/>
        <v>7.1211001620000003</v>
      </c>
      <c r="E35" s="48">
        <v>2E-3</v>
      </c>
      <c r="F35" s="21">
        <f t="shared" si="3"/>
        <v>7.6024910800000001</v>
      </c>
      <c r="G35" s="13">
        <v>2E-3</v>
      </c>
      <c r="H35" s="21">
        <f t="shared" si="4"/>
        <v>7.6024910800000001</v>
      </c>
      <c r="I35" s="13">
        <v>2E-3</v>
      </c>
      <c r="J35" s="21">
        <f t="shared" si="5"/>
        <v>7.6024910800000001</v>
      </c>
      <c r="K35" s="13">
        <v>2E-3</v>
      </c>
      <c r="L35" s="21">
        <f t="shared" si="6"/>
        <v>8.3399322300000005</v>
      </c>
      <c r="M35" s="13">
        <v>2E-3</v>
      </c>
      <c r="N35" s="21">
        <f t="shared" si="7"/>
        <v>8.3399322300000005</v>
      </c>
      <c r="O35" s="13">
        <v>2E-3</v>
      </c>
      <c r="P35" s="21">
        <f t="shared" si="8"/>
        <v>8.3399322300000005</v>
      </c>
      <c r="Q35" s="13">
        <v>2E-3</v>
      </c>
      <c r="R35" s="43">
        <f t="shared" si="9"/>
        <v>8.5246742659999999</v>
      </c>
      <c r="S35" s="13">
        <v>2E-3</v>
      </c>
      <c r="T35" s="43">
        <f t="shared" si="10"/>
        <v>8.8809971040000004</v>
      </c>
    </row>
    <row r="36" spans="1:20" x14ac:dyDescent="0.25">
      <c r="A36" s="6" t="s">
        <v>99</v>
      </c>
      <c r="B36" s="10" t="s">
        <v>100</v>
      </c>
      <c r="C36" s="13">
        <v>0.08</v>
      </c>
      <c r="D36" s="21">
        <f t="shared" si="2"/>
        <v>284.84400648000002</v>
      </c>
      <c r="E36" s="48">
        <v>0.08</v>
      </c>
      <c r="F36" s="21">
        <f t="shared" si="3"/>
        <v>304.0996432</v>
      </c>
      <c r="G36" s="13">
        <v>0.08</v>
      </c>
      <c r="H36" s="21">
        <f t="shared" si="4"/>
        <v>304.0996432</v>
      </c>
      <c r="I36" s="13">
        <v>0.08</v>
      </c>
      <c r="J36" s="21">
        <f t="shared" si="5"/>
        <v>304.0996432</v>
      </c>
      <c r="K36" s="13">
        <v>0.08</v>
      </c>
      <c r="L36" s="21">
        <f t="shared" si="6"/>
        <v>333.59728920000003</v>
      </c>
      <c r="M36" s="13">
        <v>0.08</v>
      </c>
      <c r="N36" s="21">
        <f t="shared" si="7"/>
        <v>333.59728920000003</v>
      </c>
      <c r="O36" s="13">
        <v>0.08</v>
      </c>
      <c r="P36" s="21">
        <f t="shared" si="8"/>
        <v>333.59728920000003</v>
      </c>
      <c r="Q36" s="13">
        <v>0.08</v>
      </c>
      <c r="R36" s="43">
        <f t="shared" si="9"/>
        <v>340.98697063999998</v>
      </c>
      <c r="S36" s="13">
        <v>0.08</v>
      </c>
      <c r="T36" s="43">
        <f t="shared" si="10"/>
        <v>355.23988416000003</v>
      </c>
    </row>
    <row r="37" spans="1:20" x14ac:dyDescent="0.25">
      <c r="A37" s="341" t="s">
        <v>32</v>
      </c>
      <c r="B37" s="343"/>
      <c r="C37" s="26">
        <f>SUM(C29:C36)</f>
        <v>0.14800000000000002</v>
      </c>
      <c r="D37" s="23">
        <f>SUM(D29:D36)</f>
        <v>526.96141198800001</v>
      </c>
      <c r="E37" s="49">
        <f t="shared" ref="E37:R37" si="11">SUM(E29:E36)</f>
        <v>0.14800000000000002</v>
      </c>
      <c r="F37" s="23">
        <f t="shared" si="11"/>
        <v>562.58433992000005</v>
      </c>
      <c r="G37" s="26">
        <f t="shared" si="11"/>
        <v>0.14800000000000002</v>
      </c>
      <c r="H37" s="23">
        <f t="shared" si="11"/>
        <v>562.58433992000005</v>
      </c>
      <c r="I37" s="26">
        <f t="shared" si="11"/>
        <v>0.14800000000000002</v>
      </c>
      <c r="J37" s="23">
        <f t="shared" si="11"/>
        <v>562.58433992000005</v>
      </c>
      <c r="K37" s="26">
        <f t="shared" si="11"/>
        <v>0.14800000000000002</v>
      </c>
      <c r="L37" s="23">
        <f t="shared" si="11"/>
        <v>617.15498502000003</v>
      </c>
      <c r="M37" s="26">
        <f t="shared" si="11"/>
        <v>0.14800000000000002</v>
      </c>
      <c r="N37" s="23">
        <f t="shared" si="11"/>
        <v>617.15498502000003</v>
      </c>
      <c r="O37" s="26">
        <f t="shared" si="11"/>
        <v>0.14800000000000002</v>
      </c>
      <c r="P37" s="23">
        <f t="shared" si="11"/>
        <v>617.15498502000003</v>
      </c>
      <c r="Q37" s="26">
        <f t="shared" si="11"/>
        <v>0.14800000000000002</v>
      </c>
      <c r="R37" s="169">
        <f t="shared" si="11"/>
        <v>630.82589568399999</v>
      </c>
      <c r="S37" s="26">
        <f t="shared" ref="S37:T37" si="12">SUM(S29:S36)</f>
        <v>0.14800000000000002</v>
      </c>
      <c r="T37" s="169">
        <f t="shared" si="12"/>
        <v>657.19378569600008</v>
      </c>
    </row>
    <row r="38" spans="1:20" x14ac:dyDescent="0.25">
      <c r="E38" s="55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39"/>
      <c r="S38" s="10"/>
      <c r="T38" s="139"/>
    </row>
    <row r="39" spans="1:20" ht="15" customHeight="1" x14ac:dyDescent="0.25">
      <c r="A39" s="276" t="s">
        <v>101</v>
      </c>
      <c r="B39" s="276"/>
      <c r="C39" s="276"/>
      <c r="D39" s="276"/>
      <c r="E39" s="55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39"/>
      <c r="S39" s="10"/>
      <c r="T39" s="139"/>
    </row>
    <row r="40" spans="1:20" x14ac:dyDescent="0.25">
      <c r="A40" s="163" t="s">
        <v>102</v>
      </c>
      <c r="B40" s="163" t="s">
        <v>103</v>
      </c>
      <c r="C40" s="174" t="s">
        <v>172</v>
      </c>
      <c r="D40" s="163" t="s">
        <v>171</v>
      </c>
      <c r="E40" s="175" t="s">
        <v>85</v>
      </c>
      <c r="F40" s="163" t="s">
        <v>30</v>
      </c>
      <c r="G40" s="174" t="s">
        <v>85</v>
      </c>
      <c r="H40" s="163" t="s">
        <v>30</v>
      </c>
      <c r="I40" s="174" t="s">
        <v>85</v>
      </c>
      <c r="J40" s="163" t="s">
        <v>30</v>
      </c>
      <c r="K40" s="174" t="s">
        <v>85</v>
      </c>
      <c r="L40" s="163" t="s">
        <v>30</v>
      </c>
      <c r="M40" s="174" t="s">
        <v>85</v>
      </c>
      <c r="N40" s="163" t="s">
        <v>30</v>
      </c>
      <c r="O40" s="174" t="s">
        <v>85</v>
      </c>
      <c r="P40" s="163" t="s">
        <v>30</v>
      </c>
      <c r="Q40" s="174" t="s">
        <v>85</v>
      </c>
      <c r="R40" s="41" t="s">
        <v>30</v>
      </c>
      <c r="S40" s="174" t="s">
        <v>85</v>
      </c>
      <c r="T40" s="41" t="s">
        <v>30</v>
      </c>
    </row>
    <row r="41" spans="1:20" x14ac:dyDescent="0.25">
      <c r="A41" s="6" t="s">
        <v>69</v>
      </c>
      <c r="B41" s="10" t="s">
        <v>104</v>
      </c>
      <c r="C41" s="155"/>
      <c r="D41" s="22">
        <f>(16.6*22)-(0.06*D18)</f>
        <v>188.92060000000006</v>
      </c>
      <c r="E41" s="40"/>
      <c r="F41" s="22">
        <f>(16.6*22)-(0.06*F18)</f>
        <v>177.00400000000005</v>
      </c>
      <c r="G41" s="155"/>
      <c r="H41" s="22">
        <f>(16.6*22)-(0.06*H18)</f>
        <v>177.00400000000005</v>
      </c>
      <c r="I41" s="155"/>
      <c r="J41" s="22">
        <f>(16.6*22)-(0.06*J18)</f>
        <v>177.00400000000005</v>
      </c>
      <c r="K41" s="155"/>
      <c r="L41" s="22">
        <f>(16.6*22)-(0.06*L18)</f>
        <v>158.74900000000005</v>
      </c>
      <c r="M41" s="155"/>
      <c r="N41" s="22">
        <f>(16.6*22)-(0.06*N18)</f>
        <v>158.74900000000005</v>
      </c>
      <c r="O41" s="155"/>
      <c r="P41" s="22">
        <f>(16.6*22)-(0.06*P18)</f>
        <v>158.74900000000005</v>
      </c>
      <c r="Q41" s="155"/>
      <c r="R41" s="170">
        <f>(16.6*22)-(0.06*R18)</f>
        <v>154.17580000000004</v>
      </c>
      <c r="S41" s="155"/>
      <c r="T41" s="170">
        <f>(16.6*22)-(0.06*T18)</f>
        <v>145.35520000000005</v>
      </c>
    </row>
    <row r="42" spans="1:20" x14ac:dyDescent="0.25">
      <c r="A42" s="6" t="s">
        <v>71</v>
      </c>
      <c r="B42" s="168" t="s">
        <v>173</v>
      </c>
      <c r="C42" s="15">
        <f>IF(D12&lt;=1861.34,0%,IF(AND(D12&gt;=1861.35,D12&lt;=3149.96),5%,IF(AND(D12&gt;=3149.97,D12&lt;=4581.75),7.5%,IF(AND(D12&gt;=4581.76,D12&lt;=5727.2),10%,IF(AND(D12&gt;=5727.21,D12&lt;=7015.83),15%,20%)))))</f>
        <v>0.05</v>
      </c>
      <c r="D42" s="21">
        <f>(26.87-(26.87*C42))*22</f>
        <v>561.58300000000008</v>
      </c>
      <c r="E42" s="51">
        <f>IF(F12&lt;=1987.18,0%,IF(AND(F12&gt;=1987.18,F12&lt;=3362.91),5%,IF(AND(F12&gt;=3362.91,F12&lt;=4891.49),7.5%,IF(AND(F12&gt;=4891.49,F12&lt;=6114.37),10%,IF(AND(F12&gt;=6114.37,F12&lt;=7490.12),15%,20%)))))</f>
        <v>0.05</v>
      </c>
      <c r="F42" s="21">
        <f>(28.69-(28.69*E42))*22</f>
        <v>599.62099999999998</v>
      </c>
      <c r="G42" s="15">
        <f>IF(H12&lt;=1987.18,0%,IF(AND(H12&gt;=1987.18,H12&lt;=3362.91),5%,IF(AND(H12&gt;=3362.91,H12&lt;=4891.49),7.5%,IF(AND(H12&gt;=4891.49,H12&lt;=6114.37),10%,IF(AND(H12&gt;=6114.37,H12&lt;=7490.12),15%,20%)))))</f>
        <v>0.05</v>
      </c>
      <c r="H42" s="21">
        <f>(28.69-(28.69*G42))*22</f>
        <v>599.62099999999998</v>
      </c>
      <c r="I42" s="15">
        <f>IF(J12&lt;=2228.21,0%,IF(AND(J12&gt;=2228.21,J12&lt;=3770.81),5%,IF(AND(J12&gt;=3770.81,J12&lt;=5484.81),7.5%,IF(AND(J12&gt;=5484.81,J12&lt;=6856.03),10%,IF(AND(J12&gt;=6856.03,J12&lt;=8398.66),15%,20%)))))</f>
        <v>0.05</v>
      </c>
      <c r="J42" s="21">
        <f>(32.17-(32.17*I42))*22</f>
        <v>672.35300000000007</v>
      </c>
      <c r="K42" s="15">
        <f>IF(L12&lt;=2228.21,0%,IF(AND(L12&gt;=2228.21,L12&lt;=3770.81),5%,IF(AND(L12&gt;=3770.81,L12&lt;=5484.81),7.5%,IF(AND(L12&gt;=5484.81,L12&lt;=6856.03),10%,IF(AND(L12&gt;=6856.03,L12&lt;=8398.66),15%,20%)))))</f>
        <v>0.05</v>
      </c>
      <c r="L42" s="21">
        <f>(32.17-(32.17*K42))*22</f>
        <v>672.35300000000007</v>
      </c>
      <c r="M42" s="15">
        <f>IF(N12&lt;=2228.21,0%,IF(AND(N12&gt;=2228.21,N12&lt;=3770.81),5%,IF(AND(N12&gt;=3770.81,N12&lt;=5484.81),7.5%,IF(AND(N12&gt;=5484.81,N12&lt;=6856.03),10%,IF(AND(N12&gt;=6856.03,N12&lt;=8398.66),15%,20%)))))</f>
        <v>0.05</v>
      </c>
      <c r="N42" s="21">
        <f>(32.17-(32.17*M42))*22</f>
        <v>672.35300000000007</v>
      </c>
      <c r="O42" s="15">
        <f>IF(P12&lt;=2228.21,0%,IF(AND(P12&gt;=2228.21,P12&lt;=3770.81),5%,IF(AND(P12&gt;=3770.81,P12&lt;=5484.81),7.5%,IF(AND(P12&gt;=5484.81,P12&lt;=6856.03),10%,IF(AND(P12&gt;=6856.03,P12&lt;=8398.66),15%,20%)))))</f>
        <v>0.05</v>
      </c>
      <c r="P42" s="21">
        <f>(32.17-(32.17*O42))*22</f>
        <v>672.35300000000007</v>
      </c>
      <c r="Q42" s="15">
        <f>IF(R12&lt;=2228.21,0%,IF(AND(R12&gt;=2228.21,R12&lt;=3770.81),5%,IF(AND(R12&gt;=3770.81,R12&lt;=5484.81),7.5%,IF(AND(R12&gt;=5484.81,R12&lt;=6856.03),10%,IF(AND(R12&gt;=6856.03,R12&lt;=8398.66),15%,20%)))))</f>
        <v>0.05</v>
      </c>
      <c r="R42" s="43">
        <f>(32.17-(32.17*Q42))*22</f>
        <v>672.35300000000007</v>
      </c>
      <c r="S42" s="15">
        <f>IF(T12&lt;=2228.21,0%,IF(AND(T12&gt;=2228.21,T12&lt;=3770.81),5%,IF(AND(T12&gt;=3770.81,T12&lt;=5484.81),7.5%,IF(AND(T12&gt;=5484.81,T12&lt;=6856.03),10%,IF(AND(T12&gt;=6856.03,T12&lt;=8398.66),15%,20%)))))</f>
        <v>0.05</v>
      </c>
      <c r="T42" s="43">
        <f>(33.51-(33.51*S42))*22</f>
        <v>700.35899999999992</v>
      </c>
    </row>
    <row r="43" spans="1:20" x14ac:dyDescent="0.25">
      <c r="A43" s="6" t="s">
        <v>73</v>
      </c>
      <c r="B43" s="10" t="s">
        <v>170</v>
      </c>
      <c r="C43" s="15">
        <f>IF(D12&lt;=2051.96,70%,IF(AND(D12&gt;=2051.97,D12&lt;=3420.91),60%,50%))</f>
        <v>0.6</v>
      </c>
      <c r="D43" s="21">
        <f>204.41*C43</f>
        <v>122.64599999999999</v>
      </c>
      <c r="E43" s="51">
        <f>IF(F12&lt;=2190.67,70%,IF(AND(F12&gt;=2190.67,F12&lt;=3652.17),60%,50%))</f>
        <v>0.6</v>
      </c>
      <c r="F43" s="21">
        <f>204.41*1.0676*E43</f>
        <v>130.93686960000002</v>
      </c>
      <c r="G43" s="15">
        <f>IF(H12&lt;=2190.67,70%,IF(AND(H12&gt;=2190.67,H12&lt;=3652.17),60%,50%))</f>
        <v>0.6</v>
      </c>
      <c r="H43" s="21">
        <f>204.41*1.0676*G43</f>
        <v>130.93686960000002</v>
      </c>
      <c r="I43" s="15">
        <f>IF(J12&lt;=2456.39,70%,IF(AND(J12&gt;=2456.39,J12&lt;=4095.16),60%,50%))</f>
        <v>0.6</v>
      </c>
      <c r="J43" s="21">
        <f>204.41*1.0676*I43</f>
        <v>130.93686960000002</v>
      </c>
      <c r="K43" s="15">
        <f>IF(L12&lt;=2456.39,70%,IF(AND(L12&gt;=2456.39,L12&lt;=4095.16),60%,50%))</f>
        <v>0.6</v>
      </c>
      <c r="L43" s="21">
        <f>218.24*1.097*K43</f>
        <v>143.645568</v>
      </c>
      <c r="M43" s="15">
        <f>IF(N12&lt;=2456.39,70%,IF(AND(N12&gt;=2456.39,N12&lt;=4095.16),60%,50%))</f>
        <v>0.6</v>
      </c>
      <c r="N43" s="21">
        <f>218.24*1.097*M43</f>
        <v>143.645568</v>
      </c>
      <c r="O43" s="15">
        <f>IF(P12&lt;=2456.39,70%,IF(AND(P12&gt;=2456.39,P12&lt;=4095.16),60%,50%))</f>
        <v>0.6</v>
      </c>
      <c r="P43" s="21">
        <f>218.24*1.097*O43</f>
        <v>143.645568</v>
      </c>
      <c r="Q43" s="15">
        <f>IF(R12&lt;=2456.39,70%,IF(AND(R12&gt;=2456.39,R12&lt;=4095.16),60%,50%))</f>
        <v>0.6</v>
      </c>
      <c r="R43" s="43">
        <f>218.24*1.1213*Q43</f>
        <v>146.82750719999999</v>
      </c>
      <c r="S43" s="15">
        <f>IF(T12&lt;=2456.39,70%,IF(AND(T12&gt;=2456.39,T12&lt;=4095.16),60%,50%))</f>
        <v>0.6</v>
      </c>
      <c r="T43" s="43">
        <f>244.71*1.0418*S43</f>
        <v>152.9633268</v>
      </c>
    </row>
    <row r="44" spans="1:20" x14ac:dyDescent="0.25">
      <c r="A44" s="6" t="s">
        <v>75</v>
      </c>
      <c r="B44" s="10" t="s">
        <v>107</v>
      </c>
      <c r="C44" s="155"/>
      <c r="D44" s="21">
        <v>0</v>
      </c>
      <c r="E44" s="40"/>
      <c r="F44" s="21">
        <v>0</v>
      </c>
      <c r="G44" s="155"/>
      <c r="H44" s="21">
        <v>0</v>
      </c>
      <c r="I44" s="155"/>
      <c r="J44" s="21">
        <v>0</v>
      </c>
      <c r="K44" s="155"/>
      <c r="L44" s="21">
        <v>0</v>
      </c>
      <c r="M44" s="155"/>
      <c r="N44" s="21">
        <v>0</v>
      </c>
      <c r="O44" s="155"/>
      <c r="P44" s="21">
        <v>0</v>
      </c>
      <c r="Q44" s="155"/>
      <c r="R44" s="43">
        <v>0</v>
      </c>
      <c r="S44" s="155"/>
      <c r="T44" s="43">
        <v>0</v>
      </c>
    </row>
    <row r="45" spans="1:20" x14ac:dyDescent="0.25">
      <c r="A45" s="340" t="s">
        <v>32</v>
      </c>
      <c r="B45" s="340"/>
      <c r="C45" s="340"/>
      <c r="D45" s="23">
        <f>SUM(D41:D44)</f>
        <v>873.14960000000008</v>
      </c>
      <c r="E45" s="55"/>
      <c r="F45" s="23">
        <f>SUM(F41:F44)</f>
        <v>907.56186960000002</v>
      </c>
      <c r="G45" s="10"/>
      <c r="H45" s="23">
        <f>SUM(H41:H44)</f>
        <v>907.56186960000002</v>
      </c>
      <c r="I45" s="10"/>
      <c r="J45" s="23">
        <f>SUM(J41:J44)</f>
        <v>980.29386960000011</v>
      </c>
      <c r="K45" s="10"/>
      <c r="L45" s="23">
        <f>SUM(L41:L44)</f>
        <v>974.74756800000011</v>
      </c>
      <c r="M45" s="10"/>
      <c r="N45" s="23">
        <f>SUM(N41:N44)</f>
        <v>974.74756800000011</v>
      </c>
      <c r="O45" s="10"/>
      <c r="P45" s="23">
        <f>SUM(P41:P44)</f>
        <v>974.74756800000011</v>
      </c>
      <c r="Q45" s="10"/>
      <c r="R45" s="169">
        <f>SUM(R41:R44)</f>
        <v>973.35630720000006</v>
      </c>
      <c r="S45" s="10"/>
      <c r="T45" s="169">
        <f>SUM(T41:T44)</f>
        <v>998.67752680000001</v>
      </c>
    </row>
    <row r="46" spans="1:20" x14ac:dyDescent="0.25">
      <c r="E46" s="55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39"/>
      <c r="S46" s="10"/>
      <c r="T46" s="139"/>
    </row>
    <row r="47" spans="1:20" ht="15" customHeight="1" x14ac:dyDescent="0.25">
      <c r="A47" s="276" t="s">
        <v>108</v>
      </c>
      <c r="B47" s="276"/>
      <c r="C47" s="276"/>
      <c r="D47" s="276"/>
      <c r="E47" s="55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39"/>
      <c r="S47" s="10"/>
      <c r="T47" s="139"/>
    </row>
    <row r="48" spans="1:20" x14ac:dyDescent="0.25">
      <c r="A48" s="163">
        <v>2</v>
      </c>
      <c r="B48" s="340" t="s">
        <v>109</v>
      </c>
      <c r="C48" s="340"/>
      <c r="D48" s="163" t="s">
        <v>171</v>
      </c>
      <c r="E48" s="55"/>
      <c r="F48" s="163" t="s">
        <v>30</v>
      </c>
      <c r="G48" s="10"/>
      <c r="H48" s="163" t="s">
        <v>30</v>
      </c>
      <c r="I48" s="10"/>
      <c r="J48" s="163" t="s">
        <v>30</v>
      </c>
      <c r="K48" s="10"/>
      <c r="L48" s="163" t="s">
        <v>30</v>
      </c>
      <c r="M48" s="10"/>
      <c r="N48" s="163" t="s">
        <v>30</v>
      </c>
      <c r="O48" s="10"/>
      <c r="P48" s="163" t="s">
        <v>30</v>
      </c>
      <c r="Q48" s="10"/>
      <c r="R48" s="41" t="s">
        <v>30</v>
      </c>
      <c r="S48" s="10"/>
      <c r="T48" s="41" t="s">
        <v>30</v>
      </c>
    </row>
    <row r="49" spans="1:20" x14ac:dyDescent="0.25">
      <c r="A49" s="6" t="s">
        <v>83</v>
      </c>
      <c r="B49" s="320" t="s">
        <v>84</v>
      </c>
      <c r="C49" s="320"/>
      <c r="D49" s="21">
        <f>D25</f>
        <v>622.56008099999997</v>
      </c>
      <c r="E49" s="55"/>
      <c r="F49" s="21">
        <f>F25</f>
        <v>664.64553999999998</v>
      </c>
      <c r="G49" s="10"/>
      <c r="H49" s="21">
        <f>H25</f>
        <v>664.64553999999998</v>
      </c>
      <c r="I49" s="10"/>
      <c r="J49" s="21">
        <f>J25</f>
        <v>664.64553999999998</v>
      </c>
      <c r="K49" s="10"/>
      <c r="L49" s="21">
        <f>L25</f>
        <v>729.11611500000004</v>
      </c>
      <c r="M49" s="10"/>
      <c r="N49" s="21">
        <f>N25</f>
        <v>729.11611500000004</v>
      </c>
      <c r="O49" s="10"/>
      <c r="P49" s="21">
        <f>P25</f>
        <v>729.11611500000004</v>
      </c>
      <c r="Q49" s="10"/>
      <c r="R49" s="43">
        <f>R25</f>
        <v>745.26713300000006</v>
      </c>
      <c r="S49" s="10"/>
      <c r="T49" s="43">
        <f>T25</f>
        <v>776.41855199999998</v>
      </c>
    </row>
    <row r="50" spans="1:20" x14ac:dyDescent="0.25">
      <c r="A50" s="6" t="s">
        <v>89</v>
      </c>
      <c r="B50" s="312" t="s">
        <v>90</v>
      </c>
      <c r="C50" s="312"/>
      <c r="D50" s="21">
        <f>D37</f>
        <v>526.96141198800001</v>
      </c>
      <c r="E50" s="55"/>
      <c r="F50" s="21">
        <f>F37</f>
        <v>562.58433992000005</v>
      </c>
      <c r="G50" s="10"/>
      <c r="H50" s="21">
        <f>H37</f>
        <v>562.58433992000005</v>
      </c>
      <c r="I50" s="10"/>
      <c r="J50" s="21">
        <f>J37</f>
        <v>562.58433992000005</v>
      </c>
      <c r="K50" s="10"/>
      <c r="L50" s="21">
        <f>L37</f>
        <v>617.15498502000003</v>
      </c>
      <c r="M50" s="10"/>
      <c r="N50" s="21">
        <f>N37</f>
        <v>617.15498502000003</v>
      </c>
      <c r="O50" s="10"/>
      <c r="P50" s="21">
        <f>P37</f>
        <v>617.15498502000003</v>
      </c>
      <c r="Q50" s="10"/>
      <c r="R50" s="43">
        <f>R37</f>
        <v>630.82589568399999</v>
      </c>
      <c r="S50" s="10"/>
      <c r="T50" s="43">
        <f>T37</f>
        <v>657.19378569600008</v>
      </c>
    </row>
    <row r="51" spans="1:20" x14ac:dyDescent="0.25">
      <c r="A51" s="6" t="s">
        <v>102</v>
      </c>
      <c r="B51" s="312" t="s">
        <v>103</v>
      </c>
      <c r="C51" s="312"/>
      <c r="D51" s="21">
        <f>D45</f>
        <v>873.14960000000008</v>
      </c>
      <c r="E51" s="55"/>
      <c r="F51" s="21">
        <f>F45</f>
        <v>907.56186960000002</v>
      </c>
      <c r="G51" s="10"/>
      <c r="H51" s="21">
        <f>H45</f>
        <v>907.56186960000002</v>
      </c>
      <c r="I51" s="10"/>
      <c r="J51" s="21">
        <f>J45</f>
        <v>980.29386960000011</v>
      </c>
      <c r="K51" s="10"/>
      <c r="L51" s="21">
        <f>L45</f>
        <v>974.74756800000011</v>
      </c>
      <c r="M51" s="10"/>
      <c r="N51" s="21">
        <f>N45</f>
        <v>974.74756800000011</v>
      </c>
      <c r="O51" s="10"/>
      <c r="P51" s="21">
        <f>P45</f>
        <v>974.74756800000011</v>
      </c>
      <c r="Q51" s="10"/>
      <c r="R51" s="43">
        <f>R45</f>
        <v>973.35630720000006</v>
      </c>
      <c r="S51" s="10"/>
      <c r="T51" s="43">
        <f>T45</f>
        <v>998.67752680000001</v>
      </c>
    </row>
    <row r="52" spans="1:20" x14ac:dyDescent="0.25">
      <c r="A52" s="341" t="s">
        <v>32</v>
      </c>
      <c r="B52" s="350"/>
      <c r="C52" s="343"/>
      <c r="D52" s="23">
        <f>SUM(D49:D51)</f>
        <v>2022.6710929880001</v>
      </c>
      <c r="E52" s="55"/>
      <c r="F52" s="23">
        <f>SUM(F49:F51)</f>
        <v>2134.7917495199999</v>
      </c>
      <c r="G52" s="10"/>
      <c r="H52" s="23">
        <f>SUM(H49:H51)</f>
        <v>2134.7917495199999</v>
      </c>
      <c r="I52" s="10"/>
      <c r="J52" s="23">
        <f>SUM(J49:J51)</f>
        <v>2207.5237495199999</v>
      </c>
      <c r="K52" s="10"/>
      <c r="L52" s="23">
        <f>SUM(L49:L51)</f>
        <v>2321.0186680200004</v>
      </c>
      <c r="M52" s="10"/>
      <c r="N52" s="23">
        <f>SUM(N49:N51)</f>
        <v>2321.0186680200004</v>
      </c>
      <c r="O52" s="10"/>
      <c r="P52" s="23">
        <f>SUM(P49:P51)</f>
        <v>2321.0186680200004</v>
      </c>
      <c r="Q52" s="10"/>
      <c r="R52" s="169">
        <f>SUM(R49:R51)</f>
        <v>2349.449335884</v>
      </c>
      <c r="S52" s="10"/>
      <c r="T52" s="169">
        <f>SUM(T49:T51)</f>
        <v>2432.2898644960001</v>
      </c>
    </row>
    <row r="53" spans="1:20" x14ac:dyDescent="0.25">
      <c r="E53" s="55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39"/>
      <c r="S53" s="10"/>
      <c r="T53" s="139"/>
    </row>
    <row r="54" spans="1:20" ht="15" customHeight="1" x14ac:dyDescent="0.25">
      <c r="A54" s="276" t="s">
        <v>110</v>
      </c>
      <c r="B54" s="276"/>
      <c r="C54" s="276"/>
      <c r="D54" s="276"/>
      <c r="E54" s="55"/>
      <c r="F54" s="11"/>
      <c r="G54" s="10"/>
      <c r="H54" s="11"/>
      <c r="I54" s="10"/>
      <c r="J54" s="11"/>
      <c r="K54" s="10"/>
      <c r="L54" s="11"/>
      <c r="M54" s="10"/>
      <c r="N54" s="11"/>
      <c r="O54" s="10"/>
      <c r="P54" s="11"/>
      <c r="Q54" s="10"/>
      <c r="R54" s="141"/>
      <c r="S54" s="10"/>
      <c r="T54" s="141"/>
    </row>
    <row r="55" spans="1:20" x14ac:dyDescent="0.25">
      <c r="A55" s="163">
        <v>3</v>
      </c>
      <c r="B55" s="163" t="s">
        <v>111</v>
      </c>
      <c r="C55" s="163" t="s">
        <v>172</v>
      </c>
      <c r="D55" s="163" t="s">
        <v>171</v>
      </c>
      <c r="E55" s="162" t="s">
        <v>85</v>
      </c>
      <c r="F55" s="163" t="s">
        <v>30</v>
      </c>
      <c r="G55" s="163" t="s">
        <v>85</v>
      </c>
      <c r="H55" s="163" t="s">
        <v>30</v>
      </c>
      <c r="I55" s="163" t="s">
        <v>85</v>
      </c>
      <c r="J55" s="163" t="s">
        <v>30</v>
      </c>
      <c r="K55" s="163" t="s">
        <v>85</v>
      </c>
      <c r="L55" s="163" t="s">
        <v>30</v>
      </c>
      <c r="M55" s="163" t="s">
        <v>85</v>
      </c>
      <c r="N55" s="163" t="s">
        <v>30</v>
      </c>
      <c r="O55" s="163" t="s">
        <v>85</v>
      </c>
      <c r="P55" s="163" t="s">
        <v>30</v>
      </c>
      <c r="Q55" s="163" t="s">
        <v>85</v>
      </c>
      <c r="R55" s="41" t="s">
        <v>30</v>
      </c>
      <c r="S55" s="163" t="s">
        <v>85</v>
      </c>
      <c r="T55" s="41" t="s">
        <v>30</v>
      </c>
    </row>
    <row r="56" spans="1:20" ht="16.149999999999999" customHeight="1" x14ac:dyDescent="0.25">
      <c r="A56" s="6" t="s">
        <v>69</v>
      </c>
      <c r="B56" s="8" t="s">
        <v>112</v>
      </c>
      <c r="C56" s="17">
        <v>4.1999999999999997E-3</v>
      </c>
      <c r="D56" s="20">
        <f t="shared" ref="D56:D61" si="13">C56*($D$18+$D$25)</f>
        <v>14.954310340199999</v>
      </c>
      <c r="E56" s="52">
        <v>4.1999999999999997E-3</v>
      </c>
      <c r="F56" s="20">
        <f t="shared" ref="F56:F61" si="14">E56*(F$18+F$25)</f>
        <v>15.965231267999998</v>
      </c>
      <c r="G56" s="17">
        <v>4.1999999999999997E-3</v>
      </c>
      <c r="H56" s="20">
        <f t="shared" ref="H56:H61" si="15">G56*(H$18+H$25)</f>
        <v>15.965231267999998</v>
      </c>
      <c r="I56" s="17">
        <v>4.1999999999999997E-3</v>
      </c>
      <c r="J56" s="20">
        <f t="shared" ref="J56:J61" si="16">I56*(J$18+J$25)</f>
        <v>15.965231267999998</v>
      </c>
      <c r="K56" s="17">
        <v>4.1999999999999997E-3</v>
      </c>
      <c r="L56" s="20">
        <f t="shared" ref="L56:L61" si="17">K56*(L$18+L$25)</f>
        <v>17.513857683000001</v>
      </c>
      <c r="M56" s="77">
        <v>4.1999999999999997E-3</v>
      </c>
      <c r="N56" s="20">
        <f t="shared" ref="N56:N61" si="18">M56*(N$18+N$25)</f>
        <v>17.513857683000001</v>
      </c>
      <c r="O56" s="77">
        <v>4.1999999999999997E-3</v>
      </c>
      <c r="P56" s="20">
        <f t="shared" ref="P56:P61" si="19">O56*(P$18+P$25)</f>
        <v>17.513857683000001</v>
      </c>
      <c r="Q56" s="77">
        <v>4.1999999999999997E-3</v>
      </c>
      <c r="R56" s="176">
        <f t="shared" ref="R56:R61" si="20">Q56*(R$18+R$25)</f>
        <v>17.9018159586</v>
      </c>
      <c r="S56" s="77">
        <v>4.1999999999999997E-3</v>
      </c>
      <c r="T56" s="176">
        <f t="shared" ref="T56:T61" si="21">S56*(T$18+T$25)</f>
        <v>18.6500939184</v>
      </c>
    </row>
    <row r="57" spans="1:20" ht="16.149999999999999" customHeight="1" x14ac:dyDescent="0.25">
      <c r="A57" s="6" t="s">
        <v>71</v>
      </c>
      <c r="B57" s="8" t="s">
        <v>113</v>
      </c>
      <c r="C57" s="17">
        <v>2.9999999999999997E-4</v>
      </c>
      <c r="D57" s="20">
        <f t="shared" si="13"/>
        <v>1.0681650242999998</v>
      </c>
      <c r="E57" s="52">
        <v>2.9999999999999997E-4</v>
      </c>
      <c r="F57" s="20">
        <f t="shared" si="14"/>
        <v>1.1403736619999998</v>
      </c>
      <c r="G57" s="17">
        <v>2.9999999999999997E-4</v>
      </c>
      <c r="H57" s="20">
        <f t="shared" si="15"/>
        <v>1.1403736619999998</v>
      </c>
      <c r="I57" s="17">
        <v>2.9999999999999997E-4</v>
      </c>
      <c r="J57" s="20">
        <f t="shared" si="16"/>
        <v>1.1403736619999998</v>
      </c>
      <c r="K57" s="17">
        <v>2.9999999999999997E-4</v>
      </c>
      <c r="L57" s="20">
        <f t="shared" si="17"/>
        <v>1.2509898344999999</v>
      </c>
      <c r="M57" s="77">
        <v>2.9999999999999997E-4</v>
      </c>
      <c r="N57" s="20">
        <f t="shared" si="18"/>
        <v>1.2509898344999999</v>
      </c>
      <c r="O57" s="77">
        <v>2.9999999999999997E-4</v>
      </c>
      <c r="P57" s="20">
        <f t="shared" si="19"/>
        <v>1.2509898344999999</v>
      </c>
      <c r="Q57" s="77">
        <v>2.9999999999999997E-4</v>
      </c>
      <c r="R57" s="176">
        <f t="shared" si="20"/>
        <v>1.2787011398999999</v>
      </c>
      <c r="S57" s="77">
        <v>2.9999999999999997E-4</v>
      </c>
      <c r="T57" s="176">
        <f t="shared" si="21"/>
        <v>1.3321495656</v>
      </c>
    </row>
    <row r="58" spans="1:20" ht="16.149999999999999" customHeight="1" x14ac:dyDescent="0.25">
      <c r="A58" s="6" t="s">
        <v>73</v>
      </c>
      <c r="B58" s="8" t="s">
        <v>114</v>
      </c>
      <c r="C58" s="17">
        <f>(((0.42+(40%*0.42)))*8%*0.42%)</f>
        <v>1.9756799999999999E-4</v>
      </c>
      <c r="D58" s="20">
        <f t="shared" si="13"/>
        <v>0.70345075840300797</v>
      </c>
      <c r="E58" s="52">
        <f>(((0.42+(40%*0.42)))*8%*0.42%)</f>
        <v>1.9756799999999999E-4</v>
      </c>
      <c r="F58" s="20">
        <f t="shared" si="14"/>
        <v>0.75100447884671995</v>
      </c>
      <c r="G58" s="17">
        <f>(((0.42+(40%*0.42)))*8%*0.42%)</f>
        <v>1.9756799999999999E-4</v>
      </c>
      <c r="H58" s="20">
        <f t="shared" si="15"/>
        <v>0.75100447884671995</v>
      </c>
      <c r="I58" s="17">
        <f>(((0.42+(40%*0.42)))*8%*0.42%)</f>
        <v>1.9756799999999999E-4</v>
      </c>
      <c r="J58" s="20">
        <f t="shared" si="16"/>
        <v>0.75100447884671995</v>
      </c>
      <c r="K58" s="17">
        <f>(((0.42+(40%*0.42)))*8%*0.42%)</f>
        <v>1.9756799999999999E-4</v>
      </c>
      <c r="L58" s="20">
        <f t="shared" si="17"/>
        <v>0.82385186540832001</v>
      </c>
      <c r="M58" s="77">
        <f>(((0.42+(40%*0.42)))*8%*0.42%)</f>
        <v>1.9756799999999999E-4</v>
      </c>
      <c r="N58" s="20">
        <f t="shared" si="18"/>
        <v>0.82385186540832001</v>
      </c>
      <c r="O58" s="77">
        <f>(((0.42+(40%*0.42)))*8%*0.42%)</f>
        <v>1.9756799999999999E-4</v>
      </c>
      <c r="P58" s="20">
        <f t="shared" si="19"/>
        <v>0.82385186540832001</v>
      </c>
      <c r="Q58" s="77">
        <f>(((0.42+(40%*0.42)))*8%*0.42%)</f>
        <v>1.9756799999999999E-4</v>
      </c>
      <c r="R58" s="176">
        <f t="shared" si="20"/>
        <v>0.84210142269254395</v>
      </c>
      <c r="S58" s="77">
        <f>(((0.42+(40%*0.42)))*8%*0.42%)</f>
        <v>1.9756799999999999E-4</v>
      </c>
      <c r="T58" s="176">
        <f t="shared" si="21"/>
        <v>0.8773004179215359</v>
      </c>
    </row>
    <row r="59" spans="1:20" ht="16.149999999999999" customHeight="1" x14ac:dyDescent="0.25">
      <c r="A59" s="6" t="s">
        <v>75</v>
      </c>
      <c r="B59" s="8" t="s">
        <v>115</v>
      </c>
      <c r="C59" s="17">
        <v>1.9400000000000001E-2</v>
      </c>
      <c r="D59" s="20">
        <f t="shared" si="13"/>
        <v>69.074671571400003</v>
      </c>
      <c r="E59" s="52">
        <v>1.9400000000000001E-2</v>
      </c>
      <c r="F59" s="20">
        <f t="shared" si="14"/>
        <v>73.744163475999997</v>
      </c>
      <c r="G59" s="17">
        <v>1.9400000000000001E-2</v>
      </c>
      <c r="H59" s="20">
        <f t="shared" si="15"/>
        <v>73.744163475999997</v>
      </c>
      <c r="I59" s="17">
        <v>1.9400000000000001E-2</v>
      </c>
      <c r="J59" s="20">
        <f t="shared" si="16"/>
        <v>73.744163475999997</v>
      </c>
      <c r="K59" s="17">
        <v>1.9400000000000001E-2</v>
      </c>
      <c r="L59" s="20">
        <f t="shared" si="17"/>
        <v>80.897342631000001</v>
      </c>
      <c r="M59" s="77">
        <v>1.9400000000000001E-3</v>
      </c>
      <c r="N59" s="20">
        <f t="shared" si="18"/>
        <v>8.0897342631000004</v>
      </c>
      <c r="O59" s="77">
        <v>1.9400000000000001E-3</v>
      </c>
      <c r="P59" s="20">
        <f t="shared" si="19"/>
        <v>8.0897342631000004</v>
      </c>
      <c r="Q59" s="77">
        <v>1.9400000000000001E-3</v>
      </c>
      <c r="R59" s="176">
        <f t="shared" si="20"/>
        <v>8.2689340380200012</v>
      </c>
      <c r="S59" s="77">
        <v>1.9400000000000001E-3</v>
      </c>
      <c r="T59" s="176">
        <f t="shared" si="21"/>
        <v>8.6145671908800008</v>
      </c>
    </row>
    <row r="60" spans="1:20" x14ac:dyDescent="0.25">
      <c r="A60" s="6" t="s">
        <v>77</v>
      </c>
      <c r="B60" s="8" t="s">
        <v>116</v>
      </c>
      <c r="C60" s="17">
        <f>C59*C37</f>
        <v>2.8712000000000004E-3</v>
      </c>
      <c r="D60" s="20">
        <f t="shared" si="13"/>
        <v>10.223051392567202</v>
      </c>
      <c r="E60" s="52">
        <f>E59*E37</f>
        <v>2.8712000000000004E-3</v>
      </c>
      <c r="F60" s="20">
        <f t="shared" si="14"/>
        <v>10.914136194448002</v>
      </c>
      <c r="G60" s="17">
        <f>G59*G37</f>
        <v>2.8712000000000004E-3</v>
      </c>
      <c r="H60" s="20">
        <f t="shared" si="15"/>
        <v>10.914136194448002</v>
      </c>
      <c r="I60" s="17">
        <f>I59*I37</f>
        <v>2.8712000000000004E-3</v>
      </c>
      <c r="J60" s="20">
        <f t="shared" si="16"/>
        <v>10.914136194448002</v>
      </c>
      <c r="K60" s="17">
        <f>K59*K37</f>
        <v>2.8712000000000004E-3</v>
      </c>
      <c r="L60" s="20">
        <f t="shared" si="17"/>
        <v>11.972806709388003</v>
      </c>
      <c r="M60" s="77">
        <f>M59*M37</f>
        <v>2.8712000000000003E-4</v>
      </c>
      <c r="N60" s="20">
        <f t="shared" si="18"/>
        <v>1.1972806709388002</v>
      </c>
      <c r="O60" s="77">
        <f>O59*O37</f>
        <v>2.8712000000000003E-4</v>
      </c>
      <c r="P60" s="20">
        <f t="shared" si="19"/>
        <v>1.1972806709388002</v>
      </c>
      <c r="Q60" s="77">
        <f>Q59*Q37</f>
        <v>2.8712000000000003E-4</v>
      </c>
      <c r="R60" s="176">
        <f t="shared" si="20"/>
        <v>1.2238022376269602</v>
      </c>
      <c r="S60" s="77">
        <f>S59*S37</f>
        <v>2.8712000000000003E-4</v>
      </c>
      <c r="T60" s="176">
        <f t="shared" si="21"/>
        <v>1.2749559442502401</v>
      </c>
    </row>
    <row r="61" spans="1:20" ht="16.149999999999999" customHeight="1" x14ac:dyDescent="0.25">
      <c r="A61" s="18" t="s">
        <v>79</v>
      </c>
      <c r="B61" s="19" t="s">
        <v>168</v>
      </c>
      <c r="C61" s="17">
        <v>3.49E-2</v>
      </c>
      <c r="D61" s="145">
        <f t="shared" si="13"/>
        <v>124.2631978269</v>
      </c>
      <c r="E61" s="52">
        <v>3.49E-2</v>
      </c>
      <c r="F61" s="145">
        <f t="shared" si="14"/>
        <v>132.663469346</v>
      </c>
      <c r="G61" s="17">
        <v>3.49E-2</v>
      </c>
      <c r="H61" s="145">
        <f t="shared" si="15"/>
        <v>132.663469346</v>
      </c>
      <c r="I61" s="17">
        <v>3.49E-2</v>
      </c>
      <c r="J61" s="145">
        <f t="shared" si="16"/>
        <v>132.663469346</v>
      </c>
      <c r="K61" s="17">
        <v>3.49E-2</v>
      </c>
      <c r="L61" s="145">
        <f t="shared" si="17"/>
        <v>145.53181741350002</v>
      </c>
      <c r="M61" s="77">
        <v>3.49E-2</v>
      </c>
      <c r="N61" s="145">
        <f t="shared" si="18"/>
        <v>145.53181741350002</v>
      </c>
      <c r="O61" s="77">
        <v>3.49E-2</v>
      </c>
      <c r="P61" s="145">
        <f t="shared" si="19"/>
        <v>145.53181741350002</v>
      </c>
      <c r="Q61" s="77">
        <v>3.49E-2</v>
      </c>
      <c r="R61" s="177">
        <f t="shared" si="20"/>
        <v>148.75556594170001</v>
      </c>
      <c r="S61" s="77">
        <v>3.49E-2</v>
      </c>
      <c r="T61" s="177">
        <f t="shared" si="21"/>
        <v>154.9733994648</v>
      </c>
    </row>
    <row r="62" spans="1:20" x14ac:dyDescent="0.25">
      <c r="A62" s="341" t="s">
        <v>32</v>
      </c>
      <c r="B62" s="343"/>
      <c r="C62" s="25">
        <f>SUM(C56:C61)</f>
        <v>6.1868768000000005E-2</v>
      </c>
      <c r="D62" s="23">
        <f>SUM(D56:D61)</f>
        <v>220.2868469137702</v>
      </c>
      <c r="E62" s="53">
        <f t="shared" ref="E62:R62" si="22">SUM(E56:E61)</f>
        <v>6.1868768000000005E-2</v>
      </c>
      <c r="F62" s="23">
        <f t="shared" si="22"/>
        <v>235.17837842529474</v>
      </c>
      <c r="G62" s="25">
        <f t="shared" si="22"/>
        <v>6.1868768000000005E-2</v>
      </c>
      <c r="H62" s="23">
        <f t="shared" si="22"/>
        <v>235.17837842529474</v>
      </c>
      <c r="I62" s="25">
        <f t="shared" si="22"/>
        <v>6.1868768000000005E-2</v>
      </c>
      <c r="J62" s="23">
        <f t="shared" si="22"/>
        <v>235.17837842529474</v>
      </c>
      <c r="K62" s="25">
        <f t="shared" si="22"/>
        <v>6.1868768000000005E-2</v>
      </c>
      <c r="L62" s="23">
        <f t="shared" si="22"/>
        <v>257.99066613679634</v>
      </c>
      <c r="M62" s="25">
        <f t="shared" si="22"/>
        <v>4.1824687999999999E-2</v>
      </c>
      <c r="N62" s="23">
        <f t="shared" si="22"/>
        <v>174.40753173044715</v>
      </c>
      <c r="O62" s="25">
        <f t="shared" si="22"/>
        <v>4.1824687999999999E-2</v>
      </c>
      <c r="P62" s="23">
        <f t="shared" si="22"/>
        <v>174.40753173044715</v>
      </c>
      <c r="Q62" s="25">
        <f t="shared" si="22"/>
        <v>4.1824687999999999E-2</v>
      </c>
      <c r="R62" s="169">
        <f t="shared" si="22"/>
        <v>178.27092073853953</v>
      </c>
      <c r="S62" s="25">
        <f t="shared" ref="S62:T62" si="23">SUM(S56:S61)</f>
        <v>4.1824687999999999E-2</v>
      </c>
      <c r="T62" s="169">
        <f t="shared" si="23"/>
        <v>185.72246650185178</v>
      </c>
    </row>
    <row r="63" spans="1:20" x14ac:dyDescent="0.25">
      <c r="E63" s="55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39"/>
      <c r="S63" s="10"/>
      <c r="T63" s="139"/>
    </row>
    <row r="64" spans="1:20" ht="15" customHeight="1" x14ac:dyDescent="0.25">
      <c r="A64" s="276" t="s">
        <v>118</v>
      </c>
      <c r="B64" s="276"/>
      <c r="C64" s="276"/>
      <c r="D64" s="276"/>
      <c r="E64" s="55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39"/>
      <c r="S64" s="10"/>
      <c r="T64" s="139"/>
    </row>
    <row r="65" spans="1:20" ht="30" customHeight="1" x14ac:dyDescent="0.25">
      <c r="A65" s="352" t="s">
        <v>119</v>
      </c>
      <c r="B65" s="352"/>
      <c r="C65" s="352"/>
      <c r="D65" s="352"/>
      <c r="E65" s="55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39"/>
      <c r="S65" s="10"/>
      <c r="T65" s="139"/>
    </row>
    <row r="66" spans="1:20" x14ac:dyDescent="0.25">
      <c r="A66" s="159"/>
      <c r="B66" s="159"/>
      <c r="C66" s="159"/>
      <c r="D66" s="159"/>
      <c r="E66" s="165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46"/>
      <c r="S66" s="166"/>
      <c r="T66" s="146"/>
    </row>
    <row r="67" spans="1:20" ht="15" customHeight="1" x14ac:dyDescent="0.25">
      <c r="A67" s="276" t="s">
        <v>120</v>
      </c>
      <c r="B67" s="276"/>
      <c r="C67" s="276"/>
      <c r="D67" s="276"/>
      <c r="E67" s="55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39"/>
      <c r="S67" s="10"/>
      <c r="T67" s="139"/>
    </row>
    <row r="68" spans="1:20" x14ac:dyDescent="0.25">
      <c r="A68" s="163" t="s">
        <v>121</v>
      </c>
      <c r="B68" s="163" t="s">
        <v>122</v>
      </c>
      <c r="C68" s="163" t="s">
        <v>172</v>
      </c>
      <c r="D68" s="163" t="s">
        <v>171</v>
      </c>
      <c r="E68" s="162" t="s">
        <v>85</v>
      </c>
      <c r="F68" s="163" t="s">
        <v>30</v>
      </c>
      <c r="G68" s="163" t="s">
        <v>85</v>
      </c>
      <c r="H68" s="163" t="s">
        <v>30</v>
      </c>
      <c r="I68" s="163" t="s">
        <v>85</v>
      </c>
      <c r="J68" s="163" t="s">
        <v>30</v>
      </c>
      <c r="K68" s="163" t="s">
        <v>85</v>
      </c>
      <c r="L68" s="163" t="s">
        <v>30</v>
      </c>
      <c r="M68" s="163" t="s">
        <v>85</v>
      </c>
      <c r="N68" s="163" t="s">
        <v>30</v>
      </c>
      <c r="O68" s="163" t="s">
        <v>85</v>
      </c>
      <c r="P68" s="163" t="s">
        <v>30</v>
      </c>
      <c r="Q68" s="163" t="s">
        <v>85</v>
      </c>
      <c r="R68" s="41" t="s">
        <v>30</v>
      </c>
      <c r="S68" s="163" t="s">
        <v>85</v>
      </c>
      <c r="T68" s="41" t="s">
        <v>30</v>
      </c>
    </row>
    <row r="69" spans="1:20" ht="15.6" customHeight="1" x14ac:dyDescent="0.25">
      <c r="A69" s="6" t="s">
        <v>69</v>
      </c>
      <c r="B69" s="8" t="s">
        <v>123</v>
      </c>
      <c r="C69" s="17">
        <v>6.8999999999999999E-3</v>
      </c>
      <c r="D69" s="21">
        <f t="shared" ref="D69:D74" si="24">C69*($D$18+$D$25)</f>
        <v>24.567795558899999</v>
      </c>
      <c r="E69" s="52">
        <v>6.8999999999999999E-3</v>
      </c>
      <c r="F69" s="21">
        <f t="shared" ref="F69:F74" si="25">E69*(F$18+F$25)</f>
        <v>26.228594225999998</v>
      </c>
      <c r="G69" s="17">
        <v>6.8999999999999999E-3</v>
      </c>
      <c r="H69" s="21">
        <f t="shared" ref="H69:H74" si="26">G69*(H$18+H$25)</f>
        <v>26.228594225999998</v>
      </c>
      <c r="I69" s="17">
        <v>6.8999999999999999E-3</v>
      </c>
      <c r="J69" s="21">
        <f t="shared" ref="J69:J74" si="27">I69*(J$18+J$25)</f>
        <v>26.228594225999998</v>
      </c>
      <c r="K69" s="17">
        <v>6.8999999999999999E-3</v>
      </c>
      <c r="L69" s="21">
        <f t="shared" ref="L69:L74" si="28">K69*(L$18+L$25)</f>
        <v>28.772766193500001</v>
      </c>
      <c r="M69" s="17">
        <v>6.8999999999999999E-3</v>
      </c>
      <c r="N69" s="21">
        <f t="shared" ref="N69:N74" si="29">M69*(N$18+N$25)</f>
        <v>28.772766193500001</v>
      </c>
      <c r="O69" s="17">
        <v>6.8999999999999999E-3</v>
      </c>
      <c r="P69" s="21">
        <f t="shared" ref="P69:P74" si="30">O69*(P$18+P$25)</f>
        <v>28.772766193500001</v>
      </c>
      <c r="Q69" s="17">
        <v>6.8999999999999999E-3</v>
      </c>
      <c r="R69" s="43">
        <f t="shared" ref="R69:R74" si="31">Q69*(R$18+R$25)</f>
        <v>29.4101262177</v>
      </c>
      <c r="S69" s="17">
        <v>6.8999999999999999E-3</v>
      </c>
      <c r="T69" s="43">
        <f t="shared" ref="T69:T74" si="32">S69*(T$18+T$25)</f>
        <v>30.639440008800001</v>
      </c>
    </row>
    <row r="70" spans="1:20" ht="15.6" customHeight="1" x14ac:dyDescent="0.25">
      <c r="A70" s="6" t="s">
        <v>71</v>
      </c>
      <c r="B70" s="8" t="s">
        <v>124</v>
      </c>
      <c r="C70" s="17">
        <v>2.8E-3</v>
      </c>
      <c r="D70" s="21">
        <f t="shared" si="24"/>
        <v>9.9695402267999995</v>
      </c>
      <c r="E70" s="52">
        <v>2.8E-3</v>
      </c>
      <c r="F70" s="21">
        <f t="shared" si="25"/>
        <v>10.643487512</v>
      </c>
      <c r="G70" s="17">
        <v>2.8E-3</v>
      </c>
      <c r="H70" s="21">
        <f t="shared" si="26"/>
        <v>10.643487512</v>
      </c>
      <c r="I70" s="17">
        <v>2.8E-3</v>
      </c>
      <c r="J70" s="21">
        <f t="shared" si="27"/>
        <v>10.643487512</v>
      </c>
      <c r="K70" s="17">
        <v>2.8E-3</v>
      </c>
      <c r="L70" s="21">
        <f t="shared" si="28"/>
        <v>11.675905122</v>
      </c>
      <c r="M70" s="17">
        <v>2.8E-3</v>
      </c>
      <c r="N70" s="21">
        <f t="shared" si="29"/>
        <v>11.675905122</v>
      </c>
      <c r="O70" s="17">
        <v>2.8E-3</v>
      </c>
      <c r="P70" s="21">
        <f t="shared" si="30"/>
        <v>11.675905122</v>
      </c>
      <c r="Q70" s="17">
        <v>2.8E-3</v>
      </c>
      <c r="R70" s="43">
        <f t="shared" si="31"/>
        <v>11.9345439724</v>
      </c>
      <c r="S70" s="17">
        <v>2.8E-3</v>
      </c>
      <c r="T70" s="43">
        <f t="shared" si="32"/>
        <v>12.433395945599999</v>
      </c>
    </row>
    <row r="71" spans="1:20" ht="15.6" customHeight="1" x14ac:dyDescent="0.25">
      <c r="A71" s="6" t="s">
        <v>73</v>
      </c>
      <c r="B71" s="8" t="s">
        <v>125</v>
      </c>
      <c r="C71" s="17">
        <v>2.0000000000000001E-4</v>
      </c>
      <c r="D71" s="21">
        <f t="shared" si="24"/>
        <v>0.71211001620000003</v>
      </c>
      <c r="E71" s="52">
        <v>2.0000000000000001E-4</v>
      </c>
      <c r="F71" s="21">
        <f t="shared" si="25"/>
        <v>0.76024910800000001</v>
      </c>
      <c r="G71" s="17">
        <v>2.0000000000000001E-4</v>
      </c>
      <c r="H71" s="21">
        <f t="shared" si="26"/>
        <v>0.76024910800000001</v>
      </c>
      <c r="I71" s="17">
        <v>2.0000000000000001E-4</v>
      </c>
      <c r="J71" s="21">
        <f t="shared" si="27"/>
        <v>0.76024910800000001</v>
      </c>
      <c r="K71" s="17">
        <v>2.0000000000000001E-4</v>
      </c>
      <c r="L71" s="21">
        <f t="shared" si="28"/>
        <v>0.83399322300000012</v>
      </c>
      <c r="M71" s="17">
        <v>2.0000000000000001E-4</v>
      </c>
      <c r="N71" s="21">
        <f t="shared" si="29"/>
        <v>0.83399322300000012</v>
      </c>
      <c r="O71" s="17">
        <v>2.0000000000000001E-4</v>
      </c>
      <c r="P71" s="21">
        <f t="shared" si="30"/>
        <v>0.83399322300000012</v>
      </c>
      <c r="Q71" s="17">
        <v>2.0000000000000001E-4</v>
      </c>
      <c r="R71" s="43">
        <f t="shared" si="31"/>
        <v>0.85246742660000008</v>
      </c>
      <c r="S71" s="17">
        <v>2.0000000000000001E-4</v>
      </c>
      <c r="T71" s="43">
        <f t="shared" si="32"/>
        <v>0.88809971040000002</v>
      </c>
    </row>
    <row r="72" spans="1:20" ht="15.6" customHeight="1" x14ac:dyDescent="0.25">
      <c r="A72" s="6" t="s">
        <v>75</v>
      </c>
      <c r="B72" s="8" t="s">
        <v>126</v>
      </c>
      <c r="C72" s="17">
        <v>2.7000000000000001E-3</v>
      </c>
      <c r="D72" s="21">
        <f t="shared" si="24"/>
        <v>9.6134852186999993</v>
      </c>
      <c r="E72" s="52">
        <v>2.7000000000000001E-3</v>
      </c>
      <c r="F72" s="21">
        <f t="shared" si="25"/>
        <v>10.263362958</v>
      </c>
      <c r="G72" s="17">
        <v>2.7000000000000001E-3</v>
      </c>
      <c r="H72" s="21">
        <f t="shared" si="26"/>
        <v>10.263362958</v>
      </c>
      <c r="I72" s="17">
        <v>2.7000000000000001E-3</v>
      </c>
      <c r="J72" s="21">
        <f t="shared" si="27"/>
        <v>10.263362958</v>
      </c>
      <c r="K72" s="17">
        <v>2.7000000000000001E-3</v>
      </c>
      <c r="L72" s="21">
        <f t="shared" si="28"/>
        <v>11.258908510500001</v>
      </c>
      <c r="M72" s="17">
        <v>2.7000000000000001E-3</v>
      </c>
      <c r="N72" s="21">
        <f t="shared" si="29"/>
        <v>11.258908510500001</v>
      </c>
      <c r="O72" s="17">
        <v>2.7000000000000001E-3</v>
      </c>
      <c r="P72" s="21">
        <f t="shared" si="30"/>
        <v>11.258908510500001</v>
      </c>
      <c r="Q72" s="17">
        <v>2.7000000000000001E-3</v>
      </c>
      <c r="R72" s="43">
        <f t="shared" si="31"/>
        <v>11.5083102591</v>
      </c>
      <c r="S72" s="17">
        <v>2.7000000000000001E-3</v>
      </c>
      <c r="T72" s="43">
        <f t="shared" si="32"/>
        <v>11.989346090400002</v>
      </c>
    </row>
    <row r="73" spans="1:20" ht="15.6" customHeight="1" x14ac:dyDescent="0.25">
      <c r="A73" s="6" t="s">
        <v>77</v>
      </c>
      <c r="B73" s="8" t="s">
        <v>127</v>
      </c>
      <c r="C73" s="17">
        <v>2.9999999999999997E-4</v>
      </c>
      <c r="D73" s="21">
        <f t="shared" si="24"/>
        <v>1.0681650242999998</v>
      </c>
      <c r="E73" s="52">
        <v>2.9999999999999997E-4</v>
      </c>
      <c r="F73" s="21">
        <f t="shared" si="25"/>
        <v>1.1403736619999998</v>
      </c>
      <c r="G73" s="17">
        <v>2.9999999999999997E-4</v>
      </c>
      <c r="H73" s="21">
        <f t="shared" si="26"/>
        <v>1.1403736619999998</v>
      </c>
      <c r="I73" s="17">
        <v>2.9999999999999997E-4</v>
      </c>
      <c r="J73" s="21">
        <f t="shared" si="27"/>
        <v>1.1403736619999998</v>
      </c>
      <c r="K73" s="17">
        <v>2.9999999999999997E-4</v>
      </c>
      <c r="L73" s="21">
        <f t="shared" si="28"/>
        <v>1.2509898344999999</v>
      </c>
      <c r="M73" s="17">
        <v>2.9999999999999997E-4</v>
      </c>
      <c r="N73" s="21">
        <f t="shared" si="29"/>
        <v>1.2509898344999999</v>
      </c>
      <c r="O73" s="17">
        <v>2.9999999999999997E-4</v>
      </c>
      <c r="P73" s="21">
        <f t="shared" si="30"/>
        <v>1.2509898344999999</v>
      </c>
      <c r="Q73" s="17">
        <v>2.9999999999999997E-4</v>
      </c>
      <c r="R73" s="43">
        <f t="shared" si="31"/>
        <v>1.2787011398999999</v>
      </c>
      <c r="S73" s="17">
        <v>2.9999999999999997E-4</v>
      </c>
      <c r="T73" s="43">
        <f t="shared" si="32"/>
        <v>1.3321495656</v>
      </c>
    </row>
    <row r="74" spans="1:20" ht="15.6" customHeight="1" x14ac:dyDescent="0.25">
      <c r="A74" s="6" t="s">
        <v>79</v>
      </c>
      <c r="B74" s="8" t="s">
        <v>128</v>
      </c>
      <c r="C74" s="17">
        <v>0</v>
      </c>
      <c r="D74" s="21">
        <f t="shared" si="24"/>
        <v>0</v>
      </c>
      <c r="E74" s="52">
        <v>0</v>
      </c>
      <c r="F74" s="21">
        <f t="shared" si="25"/>
        <v>0</v>
      </c>
      <c r="G74" s="17">
        <v>0</v>
      </c>
      <c r="H74" s="21">
        <f t="shared" si="26"/>
        <v>0</v>
      </c>
      <c r="I74" s="17">
        <v>0</v>
      </c>
      <c r="J74" s="21">
        <f t="shared" si="27"/>
        <v>0</v>
      </c>
      <c r="K74" s="17">
        <v>0</v>
      </c>
      <c r="L74" s="21">
        <f t="shared" si="28"/>
        <v>0</v>
      </c>
      <c r="M74" s="17">
        <v>0</v>
      </c>
      <c r="N74" s="21">
        <f t="shared" si="29"/>
        <v>0</v>
      </c>
      <c r="O74" s="17">
        <v>0</v>
      </c>
      <c r="P74" s="21">
        <f t="shared" si="30"/>
        <v>0</v>
      </c>
      <c r="Q74" s="17">
        <v>0</v>
      </c>
      <c r="R74" s="43">
        <f t="shared" si="31"/>
        <v>0</v>
      </c>
      <c r="S74" s="17">
        <v>0</v>
      </c>
      <c r="T74" s="43">
        <f t="shared" si="32"/>
        <v>0</v>
      </c>
    </row>
    <row r="75" spans="1:20" x14ac:dyDescent="0.25">
      <c r="A75" s="341" t="s">
        <v>32</v>
      </c>
      <c r="B75" s="343"/>
      <c r="C75" s="25">
        <f>SUM(C69:C74)</f>
        <v>1.29E-2</v>
      </c>
      <c r="D75" s="23">
        <f>SUM(D69:D74)</f>
        <v>45.931096044899995</v>
      </c>
      <c r="E75" s="53">
        <f t="shared" ref="E75:R75" si="33">SUM(E69:E74)</f>
        <v>1.29E-2</v>
      </c>
      <c r="F75" s="23">
        <f t="shared" si="33"/>
        <v>49.036067466000006</v>
      </c>
      <c r="G75" s="25">
        <f t="shared" si="33"/>
        <v>1.29E-2</v>
      </c>
      <c r="H75" s="23">
        <f t="shared" si="33"/>
        <v>49.036067466000006</v>
      </c>
      <c r="I75" s="25">
        <f t="shared" si="33"/>
        <v>1.29E-2</v>
      </c>
      <c r="J75" s="23">
        <f t="shared" si="33"/>
        <v>49.036067466000006</v>
      </c>
      <c r="K75" s="25">
        <f t="shared" si="33"/>
        <v>1.29E-2</v>
      </c>
      <c r="L75" s="23">
        <f t="shared" si="33"/>
        <v>53.792562883499997</v>
      </c>
      <c r="M75" s="25">
        <f t="shared" si="33"/>
        <v>1.29E-2</v>
      </c>
      <c r="N75" s="23">
        <f t="shared" si="33"/>
        <v>53.792562883499997</v>
      </c>
      <c r="O75" s="25">
        <f t="shared" si="33"/>
        <v>1.29E-2</v>
      </c>
      <c r="P75" s="23">
        <f t="shared" si="33"/>
        <v>53.792562883499997</v>
      </c>
      <c r="Q75" s="25">
        <f t="shared" si="33"/>
        <v>1.29E-2</v>
      </c>
      <c r="R75" s="169">
        <f t="shared" si="33"/>
        <v>54.984149015700005</v>
      </c>
      <c r="S75" s="25">
        <f t="shared" ref="S75:T75" si="34">SUM(S69:S74)</f>
        <v>1.29E-2</v>
      </c>
      <c r="T75" s="169">
        <f t="shared" si="34"/>
        <v>57.282431320799994</v>
      </c>
    </row>
    <row r="76" spans="1:20" x14ac:dyDescent="0.25">
      <c r="E76" s="55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39"/>
      <c r="S76" s="10"/>
      <c r="T76" s="139"/>
    </row>
    <row r="77" spans="1:20" ht="15" customHeight="1" x14ac:dyDescent="0.25">
      <c r="A77" s="340" t="s">
        <v>129</v>
      </c>
      <c r="B77" s="340"/>
      <c r="C77" s="340"/>
      <c r="D77" s="340"/>
      <c r="E77" s="55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39"/>
      <c r="S77" s="10"/>
      <c r="T77" s="139"/>
    </row>
    <row r="78" spans="1:20" ht="15" customHeight="1" x14ac:dyDescent="0.25">
      <c r="A78" s="163" t="s">
        <v>130</v>
      </c>
      <c r="B78" s="163" t="s">
        <v>131</v>
      </c>
      <c r="C78" s="163" t="s">
        <v>171</v>
      </c>
      <c r="D78" s="163"/>
      <c r="E78" s="148"/>
      <c r="F78" s="163" t="s">
        <v>30</v>
      </c>
      <c r="G78" s="147"/>
      <c r="H78" s="163" t="s">
        <v>30</v>
      </c>
      <c r="I78" s="147"/>
      <c r="J78" s="163" t="s">
        <v>30</v>
      </c>
      <c r="K78" s="147"/>
      <c r="L78" s="163" t="s">
        <v>30</v>
      </c>
      <c r="M78" s="147"/>
      <c r="N78" s="163" t="s">
        <v>30</v>
      </c>
      <c r="O78" s="147"/>
      <c r="P78" s="163" t="s">
        <v>30</v>
      </c>
      <c r="Q78" s="147"/>
      <c r="R78" s="41" t="s">
        <v>30</v>
      </c>
      <c r="S78" s="147"/>
      <c r="T78" s="41" t="s">
        <v>30</v>
      </c>
    </row>
    <row r="79" spans="1:20" ht="16.899999999999999" customHeight="1" x14ac:dyDescent="0.25">
      <c r="A79" s="6" t="s">
        <v>69</v>
      </c>
      <c r="B79" s="8" t="s">
        <v>132</v>
      </c>
      <c r="C79" s="14"/>
      <c r="D79" s="14"/>
      <c r="E79" s="54"/>
      <c r="F79" s="10"/>
      <c r="G79" s="14"/>
      <c r="H79" s="10"/>
      <c r="I79" s="14"/>
      <c r="J79" s="10"/>
      <c r="K79" s="14"/>
      <c r="L79" s="10"/>
      <c r="M79" s="14"/>
      <c r="N79" s="10"/>
      <c r="O79" s="14"/>
      <c r="P79" s="10"/>
      <c r="Q79" s="14"/>
      <c r="R79" s="139"/>
      <c r="S79" s="14"/>
      <c r="T79" s="139"/>
    </row>
    <row r="80" spans="1:20" ht="15" customHeight="1" x14ac:dyDescent="0.25">
      <c r="A80" s="364" t="s">
        <v>32</v>
      </c>
      <c r="B80" s="365"/>
      <c r="C80" s="14">
        <f>SUM(C79)</f>
        <v>0</v>
      </c>
      <c r="D80" s="14"/>
      <c r="E80" s="55"/>
      <c r="F80" s="14">
        <f>SUM(E79)</f>
        <v>0</v>
      </c>
      <c r="G80" s="10"/>
      <c r="H80" s="14">
        <f>SUM(G79)</f>
        <v>0</v>
      </c>
      <c r="I80" s="10"/>
      <c r="J80" s="14">
        <f>SUM(I79)</f>
        <v>0</v>
      </c>
      <c r="K80" s="10"/>
      <c r="L80" s="14">
        <f>SUM(K79)</f>
        <v>0</v>
      </c>
      <c r="M80" s="10"/>
      <c r="N80" s="14">
        <f>SUM(M79)</f>
        <v>0</v>
      </c>
      <c r="O80" s="10"/>
      <c r="P80" s="14">
        <f>SUM(O79)</f>
        <v>0</v>
      </c>
      <c r="Q80" s="10"/>
      <c r="R80" s="45">
        <f>SUM(Q79)</f>
        <v>0</v>
      </c>
      <c r="S80" s="10"/>
      <c r="T80" s="45">
        <f>SUM(S79)</f>
        <v>0</v>
      </c>
    </row>
    <row r="81" spans="1:20" ht="15" customHeight="1" x14ac:dyDescent="0.25">
      <c r="E81" s="55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39"/>
      <c r="S81" s="10"/>
      <c r="T81" s="139"/>
    </row>
    <row r="82" spans="1:20" ht="29.25" customHeight="1" x14ac:dyDescent="0.25">
      <c r="A82" s="276" t="s">
        <v>133</v>
      </c>
      <c r="B82" s="276"/>
      <c r="C82" s="276"/>
      <c r="D82" s="276"/>
      <c r="E82" s="55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39"/>
      <c r="S82" s="10"/>
      <c r="T82" s="139"/>
    </row>
    <row r="83" spans="1:20" x14ac:dyDescent="0.25">
      <c r="A83" s="163">
        <v>4</v>
      </c>
      <c r="B83" s="340" t="s">
        <v>134</v>
      </c>
      <c r="C83" s="340"/>
      <c r="D83" s="163" t="s">
        <v>171</v>
      </c>
      <c r="E83" s="55"/>
      <c r="F83" s="163" t="s">
        <v>30</v>
      </c>
      <c r="G83" s="10"/>
      <c r="H83" s="163" t="s">
        <v>30</v>
      </c>
      <c r="I83" s="10"/>
      <c r="J83" s="163" t="s">
        <v>30</v>
      </c>
      <c r="K83" s="10"/>
      <c r="L83" s="163" t="s">
        <v>30</v>
      </c>
      <c r="M83" s="10"/>
      <c r="N83" s="163" t="s">
        <v>30</v>
      </c>
      <c r="O83" s="10"/>
      <c r="P83" s="163" t="s">
        <v>30</v>
      </c>
      <c r="Q83" s="10"/>
      <c r="R83" s="41" t="s">
        <v>30</v>
      </c>
      <c r="S83" s="10"/>
      <c r="T83" s="41" t="s">
        <v>30</v>
      </c>
    </row>
    <row r="84" spans="1:20" x14ac:dyDescent="0.25">
      <c r="A84" s="6" t="s">
        <v>121</v>
      </c>
      <c r="B84" s="312" t="s">
        <v>122</v>
      </c>
      <c r="C84" s="312"/>
      <c r="D84" s="21">
        <f>D75</f>
        <v>45.931096044899995</v>
      </c>
      <c r="E84" s="55"/>
      <c r="F84" s="21">
        <f>F75</f>
        <v>49.036067466000006</v>
      </c>
      <c r="G84" s="10"/>
      <c r="H84" s="21">
        <f>H75</f>
        <v>49.036067466000006</v>
      </c>
      <c r="I84" s="10"/>
      <c r="J84" s="21">
        <f>J75</f>
        <v>49.036067466000006</v>
      </c>
      <c r="K84" s="10"/>
      <c r="L84" s="21">
        <f>L75</f>
        <v>53.792562883499997</v>
      </c>
      <c r="M84" s="10"/>
      <c r="N84" s="21">
        <f>N75</f>
        <v>53.792562883499997</v>
      </c>
      <c r="O84" s="10"/>
      <c r="P84" s="21">
        <f>P75</f>
        <v>53.792562883499997</v>
      </c>
      <c r="Q84" s="10"/>
      <c r="R84" s="43">
        <f>R75</f>
        <v>54.984149015700005</v>
      </c>
      <c r="S84" s="10"/>
      <c r="T84" s="43">
        <f>T75</f>
        <v>57.282431320799994</v>
      </c>
    </row>
    <row r="85" spans="1:20" ht="15" customHeight="1" x14ac:dyDescent="0.25">
      <c r="A85" s="6" t="s">
        <v>130</v>
      </c>
      <c r="B85" s="10" t="s">
        <v>135</v>
      </c>
      <c r="C85" s="10"/>
      <c r="D85" s="12">
        <f>C80</f>
        <v>0</v>
      </c>
      <c r="E85" s="55"/>
      <c r="F85" s="12">
        <f>F80</f>
        <v>0</v>
      </c>
      <c r="G85" s="10"/>
      <c r="H85" s="12">
        <f>H80</f>
        <v>0</v>
      </c>
      <c r="I85" s="10"/>
      <c r="J85" s="12">
        <f>J80</f>
        <v>0</v>
      </c>
      <c r="K85" s="10"/>
      <c r="L85" s="12">
        <f>L80</f>
        <v>0</v>
      </c>
      <c r="M85" s="10"/>
      <c r="N85" s="12">
        <f>N80</f>
        <v>0</v>
      </c>
      <c r="O85" s="10"/>
      <c r="P85" s="12">
        <f>P80</f>
        <v>0</v>
      </c>
      <c r="Q85" s="10"/>
      <c r="R85" s="42">
        <f>R80</f>
        <v>0</v>
      </c>
      <c r="S85" s="10"/>
      <c r="T85" s="42">
        <f>T80</f>
        <v>0</v>
      </c>
    </row>
    <row r="86" spans="1:20" x14ac:dyDescent="0.25">
      <c r="A86" s="340" t="s">
        <v>32</v>
      </c>
      <c r="B86" s="340"/>
      <c r="C86" s="340"/>
      <c r="D86" s="23">
        <f>SUM(D84:D85)</f>
        <v>45.931096044899995</v>
      </c>
      <c r="E86" s="55"/>
      <c r="F86" s="23">
        <f>SUM(F84:F85)</f>
        <v>49.036067466000006</v>
      </c>
      <c r="G86" s="10"/>
      <c r="H86" s="23">
        <f>SUM(H84:H85)</f>
        <v>49.036067466000006</v>
      </c>
      <c r="I86" s="10"/>
      <c r="J86" s="23">
        <f>SUM(J84:J85)</f>
        <v>49.036067466000006</v>
      </c>
      <c r="K86" s="10"/>
      <c r="L86" s="23">
        <f>SUM(L84:L85)</f>
        <v>53.792562883499997</v>
      </c>
      <c r="M86" s="10"/>
      <c r="N86" s="23">
        <f>SUM(N84:N85)</f>
        <v>53.792562883499997</v>
      </c>
      <c r="O86" s="10"/>
      <c r="P86" s="23">
        <f>SUM(P84:P85)</f>
        <v>53.792562883499997</v>
      </c>
      <c r="Q86" s="10"/>
      <c r="R86" s="169">
        <f>SUM(R84:R85)</f>
        <v>54.984149015700005</v>
      </c>
      <c r="S86" s="10"/>
      <c r="T86" s="169">
        <f>SUM(T84:T85)</f>
        <v>57.282431320799994</v>
      </c>
    </row>
    <row r="87" spans="1:20" x14ac:dyDescent="0.25">
      <c r="E87" s="55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39"/>
      <c r="S87" s="10"/>
      <c r="T87" s="139"/>
    </row>
    <row r="88" spans="1:20" ht="15" customHeight="1" x14ac:dyDescent="0.25">
      <c r="A88" s="276" t="s">
        <v>136</v>
      </c>
      <c r="B88" s="276"/>
      <c r="C88" s="276"/>
      <c r="D88" s="276"/>
      <c r="E88" s="55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39"/>
      <c r="S88" s="10"/>
      <c r="T88" s="139"/>
    </row>
    <row r="89" spans="1:20" x14ac:dyDescent="0.25">
      <c r="A89" s="163">
        <v>5</v>
      </c>
      <c r="B89" s="340" t="s">
        <v>137</v>
      </c>
      <c r="C89" s="340"/>
      <c r="D89" s="163" t="s">
        <v>171</v>
      </c>
      <c r="E89" s="55"/>
      <c r="F89" s="163" t="s">
        <v>30</v>
      </c>
      <c r="G89" s="10"/>
      <c r="H89" s="163" t="s">
        <v>30</v>
      </c>
      <c r="I89" s="10"/>
      <c r="J89" s="163" t="s">
        <v>30</v>
      </c>
      <c r="K89" s="10"/>
      <c r="L89" s="163" t="s">
        <v>30</v>
      </c>
      <c r="M89" s="10"/>
      <c r="N89" s="163" t="s">
        <v>30</v>
      </c>
      <c r="O89" s="10"/>
      <c r="P89" s="163" t="s">
        <v>30</v>
      </c>
      <c r="Q89" s="10"/>
      <c r="R89" s="163" t="s">
        <v>30</v>
      </c>
      <c r="S89" s="10"/>
      <c r="T89" s="163" t="s">
        <v>30</v>
      </c>
    </row>
    <row r="90" spans="1:20" x14ac:dyDescent="0.25">
      <c r="A90" s="6" t="s">
        <v>69</v>
      </c>
      <c r="B90" s="312" t="s">
        <v>138</v>
      </c>
      <c r="C90" s="312"/>
      <c r="D90" s="12">
        <f>Uniforme!D14</f>
        <v>53.795000000000002</v>
      </c>
      <c r="E90" s="55"/>
      <c r="F90" s="12">
        <f>Uniforme!$D$14</f>
        <v>53.795000000000002</v>
      </c>
      <c r="G90" s="10"/>
      <c r="H90" s="12">
        <f>Uniforme!$D$14</f>
        <v>53.795000000000002</v>
      </c>
      <c r="I90" s="10"/>
      <c r="J90" s="12">
        <f>Uniforme!$D$14</f>
        <v>53.795000000000002</v>
      </c>
      <c r="K90" s="10"/>
      <c r="L90" s="12">
        <f>Uniforme!$D$14</f>
        <v>53.795000000000002</v>
      </c>
      <c r="M90" s="10"/>
      <c r="N90" s="12">
        <f>Uniforme!$D$29</f>
        <v>57.994999999999997</v>
      </c>
      <c r="O90" s="10"/>
      <c r="P90" s="12">
        <f>Uniforme!$D$29</f>
        <v>57.994999999999997</v>
      </c>
      <c r="Q90" s="10"/>
      <c r="R90" s="12">
        <f>Uniforme!$D$29</f>
        <v>57.994999999999997</v>
      </c>
      <c r="S90" s="10"/>
      <c r="T90" s="12">
        <f>Uniforme!$D$29</f>
        <v>57.994999999999997</v>
      </c>
    </row>
    <row r="91" spans="1:20" x14ac:dyDescent="0.25">
      <c r="A91" s="6" t="s">
        <v>71</v>
      </c>
      <c r="B91" s="312" t="s">
        <v>139</v>
      </c>
      <c r="C91" s="312"/>
      <c r="D91" s="22">
        <v>0</v>
      </c>
      <c r="E91" s="55"/>
      <c r="F91" s="22">
        <v>0</v>
      </c>
      <c r="G91" s="10"/>
      <c r="H91" s="22">
        <v>0</v>
      </c>
      <c r="I91" s="10"/>
      <c r="J91" s="22">
        <v>0</v>
      </c>
      <c r="K91" s="10"/>
      <c r="L91" s="22">
        <v>0</v>
      </c>
      <c r="M91" s="10"/>
      <c r="N91" s="22">
        <v>0</v>
      </c>
      <c r="O91" s="10"/>
      <c r="P91" s="22">
        <v>0</v>
      </c>
      <c r="Q91" s="10"/>
      <c r="R91" s="22">
        <v>0</v>
      </c>
      <c r="S91" s="10"/>
      <c r="T91" s="22">
        <v>0</v>
      </c>
    </row>
    <row r="92" spans="1:20" x14ac:dyDescent="0.25">
      <c r="A92" s="6" t="s">
        <v>73</v>
      </c>
      <c r="B92" s="312" t="s">
        <v>140</v>
      </c>
      <c r="C92" s="312"/>
      <c r="D92" s="22">
        <v>0</v>
      </c>
      <c r="E92" s="55"/>
      <c r="F92" s="22">
        <v>0</v>
      </c>
      <c r="G92" s="10"/>
      <c r="H92" s="22">
        <v>0</v>
      </c>
      <c r="I92" s="10"/>
      <c r="J92" s="22">
        <v>0</v>
      </c>
      <c r="K92" s="10"/>
      <c r="L92" s="22">
        <v>0</v>
      </c>
      <c r="M92" s="10"/>
      <c r="N92" s="22">
        <v>0</v>
      </c>
      <c r="O92" s="10"/>
      <c r="P92" s="22">
        <v>0</v>
      </c>
      <c r="Q92" s="10"/>
      <c r="R92" s="22">
        <v>0</v>
      </c>
      <c r="S92" s="10"/>
      <c r="T92" s="22">
        <v>0</v>
      </c>
    </row>
    <row r="93" spans="1:20" x14ac:dyDescent="0.25">
      <c r="A93" s="6" t="s">
        <v>75</v>
      </c>
      <c r="B93" s="312" t="s">
        <v>80</v>
      </c>
      <c r="C93" s="312"/>
      <c r="D93" s="22">
        <v>0</v>
      </c>
      <c r="E93" s="55"/>
      <c r="F93" s="22">
        <v>0</v>
      </c>
      <c r="G93" s="10"/>
      <c r="H93" s="22">
        <v>0</v>
      </c>
      <c r="I93" s="10"/>
      <c r="J93" s="22">
        <v>0</v>
      </c>
      <c r="K93" s="10"/>
      <c r="L93" s="22">
        <v>0</v>
      </c>
      <c r="M93" s="10"/>
      <c r="N93" s="22">
        <v>0</v>
      </c>
      <c r="O93" s="10"/>
      <c r="P93" s="22">
        <v>0</v>
      </c>
      <c r="Q93" s="10"/>
      <c r="R93" s="22">
        <v>0</v>
      </c>
      <c r="S93" s="10"/>
      <c r="T93" s="22">
        <v>0</v>
      </c>
    </row>
    <row r="94" spans="1:20" x14ac:dyDescent="0.25">
      <c r="A94" s="340" t="s">
        <v>32</v>
      </c>
      <c r="B94" s="340"/>
      <c r="C94" s="340"/>
      <c r="D94" s="16">
        <f>SUM(D90:D93)</f>
        <v>53.795000000000002</v>
      </c>
      <c r="E94" s="55"/>
      <c r="F94" s="60">
        <f>SUM(F90:F93)</f>
        <v>53.795000000000002</v>
      </c>
      <c r="G94" s="10"/>
      <c r="H94" s="60">
        <f>SUM(H90:H93)</f>
        <v>53.795000000000002</v>
      </c>
      <c r="I94" s="10"/>
      <c r="J94" s="60">
        <f>SUM(J90:J93)</f>
        <v>53.795000000000002</v>
      </c>
      <c r="K94" s="10"/>
      <c r="L94" s="60">
        <f>SUM(L90:L93)</f>
        <v>53.795000000000002</v>
      </c>
      <c r="M94" s="10"/>
      <c r="N94" s="60">
        <f>SUM(N90:N93)</f>
        <v>57.994999999999997</v>
      </c>
      <c r="O94" s="10"/>
      <c r="P94" s="60">
        <f>SUM(P90:P93)</f>
        <v>57.994999999999997</v>
      </c>
      <c r="Q94" s="10"/>
      <c r="R94" s="60">
        <f>SUM(R90:R93)</f>
        <v>57.994999999999997</v>
      </c>
      <c r="S94" s="10"/>
      <c r="T94" s="60">
        <f>SUM(T90:T93)</f>
        <v>57.994999999999997</v>
      </c>
    </row>
    <row r="95" spans="1:20" x14ac:dyDescent="0.25">
      <c r="E95" s="5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39"/>
      <c r="S95" s="10"/>
      <c r="T95" s="139"/>
    </row>
    <row r="96" spans="1:20" ht="15" customHeight="1" x14ac:dyDescent="0.25">
      <c r="A96" s="276" t="s">
        <v>141</v>
      </c>
      <c r="B96" s="276"/>
      <c r="C96" s="276"/>
      <c r="D96" s="276"/>
      <c r="E96" s="5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39"/>
      <c r="S96" s="10"/>
      <c r="T96" s="139"/>
    </row>
    <row r="97" spans="1:20" ht="15" customHeight="1" x14ac:dyDescent="0.25">
      <c r="A97" s="357" t="s">
        <v>142</v>
      </c>
      <c r="B97" s="357"/>
      <c r="C97" s="276" t="s">
        <v>143</v>
      </c>
      <c r="D97" s="276"/>
      <c r="E97" s="275" t="s">
        <v>143</v>
      </c>
      <c r="F97" s="276"/>
      <c r="G97" s="332" t="s">
        <v>143</v>
      </c>
      <c r="H97" s="333"/>
      <c r="I97" s="276" t="s">
        <v>143</v>
      </c>
      <c r="J97" s="276"/>
      <c r="K97" s="276" t="s">
        <v>143</v>
      </c>
      <c r="L97" s="276"/>
      <c r="M97" s="276" t="s">
        <v>143</v>
      </c>
      <c r="N97" s="276"/>
      <c r="O97" s="276" t="s">
        <v>143</v>
      </c>
      <c r="P97" s="276"/>
      <c r="Q97" s="276" t="s">
        <v>143</v>
      </c>
      <c r="R97" s="338"/>
      <c r="S97" s="276" t="s">
        <v>143</v>
      </c>
      <c r="T97" s="338"/>
    </row>
    <row r="98" spans="1:20" x14ac:dyDescent="0.25">
      <c r="A98" s="163">
        <v>6</v>
      </c>
      <c r="B98" s="163" t="s">
        <v>144</v>
      </c>
      <c r="C98" s="163" t="s">
        <v>172</v>
      </c>
      <c r="D98" s="163" t="s">
        <v>171</v>
      </c>
      <c r="E98" s="162" t="s">
        <v>85</v>
      </c>
      <c r="F98" s="163" t="s">
        <v>30</v>
      </c>
      <c r="G98" s="163" t="s">
        <v>85</v>
      </c>
      <c r="H98" s="163" t="s">
        <v>30</v>
      </c>
      <c r="I98" s="163" t="s">
        <v>85</v>
      </c>
      <c r="J98" s="163" t="s">
        <v>30</v>
      </c>
      <c r="K98" s="163" t="s">
        <v>85</v>
      </c>
      <c r="L98" s="163" t="s">
        <v>30</v>
      </c>
      <c r="M98" s="163" t="s">
        <v>85</v>
      </c>
      <c r="N98" s="163" t="s">
        <v>30</v>
      </c>
      <c r="O98" s="163" t="s">
        <v>85</v>
      </c>
      <c r="P98" s="163" t="s">
        <v>30</v>
      </c>
      <c r="Q98" s="163" t="s">
        <v>85</v>
      </c>
      <c r="R98" s="41" t="s">
        <v>30</v>
      </c>
      <c r="S98" s="163" t="s">
        <v>85</v>
      </c>
      <c r="T98" s="41" t="s">
        <v>30</v>
      </c>
    </row>
    <row r="99" spans="1:20" ht="14.45" customHeight="1" x14ac:dyDescent="0.25">
      <c r="A99" s="6" t="s">
        <v>69</v>
      </c>
      <c r="B99" s="10" t="s">
        <v>145</v>
      </c>
      <c r="C99" s="17">
        <v>4.7300000000000002E-2</v>
      </c>
      <c r="D99" s="21">
        <f>C99*D117</f>
        <v>249.77588190027751</v>
      </c>
      <c r="E99" s="52">
        <v>4.9599999999999998E-2</v>
      </c>
      <c r="F99" s="21">
        <f>E99*F117</f>
        <v>278.2262992924002</v>
      </c>
      <c r="G99" s="17">
        <v>4.9599999999999998E-2</v>
      </c>
      <c r="H99" s="21">
        <f>G99*H117</f>
        <v>278.2262992924002</v>
      </c>
      <c r="I99" s="17">
        <v>4.9599999999999998E-2</v>
      </c>
      <c r="J99" s="21">
        <f>I99*J117</f>
        <v>281.83380649240019</v>
      </c>
      <c r="K99" s="17">
        <v>4.9599999999999998E-2</v>
      </c>
      <c r="L99" s="21">
        <f>K99*L117</f>
        <v>303.92136609319874</v>
      </c>
      <c r="M99" s="17">
        <v>4.9599999999999998E-2</v>
      </c>
      <c r="N99" s="21">
        <f>M99*N117</f>
        <v>299.9839626266438</v>
      </c>
      <c r="O99" s="17">
        <v>4.9599999999999998E-2</v>
      </c>
      <c r="P99" s="21">
        <f>O99*P117</f>
        <v>299.9839626266438</v>
      </c>
      <c r="Q99" s="17">
        <v>4.9599999999999998E-2</v>
      </c>
      <c r="R99" s="43">
        <f>Q99*R117</f>
        <v>305.42536251965669</v>
      </c>
      <c r="S99" s="17">
        <v>4.9599999999999998E-2</v>
      </c>
      <c r="T99" s="43">
        <f>S99*T117</f>
        <v>317.30954021100519</v>
      </c>
    </row>
    <row r="100" spans="1:20" ht="14.45" customHeight="1" x14ac:dyDescent="0.25">
      <c r="A100" s="6" t="s">
        <v>71</v>
      </c>
      <c r="B100" s="10" t="s">
        <v>146</v>
      </c>
      <c r="C100" s="17">
        <v>0.05</v>
      </c>
      <c r="D100" s="21">
        <f>C100*D117</f>
        <v>264.03370179733355</v>
      </c>
      <c r="E100" s="52">
        <v>0.05</v>
      </c>
      <c r="F100" s="21">
        <f>E100*F117</f>
        <v>280.47005977056477</v>
      </c>
      <c r="G100" s="17">
        <v>0.05</v>
      </c>
      <c r="H100" s="21">
        <f>G100*H117</f>
        <v>280.47005977056477</v>
      </c>
      <c r="I100" s="17">
        <v>0.05</v>
      </c>
      <c r="J100" s="21">
        <f>I100*J117</f>
        <v>284.10665977056476</v>
      </c>
      <c r="K100" s="17">
        <v>0.05</v>
      </c>
      <c r="L100" s="21">
        <f>K100*L117</f>
        <v>306.37234485201492</v>
      </c>
      <c r="M100" s="17">
        <v>0.05</v>
      </c>
      <c r="N100" s="21">
        <f>M100*N117</f>
        <v>302.40318813169739</v>
      </c>
      <c r="O100" s="17">
        <v>0.05</v>
      </c>
      <c r="P100" s="21">
        <f>O100*P117</f>
        <v>302.40318813169739</v>
      </c>
      <c r="Q100" s="17">
        <v>0.05</v>
      </c>
      <c r="R100" s="43">
        <f>Q100*R117</f>
        <v>307.88847028191202</v>
      </c>
      <c r="S100" s="17">
        <v>0.05</v>
      </c>
      <c r="T100" s="43">
        <f>S100*T117</f>
        <v>319.86848811593268</v>
      </c>
    </row>
    <row r="101" spans="1:20" ht="14.45" customHeight="1" x14ac:dyDescent="0.25">
      <c r="A101" s="6" t="s">
        <v>73</v>
      </c>
      <c r="B101" s="10" t="s">
        <v>147</v>
      </c>
      <c r="C101" s="24">
        <f>SUM(C102:C105)</f>
        <v>0.10149999999999999</v>
      </c>
      <c r="D101" s="21">
        <f>SUM(D102:D105)</f>
        <v>654.579952580851</v>
      </c>
      <c r="E101" s="56">
        <f t="shared" ref="E101:R101" si="35">SUM(E102:E105)</f>
        <v>0.10149999999999999</v>
      </c>
      <c r="F101" s="21">
        <f t="shared" si="35"/>
        <v>696.78564471801599</v>
      </c>
      <c r="G101" s="24">
        <f t="shared" si="35"/>
        <v>0.10149999999999999</v>
      </c>
      <c r="H101" s="21">
        <f t="shared" si="35"/>
        <v>696.78564471801599</v>
      </c>
      <c r="I101" s="24">
        <f t="shared" si="35"/>
        <v>0.10149999999999999</v>
      </c>
      <c r="J101" s="21">
        <f t="shared" si="35"/>
        <v>705.82023000549509</v>
      </c>
      <c r="K101" s="24">
        <f t="shared" si="35"/>
        <v>0.10149999999999999</v>
      </c>
      <c r="L101" s="21">
        <f t="shared" si="35"/>
        <v>761.13597296664375</v>
      </c>
      <c r="M101" s="24">
        <f t="shared" si="35"/>
        <v>0.10149999999999999</v>
      </c>
      <c r="N101" s="21">
        <f t="shared" si="35"/>
        <v>751.27520056685296</v>
      </c>
      <c r="O101" s="24">
        <f t="shared" si="35"/>
        <v>0.10149999999999999</v>
      </c>
      <c r="P101" s="21">
        <f t="shared" si="35"/>
        <v>751.27520056685296</v>
      </c>
      <c r="Q101" s="24">
        <f t="shared" si="35"/>
        <v>0.10149999999999999</v>
      </c>
      <c r="R101" s="43">
        <f t="shared" si="35"/>
        <v>764.90255837689551</v>
      </c>
      <c r="S101" s="24">
        <f t="shared" ref="S101:T101" si="36">SUM(S102:S105)</f>
        <v>0.10149999999999999</v>
      </c>
      <c r="T101" s="43">
        <f t="shared" si="36"/>
        <v>794.66510934950179</v>
      </c>
    </row>
    <row r="102" spans="1:20" ht="14.45" customHeight="1" x14ac:dyDescent="0.25">
      <c r="A102" s="6" t="s">
        <v>148</v>
      </c>
      <c r="B102" s="10" t="s">
        <v>149</v>
      </c>
      <c r="C102" s="24">
        <v>6.4999999999999997E-3</v>
      </c>
      <c r="D102" s="21">
        <f>((D117+D99+D100)/(1-$C$101))*C102</f>
        <v>41.918913219463363</v>
      </c>
      <c r="E102" s="56">
        <v>6.4999999999999997E-3</v>
      </c>
      <c r="F102" s="21">
        <f>((F117+F99+F100)/(1-$C$101))*E102</f>
        <v>44.62174079474979</v>
      </c>
      <c r="G102" s="24">
        <v>6.4999999999999997E-3</v>
      </c>
      <c r="H102" s="21">
        <f>((H117+H99+H100)/(1-$C$101))*G102</f>
        <v>44.62174079474979</v>
      </c>
      <c r="I102" s="24">
        <v>6.4999999999999997E-3</v>
      </c>
      <c r="J102" s="21">
        <f>((J117+J99+J100)/(1-$C$101))*I102</f>
        <v>45.200310295918406</v>
      </c>
      <c r="K102" s="24">
        <v>6.4999999999999997E-3</v>
      </c>
      <c r="L102" s="21">
        <f>((L117+L99+L100)/(1-$C$101))*K102</f>
        <v>48.742697776189011</v>
      </c>
      <c r="M102" s="24">
        <v>6.4999999999999997E-3</v>
      </c>
      <c r="N102" s="21">
        <f>((N117+N99+N100)/(1-$C$101))*M102</f>
        <v>48.111219740734427</v>
      </c>
      <c r="O102" s="24">
        <v>6.4999999999999997E-3</v>
      </c>
      <c r="P102" s="21">
        <f>((P117+P99+P100)/(1-$C$101))*O102</f>
        <v>48.111219740734427</v>
      </c>
      <c r="Q102" s="24">
        <v>6.4999999999999997E-3</v>
      </c>
      <c r="R102" s="43">
        <f>((R117+R99+R100)/(1-$C$101))*Q102</f>
        <v>48.983907679308579</v>
      </c>
      <c r="S102" s="24">
        <v>6.4999999999999997E-3</v>
      </c>
      <c r="T102" s="43">
        <f>((T117+T99+T100)/(1-$C$101))*S102</f>
        <v>50.889883849968093</v>
      </c>
    </row>
    <row r="103" spans="1:20" ht="14.45" customHeight="1" x14ac:dyDescent="0.25">
      <c r="A103" s="6" t="s">
        <v>150</v>
      </c>
      <c r="B103" s="10" t="s">
        <v>151</v>
      </c>
      <c r="C103" s="24">
        <v>0.03</v>
      </c>
      <c r="D103" s="21">
        <f>((D117+D99+D100)/(1-$C$101))*C103</f>
        <v>193.47190716675397</v>
      </c>
      <c r="E103" s="56">
        <v>0.03</v>
      </c>
      <c r="F103" s="21">
        <f>((F117+F99+F100)/(1-$C$101))*E103</f>
        <v>205.94649597576827</v>
      </c>
      <c r="G103" s="24">
        <v>0.03</v>
      </c>
      <c r="H103" s="21">
        <f>((H117+H99+H100)/(1-$C$101))*G103</f>
        <v>205.94649597576827</v>
      </c>
      <c r="I103" s="24">
        <v>0.03</v>
      </c>
      <c r="J103" s="21">
        <f>((J117+J99+J100)/(1-$C$101))*I103</f>
        <v>208.61681675039264</v>
      </c>
      <c r="K103" s="24">
        <v>0.03</v>
      </c>
      <c r="L103" s="21">
        <f>((L117+L99+L100)/(1-$C$101))*K103</f>
        <v>224.96629742856467</v>
      </c>
      <c r="M103" s="24">
        <v>0.03</v>
      </c>
      <c r="N103" s="21">
        <f>((N117+N99+N100)/(1-$C$101))*M103</f>
        <v>222.05178341877428</v>
      </c>
      <c r="O103" s="24">
        <v>0.03</v>
      </c>
      <c r="P103" s="21">
        <f>((P117+P99+P100)/(1-$C$101))*O103</f>
        <v>222.05178341877428</v>
      </c>
      <c r="Q103" s="24">
        <v>0.03</v>
      </c>
      <c r="R103" s="43">
        <f>((R117+R99+R100)/(1-$C$101))*Q103</f>
        <v>226.07957390450116</v>
      </c>
      <c r="S103" s="24">
        <v>0.03</v>
      </c>
      <c r="T103" s="43">
        <f>((T117+T99+T100)/(1-$C$101))*S103</f>
        <v>234.87638699985274</v>
      </c>
    </row>
    <row r="104" spans="1:20" ht="14.45" customHeight="1" x14ac:dyDescent="0.25">
      <c r="A104" s="6" t="s">
        <v>152</v>
      </c>
      <c r="B104" s="10" t="s">
        <v>153</v>
      </c>
      <c r="C104" s="24">
        <v>0.02</v>
      </c>
      <c r="D104" s="21">
        <f>((D117+D99+D100)/(1-$C$101))*C104</f>
        <v>128.98127144450265</v>
      </c>
      <c r="E104" s="56">
        <v>0.02</v>
      </c>
      <c r="F104" s="21">
        <f>((F117+F99+F100)/(1-$C$101))*E104</f>
        <v>137.29766398384552</v>
      </c>
      <c r="G104" s="24">
        <v>0.02</v>
      </c>
      <c r="H104" s="21">
        <f>((H117+H99+H100)/(1-$C$101))*G104</f>
        <v>137.29766398384552</v>
      </c>
      <c r="I104" s="24">
        <v>0.02</v>
      </c>
      <c r="J104" s="21">
        <f>((J117+J99+J100)/(1-$C$101))*I104</f>
        <v>139.0778778335951</v>
      </c>
      <c r="K104" s="24">
        <v>0.02</v>
      </c>
      <c r="L104" s="21">
        <f>((L117+L99+L100)/(1-$C$101))*K104</f>
        <v>149.97753161904311</v>
      </c>
      <c r="M104" s="24">
        <v>0.02</v>
      </c>
      <c r="N104" s="21">
        <f>((N117+N99+N100)/(1-$C$101))*M104</f>
        <v>148.03452227918285</v>
      </c>
      <c r="O104" s="24">
        <v>0.02</v>
      </c>
      <c r="P104" s="21">
        <f>((P117+P99+P100)/(1-$C$101))*O104</f>
        <v>148.03452227918285</v>
      </c>
      <c r="Q104" s="24">
        <v>0.02</v>
      </c>
      <c r="R104" s="43">
        <f>((R117+R99+R100)/(1-$C$101))*Q104</f>
        <v>150.7197159363341</v>
      </c>
      <c r="S104" s="24">
        <v>0.02</v>
      </c>
      <c r="T104" s="43">
        <f>((T117+T99+T100)/(1-$C$101))*S104</f>
        <v>156.58425799990184</v>
      </c>
    </row>
    <row r="105" spans="1:20" ht="14.45" customHeight="1" x14ac:dyDescent="0.25">
      <c r="A105" s="6" t="s">
        <v>75</v>
      </c>
      <c r="B105" s="8" t="s">
        <v>154</v>
      </c>
      <c r="C105" s="17">
        <v>4.4999999999999998E-2</v>
      </c>
      <c r="D105" s="12">
        <f>((D117+D99+D100)/(1-$C$101))*C105</f>
        <v>290.20786075013098</v>
      </c>
      <c r="E105" s="52">
        <v>4.4999999999999998E-2</v>
      </c>
      <c r="F105" s="12">
        <f>((F117+F99+F100)/(1-$C$101))*E105</f>
        <v>308.91974396365242</v>
      </c>
      <c r="G105" s="17">
        <v>4.4999999999999998E-2</v>
      </c>
      <c r="H105" s="12">
        <f>((H117+H99+H100)/(1-$C$101))*G105</f>
        <v>308.91974396365242</v>
      </c>
      <c r="I105" s="17">
        <v>4.4999999999999998E-2</v>
      </c>
      <c r="J105" s="12">
        <f>((J117+J99+J100)/(1-$C$101))*I105</f>
        <v>312.92522512558895</v>
      </c>
      <c r="K105" s="17">
        <v>4.4999999999999998E-2</v>
      </c>
      <c r="L105" s="12">
        <f>((L117+L99+L100)/(1-$C$101))*K105</f>
        <v>337.44944614284697</v>
      </c>
      <c r="M105" s="17">
        <v>4.4999999999999998E-2</v>
      </c>
      <c r="N105" s="12">
        <f>((N117+N99+N100)/(1-$C$101))*M105</f>
        <v>333.07767512816139</v>
      </c>
      <c r="O105" s="17">
        <v>4.4999999999999998E-2</v>
      </c>
      <c r="P105" s="12">
        <f>((P117+P99+P100)/(1-$C$101))*O105</f>
        <v>333.07767512816139</v>
      </c>
      <c r="Q105" s="17">
        <v>4.4999999999999998E-2</v>
      </c>
      <c r="R105" s="42">
        <f>((R117+R99+R100)/(1-$C$101))*Q105</f>
        <v>339.11936085675171</v>
      </c>
      <c r="S105" s="17">
        <v>4.4999999999999998E-2</v>
      </c>
      <c r="T105" s="42">
        <f>((T117+T99+T100)/(1-$C$101))*S105</f>
        <v>352.31458049977914</v>
      </c>
    </row>
    <row r="106" spans="1:20" ht="14.45" customHeight="1" x14ac:dyDescent="0.25">
      <c r="A106" s="340" t="s">
        <v>32</v>
      </c>
      <c r="B106" s="340"/>
      <c r="C106" s="29">
        <f>SUM(C99:C101)</f>
        <v>0.19879999999999998</v>
      </c>
      <c r="D106" s="23">
        <f>D99+D100+D101</f>
        <v>1168.3895362784619</v>
      </c>
      <c r="E106" s="57">
        <f>SUM(E99:E101)</f>
        <v>0.2011</v>
      </c>
      <c r="F106" s="23">
        <f>F99+F100+F101</f>
        <v>1255.4820037809809</v>
      </c>
      <c r="G106" s="29">
        <f>SUM(G99:G101)</f>
        <v>0.2011</v>
      </c>
      <c r="H106" s="23">
        <f>H99+H100+H101</f>
        <v>1255.4820037809809</v>
      </c>
      <c r="I106" s="29">
        <f>SUM(I99:I101)</f>
        <v>0.2011</v>
      </c>
      <c r="J106" s="23">
        <f>J99+J100+J101</f>
        <v>1271.7606962684599</v>
      </c>
      <c r="K106" s="29">
        <f>SUM(K99:K101)</f>
        <v>0.2011</v>
      </c>
      <c r="L106" s="23">
        <f>L99+L100+L101</f>
        <v>1371.4296839118574</v>
      </c>
      <c r="M106" s="29">
        <f>SUM(M99:M101)</f>
        <v>0.2011</v>
      </c>
      <c r="N106" s="23">
        <f>N99+N100+N101</f>
        <v>1353.6623513251943</v>
      </c>
      <c r="O106" s="29">
        <f>SUM(O99:O101)</f>
        <v>0.2011</v>
      </c>
      <c r="P106" s="23">
        <f>P99+P100+P101</f>
        <v>1353.6623513251943</v>
      </c>
      <c r="Q106" s="29">
        <f>SUM(Q99:Q101)</f>
        <v>0.2011</v>
      </c>
      <c r="R106" s="169">
        <f>R99+R100+R101</f>
        <v>1378.2163911784642</v>
      </c>
      <c r="S106" s="29">
        <f>SUM(S99:S101)</f>
        <v>0.2011</v>
      </c>
      <c r="T106" s="169">
        <f>T99+T100+T101</f>
        <v>1431.8431376764397</v>
      </c>
    </row>
    <row r="107" spans="1:20" x14ac:dyDescent="0.25">
      <c r="A107" s="355" t="s">
        <v>155</v>
      </c>
      <c r="B107" s="355"/>
      <c r="C107" s="355"/>
      <c r="D107" s="355"/>
      <c r="E107" s="55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39"/>
      <c r="S107" s="10"/>
      <c r="T107" s="139"/>
    </row>
    <row r="108" spans="1:20" ht="30" customHeight="1" x14ac:dyDescent="0.25">
      <c r="A108" s="355" t="s">
        <v>156</v>
      </c>
      <c r="B108" s="355"/>
      <c r="C108" s="355"/>
      <c r="D108" s="355"/>
      <c r="E108" s="55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39"/>
      <c r="S108" s="10"/>
      <c r="T108" s="139"/>
    </row>
    <row r="109" spans="1:20" x14ac:dyDescent="0.25">
      <c r="E109" s="55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39"/>
      <c r="S109" s="10"/>
      <c r="T109" s="139"/>
    </row>
    <row r="110" spans="1:20" ht="15" customHeight="1" x14ac:dyDescent="0.25">
      <c r="A110" s="276" t="s">
        <v>157</v>
      </c>
      <c r="B110" s="276"/>
      <c r="C110" s="276"/>
      <c r="D110" s="276"/>
      <c r="E110" s="5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39"/>
      <c r="S110" s="10"/>
      <c r="T110" s="139"/>
    </row>
    <row r="111" spans="1:20" x14ac:dyDescent="0.25">
      <c r="A111" s="341" t="s">
        <v>158</v>
      </c>
      <c r="B111" s="350"/>
      <c r="C111" s="343"/>
      <c r="D111" s="163" t="s">
        <v>174</v>
      </c>
      <c r="E111" s="55"/>
      <c r="F111" s="163" t="s">
        <v>30</v>
      </c>
      <c r="G111" s="10"/>
      <c r="H111" s="163" t="s">
        <v>30</v>
      </c>
      <c r="I111" s="10"/>
      <c r="J111" s="163" t="s">
        <v>30</v>
      </c>
      <c r="K111" s="10"/>
      <c r="L111" s="163" t="s">
        <v>30</v>
      </c>
      <c r="M111" s="10"/>
      <c r="N111" s="163" t="s">
        <v>30</v>
      </c>
      <c r="O111" s="10"/>
      <c r="P111" s="163" t="s">
        <v>30</v>
      </c>
      <c r="Q111" s="10"/>
      <c r="R111" s="41" t="s">
        <v>30</v>
      </c>
      <c r="S111" s="10"/>
      <c r="T111" s="41" t="s">
        <v>30</v>
      </c>
    </row>
    <row r="112" spans="1:20" ht="16.149999999999999" customHeight="1" x14ac:dyDescent="0.25">
      <c r="A112" s="6" t="s">
        <v>69</v>
      </c>
      <c r="B112" s="320" t="s">
        <v>67</v>
      </c>
      <c r="C112" s="320"/>
      <c r="D112" s="21">
        <f>D18</f>
        <v>2937.99</v>
      </c>
      <c r="E112" s="55"/>
      <c r="F112" s="21">
        <f>F18</f>
        <v>3136.6</v>
      </c>
      <c r="G112" s="10"/>
      <c r="H112" s="21">
        <f>H18</f>
        <v>3136.6</v>
      </c>
      <c r="I112" s="10"/>
      <c r="J112" s="21">
        <f>J18</f>
        <v>3136.6</v>
      </c>
      <c r="K112" s="10"/>
      <c r="L112" s="21">
        <f>L18</f>
        <v>3440.85</v>
      </c>
      <c r="M112" s="10"/>
      <c r="N112" s="21">
        <f>N18</f>
        <v>3440.85</v>
      </c>
      <c r="O112" s="10"/>
      <c r="P112" s="21">
        <f>P18</f>
        <v>3440.85</v>
      </c>
      <c r="Q112" s="10"/>
      <c r="R112" s="43">
        <f>R18</f>
        <v>3517.07</v>
      </c>
      <c r="S112" s="10"/>
      <c r="T112" s="43">
        <f>T18</f>
        <v>3664.08</v>
      </c>
    </row>
    <row r="113" spans="1:20" ht="16.149999999999999" customHeight="1" x14ac:dyDescent="0.25">
      <c r="A113" s="6" t="s">
        <v>71</v>
      </c>
      <c r="B113" s="320" t="s">
        <v>81</v>
      </c>
      <c r="C113" s="320"/>
      <c r="D113" s="21">
        <f>D52</f>
        <v>2022.6710929880001</v>
      </c>
      <c r="E113" s="67"/>
      <c r="F113" s="21">
        <f>F52</f>
        <v>2134.7917495199999</v>
      </c>
      <c r="G113" s="65"/>
      <c r="H113" s="21">
        <f>H52</f>
        <v>2134.7917495199999</v>
      </c>
      <c r="I113" s="65"/>
      <c r="J113" s="21">
        <f>J52</f>
        <v>2207.5237495199999</v>
      </c>
      <c r="K113" s="65"/>
      <c r="L113" s="21">
        <f>L52</f>
        <v>2321.0186680200004</v>
      </c>
      <c r="M113" s="65"/>
      <c r="N113" s="21">
        <f>N52</f>
        <v>2321.0186680200004</v>
      </c>
      <c r="O113" s="65"/>
      <c r="P113" s="21">
        <f>P52</f>
        <v>2321.0186680200004</v>
      </c>
      <c r="Q113" s="65"/>
      <c r="R113" s="43">
        <f>R52</f>
        <v>2349.449335884</v>
      </c>
      <c r="S113" s="65"/>
      <c r="T113" s="43">
        <f>T52</f>
        <v>2432.2898644960001</v>
      </c>
    </row>
    <row r="114" spans="1:20" ht="16.149999999999999" customHeight="1" x14ac:dyDescent="0.25">
      <c r="A114" s="6" t="s">
        <v>73</v>
      </c>
      <c r="B114" s="320" t="s">
        <v>110</v>
      </c>
      <c r="C114" s="320"/>
      <c r="D114" s="21">
        <f>D62</f>
        <v>220.2868469137702</v>
      </c>
      <c r="E114" s="68"/>
      <c r="F114" s="21">
        <f>F62</f>
        <v>235.17837842529474</v>
      </c>
      <c r="G114" s="66"/>
      <c r="H114" s="21">
        <f>H62</f>
        <v>235.17837842529474</v>
      </c>
      <c r="I114" s="66"/>
      <c r="J114" s="21">
        <f>J62</f>
        <v>235.17837842529474</v>
      </c>
      <c r="K114" s="66"/>
      <c r="L114" s="21">
        <f>L62</f>
        <v>257.99066613679634</v>
      </c>
      <c r="M114" s="66"/>
      <c r="N114" s="21">
        <f>N62</f>
        <v>174.40753173044715</v>
      </c>
      <c r="O114" s="66"/>
      <c r="P114" s="21">
        <f>P62</f>
        <v>174.40753173044715</v>
      </c>
      <c r="Q114" s="66"/>
      <c r="R114" s="43">
        <f>R62</f>
        <v>178.27092073853953</v>
      </c>
      <c r="S114" s="66"/>
      <c r="T114" s="43">
        <f>T62</f>
        <v>185.72246650185178</v>
      </c>
    </row>
    <row r="115" spans="1:20" ht="16.149999999999999" customHeight="1" x14ac:dyDescent="0.25">
      <c r="A115" s="6" t="s">
        <v>75</v>
      </c>
      <c r="B115" s="320" t="s">
        <v>118</v>
      </c>
      <c r="C115" s="320"/>
      <c r="D115" s="21">
        <f>D86</f>
        <v>45.931096044899995</v>
      </c>
      <c r="E115" s="68"/>
      <c r="F115" s="21">
        <f>F86</f>
        <v>49.036067466000006</v>
      </c>
      <c r="G115" s="66"/>
      <c r="H115" s="21">
        <f>H86</f>
        <v>49.036067466000006</v>
      </c>
      <c r="I115" s="66"/>
      <c r="J115" s="21">
        <f>J86</f>
        <v>49.036067466000006</v>
      </c>
      <c r="K115" s="66"/>
      <c r="L115" s="21">
        <f>L86</f>
        <v>53.792562883499997</v>
      </c>
      <c r="M115" s="66"/>
      <c r="N115" s="21">
        <f>N86</f>
        <v>53.792562883499997</v>
      </c>
      <c r="O115" s="66"/>
      <c r="P115" s="21">
        <f>P86</f>
        <v>53.792562883499997</v>
      </c>
      <c r="Q115" s="66"/>
      <c r="R115" s="43">
        <f>R86</f>
        <v>54.984149015700005</v>
      </c>
      <c r="S115" s="66"/>
      <c r="T115" s="43">
        <f>T86</f>
        <v>57.282431320799994</v>
      </c>
    </row>
    <row r="116" spans="1:20" ht="16.149999999999999" customHeight="1" x14ac:dyDescent="0.25">
      <c r="A116" s="6" t="s">
        <v>77</v>
      </c>
      <c r="B116" s="320" t="s">
        <v>136</v>
      </c>
      <c r="C116" s="320"/>
      <c r="D116" s="12">
        <f>Uniforme!D14</f>
        <v>53.795000000000002</v>
      </c>
      <c r="E116" s="55"/>
      <c r="F116" s="12">
        <f>F94</f>
        <v>53.795000000000002</v>
      </c>
      <c r="G116" s="10"/>
      <c r="H116" s="12">
        <f>H94</f>
        <v>53.795000000000002</v>
      </c>
      <c r="I116" s="10"/>
      <c r="J116" s="12">
        <f>J94</f>
        <v>53.795000000000002</v>
      </c>
      <c r="K116" s="10"/>
      <c r="L116" s="12">
        <f>L94</f>
        <v>53.795000000000002</v>
      </c>
      <c r="M116" s="10"/>
      <c r="N116" s="12">
        <f>N94</f>
        <v>57.994999999999997</v>
      </c>
      <c r="O116" s="10"/>
      <c r="P116" s="12">
        <f>P94</f>
        <v>57.994999999999997</v>
      </c>
      <c r="Q116" s="10"/>
      <c r="R116" s="42">
        <f>R94</f>
        <v>57.994999999999997</v>
      </c>
      <c r="S116" s="10"/>
      <c r="T116" s="42">
        <f>T94</f>
        <v>57.994999999999997</v>
      </c>
    </row>
    <row r="117" spans="1:20" x14ac:dyDescent="0.25">
      <c r="A117" s="340" t="s">
        <v>159</v>
      </c>
      <c r="B117" s="340"/>
      <c r="C117" s="340"/>
      <c r="D117" s="23">
        <f>SUM(D112:D116)</f>
        <v>5280.6740359466703</v>
      </c>
      <c r="E117" s="150"/>
      <c r="F117" s="23">
        <f>SUM(F112:F116)</f>
        <v>5609.4011954112948</v>
      </c>
      <c r="G117" s="12"/>
      <c r="H117" s="23">
        <f>SUM(H112:H116)</f>
        <v>5609.4011954112948</v>
      </c>
      <c r="I117" s="12"/>
      <c r="J117" s="23">
        <f>SUM(J112:J116)</f>
        <v>5682.1331954112948</v>
      </c>
      <c r="K117" s="12"/>
      <c r="L117" s="23">
        <f>SUM(L112:L116)</f>
        <v>6127.4468970402977</v>
      </c>
      <c r="M117" s="12"/>
      <c r="N117" s="23">
        <f>SUM(N112:N116)</f>
        <v>6048.0637626339476</v>
      </c>
      <c r="O117" s="12"/>
      <c r="P117" s="23">
        <f>SUM(P112:P116)</f>
        <v>6048.0637626339476</v>
      </c>
      <c r="Q117" s="12"/>
      <c r="R117" s="169">
        <f>SUM(R112:R116)</f>
        <v>6157.7694056382397</v>
      </c>
      <c r="S117" s="12"/>
      <c r="T117" s="169">
        <f>SUM(T112:T116)</f>
        <v>6397.3697623186526</v>
      </c>
    </row>
    <row r="118" spans="1:20" x14ac:dyDescent="0.25">
      <c r="A118" s="6" t="s">
        <v>79</v>
      </c>
      <c r="B118" s="312" t="s">
        <v>141</v>
      </c>
      <c r="C118" s="312"/>
      <c r="D118" s="12">
        <f>D106</f>
        <v>1168.3895362784619</v>
      </c>
      <c r="E118" s="150"/>
      <c r="F118" s="12">
        <f>F106</f>
        <v>1255.4820037809809</v>
      </c>
      <c r="G118" s="12"/>
      <c r="H118" s="12">
        <f>H106</f>
        <v>1255.4820037809809</v>
      </c>
      <c r="I118" s="12"/>
      <c r="J118" s="12">
        <f>J106</f>
        <v>1271.7606962684599</v>
      </c>
      <c r="K118" s="12"/>
      <c r="L118" s="12">
        <f>L106</f>
        <v>1371.4296839118574</v>
      </c>
      <c r="M118" s="12"/>
      <c r="N118" s="12">
        <f>N106</f>
        <v>1353.6623513251943</v>
      </c>
      <c r="O118" s="12"/>
      <c r="P118" s="12">
        <f>P106</f>
        <v>1353.6623513251943</v>
      </c>
      <c r="Q118" s="12"/>
      <c r="R118" s="42">
        <f>R106</f>
        <v>1378.2163911784642</v>
      </c>
      <c r="S118" s="12"/>
      <c r="T118" s="42">
        <f>T106</f>
        <v>1431.8431376764397</v>
      </c>
    </row>
    <row r="119" spans="1:20" ht="15.75" thickBot="1" x14ac:dyDescent="0.3">
      <c r="A119" s="340" t="s">
        <v>160</v>
      </c>
      <c r="B119" s="340"/>
      <c r="C119" s="340"/>
      <c r="D119" s="23">
        <f>SUM(D117:D118)</f>
        <v>6449.0635722251318</v>
      </c>
      <c r="E119" s="151"/>
      <c r="F119" s="69">
        <f>SUM(F117:F118)</f>
        <v>6864.8831991922762</v>
      </c>
      <c r="G119" s="152"/>
      <c r="H119" s="69">
        <f>SUM(H117:H118)</f>
        <v>6864.8831991922762</v>
      </c>
      <c r="I119" s="152"/>
      <c r="J119" s="69">
        <f>SUM(J117:J118)</f>
        <v>6953.8938916797542</v>
      </c>
      <c r="K119" s="152"/>
      <c r="L119" s="69">
        <f>SUM(L117:L118)</f>
        <v>7498.8765809521556</v>
      </c>
      <c r="M119" s="152"/>
      <c r="N119" s="69">
        <f>SUM(N117:N118)</f>
        <v>7401.7261139591419</v>
      </c>
      <c r="O119" s="152"/>
      <c r="P119" s="69">
        <f>SUM(P117:P118)</f>
        <v>7401.7261139591419</v>
      </c>
      <c r="Q119" s="152"/>
      <c r="R119" s="178">
        <f>SUM(R117:R118)</f>
        <v>7535.9857968167034</v>
      </c>
      <c r="S119" s="152"/>
      <c r="T119" s="178">
        <f>SUM(T117:T118)</f>
        <v>7829.2128999950928</v>
      </c>
    </row>
  </sheetData>
  <mergeCells count="130">
    <mergeCell ref="S3:T3"/>
    <mergeCell ref="S4:T4"/>
    <mergeCell ref="S5:T5"/>
    <mergeCell ref="S6:T6"/>
    <mergeCell ref="S7:T7"/>
    <mergeCell ref="S8:T8"/>
    <mergeCell ref="S9:T9"/>
    <mergeCell ref="S97:T97"/>
    <mergeCell ref="O97:P97"/>
    <mergeCell ref="Q97:R97"/>
    <mergeCell ref="O6:P6"/>
    <mergeCell ref="Q6:R6"/>
    <mergeCell ref="O4:P4"/>
    <mergeCell ref="Q4:R4"/>
    <mergeCell ref="E97:F97"/>
    <mergeCell ref="G97:H97"/>
    <mergeCell ref="I97:J97"/>
    <mergeCell ref="K97:L97"/>
    <mergeCell ref="M97:N97"/>
    <mergeCell ref="O8:P8"/>
    <mergeCell ref="Q8:R8"/>
    <mergeCell ref="E9:F9"/>
    <mergeCell ref="G9:H9"/>
    <mergeCell ref="I9:J9"/>
    <mergeCell ref="K9:L9"/>
    <mergeCell ref="M9:N9"/>
    <mergeCell ref="O9:P9"/>
    <mergeCell ref="Q9:R9"/>
    <mergeCell ref="E8:F8"/>
    <mergeCell ref="G8:H8"/>
    <mergeCell ref="I8:J8"/>
    <mergeCell ref="K8:L8"/>
    <mergeCell ref="M8:N8"/>
    <mergeCell ref="E7:F7"/>
    <mergeCell ref="G7:H7"/>
    <mergeCell ref="I7:J7"/>
    <mergeCell ref="K7:L7"/>
    <mergeCell ref="M7:N7"/>
    <mergeCell ref="O7:P7"/>
    <mergeCell ref="Q7:R7"/>
    <mergeCell ref="E6:F6"/>
    <mergeCell ref="G6:H6"/>
    <mergeCell ref="I6:J6"/>
    <mergeCell ref="K6:L6"/>
    <mergeCell ref="M6:N6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E1:R2"/>
    <mergeCell ref="E3:F3"/>
    <mergeCell ref="G3:H3"/>
    <mergeCell ref="I3:J3"/>
    <mergeCell ref="K3:L3"/>
    <mergeCell ref="M3:N3"/>
    <mergeCell ref="O3:P3"/>
    <mergeCell ref="Q3:R3"/>
    <mergeCell ref="A119:C119"/>
    <mergeCell ref="B113:C113"/>
    <mergeCell ref="B114:C114"/>
    <mergeCell ref="B115:C115"/>
    <mergeCell ref="B116:C116"/>
    <mergeCell ref="A117:C117"/>
    <mergeCell ref="B118:C118"/>
    <mergeCell ref="B112:C112"/>
    <mergeCell ref="B92:C92"/>
    <mergeCell ref="B93:C93"/>
    <mergeCell ref="A94:C94"/>
    <mergeCell ref="A96:D96"/>
    <mergeCell ref="A97:B97"/>
    <mergeCell ref="C97:D97"/>
    <mergeCell ref="A106:B106"/>
    <mergeCell ref="A110:D110"/>
    <mergeCell ref="A111:C111"/>
    <mergeCell ref="A108:D108"/>
    <mergeCell ref="A107:D107"/>
    <mergeCell ref="B91:C91"/>
    <mergeCell ref="A75:B75"/>
    <mergeCell ref="A77:D77"/>
    <mergeCell ref="A80:B80"/>
    <mergeCell ref="A82:D82"/>
    <mergeCell ref="B83:C83"/>
    <mergeCell ref="B84:C84"/>
    <mergeCell ref="A86:C86"/>
    <mergeCell ref="A88:D88"/>
    <mergeCell ref="B89:C89"/>
    <mergeCell ref="B90:C90"/>
    <mergeCell ref="A67:D67"/>
    <mergeCell ref="B48:C48"/>
    <mergeCell ref="B49:C49"/>
    <mergeCell ref="B50:C50"/>
    <mergeCell ref="B51:C51"/>
    <mergeCell ref="A52:C52"/>
    <mergeCell ref="A54:D54"/>
    <mergeCell ref="A62:B62"/>
    <mergeCell ref="A64:D64"/>
    <mergeCell ref="A65:D65"/>
    <mergeCell ref="B14:C14"/>
    <mergeCell ref="B15:C15"/>
    <mergeCell ref="B16:C16"/>
    <mergeCell ref="B17:C17"/>
    <mergeCell ref="A18:C18"/>
    <mergeCell ref="A20:D20"/>
    <mergeCell ref="A21:D21"/>
    <mergeCell ref="A25:B25"/>
    <mergeCell ref="A47:D47"/>
    <mergeCell ref="A27:D27"/>
    <mergeCell ref="A37:B37"/>
    <mergeCell ref="A39:D39"/>
    <mergeCell ref="A45:C45"/>
    <mergeCell ref="B13:C13"/>
    <mergeCell ref="A1:D1"/>
    <mergeCell ref="A2:D2"/>
    <mergeCell ref="C3:D3"/>
    <mergeCell ref="C4:D4"/>
    <mergeCell ref="C5:D5"/>
    <mergeCell ref="C6:D6"/>
    <mergeCell ref="C7:D7"/>
    <mergeCell ref="C8:D8"/>
    <mergeCell ref="A10:D10"/>
    <mergeCell ref="B11:C11"/>
    <mergeCell ref="B12:C12"/>
  </mergeCells>
  <pageMargins left="0.511811024" right="0.511811024" top="0.78740157499999996" bottom="0.78740157499999996" header="0.31496062000000002" footer="0.31496062000000002"/>
  <pageSetup paperSize="9" scale="88" orientation="portrait" r:id="rId1"/>
  <rowBreaks count="2" manualBreakCount="2">
    <brk id="46" max="3" man="1"/>
    <brk id="95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150"/>
  <sheetViews>
    <sheetView topLeftCell="F1" zoomScaleNormal="100" zoomScaleSheetLayoutView="100" workbookViewId="0">
      <selection activeCell="T12" sqref="T12"/>
    </sheetView>
  </sheetViews>
  <sheetFormatPr defaultRowHeight="15" x14ac:dyDescent="0.25"/>
  <cols>
    <col min="1" max="1" width="4.7109375" style="180" bestFit="1" customWidth="1"/>
    <col min="2" max="2" width="86.28515625" style="180" bestFit="1" customWidth="1"/>
    <col min="3" max="3" width="14.140625" style="180" bestFit="1" customWidth="1"/>
    <col min="4" max="4" width="11.7109375" style="180" bestFit="1" customWidth="1"/>
    <col min="5" max="20" width="15.7109375" style="180" customWidth="1"/>
    <col min="21" max="16384" width="9.140625" style="180"/>
  </cols>
  <sheetData>
    <row r="1" spans="1:20" ht="15" customHeight="1" x14ac:dyDescent="0.25">
      <c r="A1" s="369" t="s">
        <v>161</v>
      </c>
      <c r="B1" s="369"/>
      <c r="C1" s="369"/>
      <c r="D1" s="369"/>
      <c r="E1" s="378" t="s">
        <v>46</v>
      </c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80"/>
      <c r="S1" s="179"/>
      <c r="T1" s="179"/>
    </row>
    <row r="2" spans="1:20" ht="15.75" thickBot="1" x14ac:dyDescent="0.3">
      <c r="A2" s="370" t="s">
        <v>47</v>
      </c>
      <c r="B2" s="370"/>
      <c r="C2" s="370"/>
      <c r="D2" s="370"/>
      <c r="E2" s="381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3"/>
      <c r="S2" s="179"/>
      <c r="T2" s="179"/>
    </row>
    <row r="3" spans="1:20" ht="80.099999999999994" customHeight="1" x14ac:dyDescent="0.25">
      <c r="A3" s="181">
        <v>1</v>
      </c>
      <c r="B3" s="182" t="s">
        <v>48</v>
      </c>
      <c r="C3" s="371" t="s">
        <v>175</v>
      </c>
      <c r="D3" s="371"/>
      <c r="E3" s="371" t="s">
        <v>175</v>
      </c>
      <c r="F3" s="371"/>
      <c r="G3" s="384"/>
      <c r="H3" s="385"/>
      <c r="I3" s="371" t="s">
        <v>175</v>
      </c>
      <c r="J3" s="371"/>
      <c r="K3" s="386"/>
      <c r="L3" s="386"/>
      <c r="M3" s="386"/>
      <c r="N3" s="386"/>
      <c r="O3" s="386"/>
      <c r="P3" s="386"/>
      <c r="Q3" s="387"/>
      <c r="R3" s="388"/>
      <c r="S3" s="360" t="s">
        <v>175</v>
      </c>
      <c r="T3" s="360"/>
    </row>
    <row r="4" spans="1:20" ht="15" customHeight="1" x14ac:dyDescent="0.25">
      <c r="A4" s="132">
        <v>2</v>
      </c>
      <c r="B4" s="2" t="s">
        <v>50</v>
      </c>
      <c r="C4" s="366" t="s">
        <v>16</v>
      </c>
      <c r="D4" s="366"/>
      <c r="E4" s="366" t="s">
        <v>16</v>
      </c>
      <c r="F4" s="366"/>
      <c r="G4" s="397"/>
      <c r="H4" s="398"/>
      <c r="I4" s="366" t="s">
        <v>16</v>
      </c>
      <c r="J4" s="366"/>
      <c r="K4" s="286"/>
      <c r="L4" s="286"/>
      <c r="M4" s="286"/>
      <c r="N4" s="286"/>
      <c r="O4" s="286"/>
      <c r="P4" s="286"/>
      <c r="Q4" s="418"/>
      <c r="R4" s="419"/>
      <c r="S4" s="312" t="s">
        <v>16</v>
      </c>
      <c r="T4" s="312"/>
    </row>
    <row r="5" spans="1:20" x14ac:dyDescent="0.25">
      <c r="A5" s="132">
        <v>3</v>
      </c>
      <c r="B5" s="2" t="s">
        <v>51</v>
      </c>
      <c r="C5" s="367">
        <v>1175.42</v>
      </c>
      <c r="D5" s="367"/>
      <c r="E5" s="367">
        <v>1175.42</v>
      </c>
      <c r="F5" s="367"/>
      <c r="G5" s="392"/>
      <c r="H5" s="393"/>
      <c r="I5" s="367">
        <v>1175.42</v>
      </c>
      <c r="J5" s="367"/>
      <c r="K5" s="394"/>
      <c r="L5" s="394"/>
      <c r="M5" s="394"/>
      <c r="N5" s="394"/>
      <c r="O5" s="394"/>
      <c r="P5" s="394"/>
      <c r="Q5" s="395"/>
      <c r="R5" s="396"/>
      <c r="S5" s="361">
        <v>1175.42</v>
      </c>
      <c r="T5" s="361"/>
    </row>
    <row r="6" spans="1:20" x14ac:dyDescent="0.25">
      <c r="A6" s="132">
        <v>4</v>
      </c>
      <c r="B6" s="2" t="s">
        <v>52</v>
      </c>
      <c r="C6" s="368" t="s">
        <v>162</v>
      </c>
      <c r="D6" s="368"/>
      <c r="E6" s="405" t="s">
        <v>53</v>
      </c>
      <c r="F6" s="406"/>
      <c r="G6" s="407"/>
      <c r="H6" s="408"/>
      <c r="I6" s="368" t="s">
        <v>53</v>
      </c>
      <c r="J6" s="368"/>
      <c r="K6" s="406"/>
      <c r="L6" s="406"/>
      <c r="M6" s="406"/>
      <c r="N6" s="406"/>
      <c r="O6" s="406"/>
      <c r="P6" s="406"/>
      <c r="Q6" s="407"/>
      <c r="R6" s="417"/>
      <c r="S6" s="314" t="s">
        <v>53</v>
      </c>
      <c r="T6" s="315"/>
    </row>
    <row r="7" spans="1:20" x14ac:dyDescent="0.25">
      <c r="A7" s="132">
        <v>5</v>
      </c>
      <c r="B7" s="2" t="s">
        <v>54</v>
      </c>
      <c r="C7" s="372">
        <v>43952</v>
      </c>
      <c r="D7" s="366"/>
      <c r="E7" s="399">
        <v>44317</v>
      </c>
      <c r="F7" s="372"/>
      <c r="G7" s="400"/>
      <c r="H7" s="401"/>
      <c r="I7" s="372">
        <v>44682</v>
      </c>
      <c r="J7" s="372"/>
      <c r="K7" s="402"/>
      <c r="L7" s="402"/>
      <c r="M7" s="402"/>
      <c r="N7" s="402"/>
      <c r="O7" s="402"/>
      <c r="P7" s="402"/>
      <c r="Q7" s="403"/>
      <c r="R7" s="404"/>
      <c r="S7" s="335">
        <v>45047</v>
      </c>
      <c r="T7" s="328"/>
    </row>
    <row r="8" spans="1:20" x14ac:dyDescent="0.25">
      <c r="A8" s="132">
        <v>6</v>
      </c>
      <c r="B8" s="2" t="s">
        <v>55</v>
      </c>
      <c r="C8" s="372" t="s">
        <v>163</v>
      </c>
      <c r="D8" s="366"/>
      <c r="E8" s="399" t="s">
        <v>56</v>
      </c>
      <c r="F8" s="372"/>
      <c r="G8" s="400"/>
      <c r="H8" s="401"/>
      <c r="I8" s="372" t="s">
        <v>57</v>
      </c>
      <c r="J8" s="372"/>
      <c r="K8" s="402"/>
      <c r="L8" s="402"/>
      <c r="M8" s="402"/>
      <c r="N8" s="402"/>
      <c r="O8" s="402"/>
      <c r="P8" s="402"/>
      <c r="Q8" s="403"/>
      <c r="R8" s="404"/>
      <c r="S8" s="335" t="s">
        <v>176</v>
      </c>
      <c r="T8" s="328"/>
    </row>
    <row r="9" spans="1:20" ht="75" customHeight="1" x14ac:dyDescent="0.25">
      <c r="A9" s="1"/>
      <c r="B9" s="1"/>
      <c r="C9" s="1"/>
      <c r="D9" s="1"/>
      <c r="E9" s="411" t="s">
        <v>59</v>
      </c>
      <c r="F9" s="412"/>
      <c r="G9" s="413" t="s">
        <v>60</v>
      </c>
      <c r="H9" s="414"/>
      <c r="I9" s="412" t="s">
        <v>61</v>
      </c>
      <c r="J9" s="412"/>
      <c r="K9" s="412" t="s">
        <v>62</v>
      </c>
      <c r="L9" s="412"/>
      <c r="M9" s="412" t="s">
        <v>63</v>
      </c>
      <c r="N9" s="412"/>
      <c r="O9" s="412" t="s">
        <v>64</v>
      </c>
      <c r="P9" s="412"/>
      <c r="Q9" s="368" t="s">
        <v>164</v>
      </c>
      <c r="R9" s="415"/>
      <c r="S9" s="320" t="s">
        <v>165</v>
      </c>
      <c r="T9" s="321"/>
    </row>
    <row r="10" spans="1:20" ht="15" customHeight="1" x14ac:dyDescent="0.25">
      <c r="A10" s="280" t="s">
        <v>67</v>
      </c>
      <c r="B10" s="280"/>
      <c r="C10" s="280"/>
      <c r="D10" s="280"/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5"/>
      <c r="R10" s="186"/>
      <c r="S10" s="10"/>
      <c r="T10" s="139"/>
    </row>
    <row r="11" spans="1:20" x14ac:dyDescent="0.25">
      <c r="A11" s="187">
        <v>1</v>
      </c>
      <c r="B11" s="370" t="s">
        <v>68</v>
      </c>
      <c r="C11" s="370"/>
      <c r="D11" s="187" t="s">
        <v>171</v>
      </c>
      <c r="E11" s="188"/>
      <c r="F11" s="187" t="s">
        <v>30</v>
      </c>
      <c r="G11" s="185"/>
      <c r="H11" s="187" t="s">
        <v>30</v>
      </c>
      <c r="I11" s="185"/>
      <c r="J11" s="187" t="s">
        <v>30</v>
      </c>
      <c r="K11" s="185"/>
      <c r="L11" s="187" t="s">
        <v>30</v>
      </c>
      <c r="M11" s="185"/>
      <c r="N11" s="187" t="s">
        <v>30</v>
      </c>
      <c r="O11" s="185"/>
      <c r="P11" s="187" t="s">
        <v>30</v>
      </c>
      <c r="Q11" s="185"/>
      <c r="R11" s="189" t="s">
        <v>30</v>
      </c>
      <c r="S11" s="10"/>
      <c r="T11" s="41" t="s">
        <v>30</v>
      </c>
    </row>
    <row r="12" spans="1:20" x14ac:dyDescent="0.25">
      <c r="A12" s="181" t="s">
        <v>69</v>
      </c>
      <c r="B12" s="366" t="s">
        <v>70</v>
      </c>
      <c r="C12" s="366"/>
      <c r="D12" s="190">
        <v>3511.21</v>
      </c>
      <c r="E12" s="188"/>
      <c r="F12" s="191">
        <f>ROUND(D12*(1+6.76%),2)</f>
        <v>3748.57</v>
      </c>
      <c r="G12" s="185"/>
      <c r="H12" s="191">
        <f>F12</f>
        <v>3748.57</v>
      </c>
      <c r="I12" s="185"/>
      <c r="J12" s="191">
        <f>H12</f>
        <v>3748.57</v>
      </c>
      <c r="K12" s="185"/>
      <c r="L12" s="191">
        <f>ROUND(J12*(1+9.7%),2)</f>
        <v>4112.18</v>
      </c>
      <c r="M12" s="185"/>
      <c r="N12" s="191">
        <f>L12</f>
        <v>4112.18</v>
      </c>
      <c r="O12" s="185"/>
      <c r="P12" s="191">
        <f>N12</f>
        <v>4112.18</v>
      </c>
      <c r="Q12" s="185"/>
      <c r="R12" s="192">
        <f>ROUND(J12*(1+12.13%),2)</f>
        <v>4203.2700000000004</v>
      </c>
      <c r="S12" s="10"/>
      <c r="T12" s="74">
        <f>ROUND(R12*(1+4.18%),2)</f>
        <v>4378.97</v>
      </c>
    </row>
    <row r="13" spans="1:20" x14ac:dyDescent="0.25">
      <c r="A13" s="181" t="s">
        <v>71</v>
      </c>
      <c r="B13" s="366" t="s">
        <v>72</v>
      </c>
      <c r="C13" s="366"/>
      <c r="D13" s="190">
        <v>0</v>
      </c>
      <c r="E13" s="188"/>
      <c r="F13" s="191" t="s">
        <v>38</v>
      </c>
      <c r="G13" s="185"/>
      <c r="H13" s="191" t="s">
        <v>38</v>
      </c>
      <c r="I13" s="185"/>
      <c r="J13" s="191" t="s">
        <v>38</v>
      </c>
      <c r="K13" s="185"/>
      <c r="L13" s="191" t="s">
        <v>38</v>
      </c>
      <c r="M13" s="185"/>
      <c r="N13" s="191" t="s">
        <v>38</v>
      </c>
      <c r="O13" s="185"/>
      <c r="P13" s="191" t="s">
        <v>38</v>
      </c>
      <c r="Q13" s="185"/>
      <c r="R13" s="192" t="s">
        <v>38</v>
      </c>
      <c r="S13" s="10"/>
      <c r="T13" s="74" t="s">
        <v>38</v>
      </c>
    </row>
    <row r="14" spans="1:20" x14ac:dyDescent="0.25">
      <c r="A14" s="181" t="s">
        <v>73</v>
      </c>
      <c r="B14" s="366" t="s">
        <v>74</v>
      </c>
      <c r="C14" s="366"/>
      <c r="D14" s="190">
        <v>0</v>
      </c>
      <c r="E14" s="188"/>
      <c r="F14" s="191" t="s">
        <v>38</v>
      </c>
      <c r="G14" s="185"/>
      <c r="H14" s="191" t="s">
        <v>38</v>
      </c>
      <c r="I14" s="185"/>
      <c r="J14" s="191" t="s">
        <v>38</v>
      </c>
      <c r="K14" s="185"/>
      <c r="L14" s="191" t="s">
        <v>38</v>
      </c>
      <c r="M14" s="185"/>
      <c r="N14" s="191" t="s">
        <v>38</v>
      </c>
      <c r="O14" s="185"/>
      <c r="P14" s="191" t="s">
        <v>38</v>
      </c>
      <c r="Q14" s="185"/>
      <c r="R14" s="192" t="s">
        <v>38</v>
      </c>
      <c r="S14" s="10"/>
      <c r="T14" s="74" t="s">
        <v>38</v>
      </c>
    </row>
    <row r="15" spans="1:20" x14ac:dyDescent="0.25">
      <c r="A15" s="181" t="s">
        <v>75</v>
      </c>
      <c r="B15" s="366" t="s">
        <v>76</v>
      </c>
      <c r="C15" s="366"/>
      <c r="D15" s="190">
        <v>0</v>
      </c>
      <c r="E15" s="188"/>
      <c r="F15" s="191" t="s">
        <v>38</v>
      </c>
      <c r="G15" s="185"/>
      <c r="H15" s="191" t="s">
        <v>38</v>
      </c>
      <c r="I15" s="185"/>
      <c r="J15" s="191" t="s">
        <v>38</v>
      </c>
      <c r="K15" s="185"/>
      <c r="L15" s="191" t="s">
        <v>38</v>
      </c>
      <c r="M15" s="185"/>
      <c r="N15" s="191" t="s">
        <v>38</v>
      </c>
      <c r="O15" s="185"/>
      <c r="P15" s="191" t="s">
        <v>38</v>
      </c>
      <c r="Q15" s="185"/>
      <c r="R15" s="192" t="s">
        <v>38</v>
      </c>
      <c r="S15" s="10"/>
      <c r="T15" s="74" t="s">
        <v>38</v>
      </c>
    </row>
    <row r="16" spans="1:20" x14ac:dyDescent="0.25">
      <c r="A16" s="181" t="s">
        <v>77</v>
      </c>
      <c r="B16" s="366" t="s">
        <v>78</v>
      </c>
      <c r="C16" s="366"/>
      <c r="D16" s="190">
        <v>0</v>
      </c>
      <c r="E16" s="188"/>
      <c r="F16" s="191" t="s">
        <v>38</v>
      </c>
      <c r="G16" s="185"/>
      <c r="H16" s="191" t="s">
        <v>38</v>
      </c>
      <c r="I16" s="185"/>
      <c r="J16" s="191" t="s">
        <v>38</v>
      </c>
      <c r="K16" s="185"/>
      <c r="L16" s="191" t="s">
        <v>38</v>
      </c>
      <c r="M16" s="185"/>
      <c r="N16" s="191" t="s">
        <v>38</v>
      </c>
      <c r="O16" s="185"/>
      <c r="P16" s="191" t="s">
        <v>38</v>
      </c>
      <c r="Q16" s="185"/>
      <c r="R16" s="192" t="s">
        <v>38</v>
      </c>
      <c r="S16" s="10"/>
      <c r="T16" s="74" t="s">
        <v>38</v>
      </c>
    </row>
    <row r="17" spans="1:20" x14ac:dyDescent="0.25">
      <c r="A17" s="181" t="s">
        <v>79</v>
      </c>
      <c r="B17" s="366" t="s">
        <v>80</v>
      </c>
      <c r="C17" s="366"/>
      <c r="D17" s="190">
        <v>0</v>
      </c>
      <c r="E17" s="188"/>
      <c r="F17" s="191" t="s">
        <v>38</v>
      </c>
      <c r="G17" s="185"/>
      <c r="H17" s="191" t="s">
        <v>38</v>
      </c>
      <c r="I17" s="185"/>
      <c r="J17" s="191" t="s">
        <v>38</v>
      </c>
      <c r="K17" s="185"/>
      <c r="L17" s="191" t="s">
        <v>38</v>
      </c>
      <c r="M17" s="185"/>
      <c r="N17" s="191" t="s">
        <v>38</v>
      </c>
      <c r="O17" s="185"/>
      <c r="P17" s="191" t="s">
        <v>38</v>
      </c>
      <c r="Q17" s="185"/>
      <c r="R17" s="192" t="s">
        <v>38</v>
      </c>
      <c r="S17" s="10"/>
      <c r="T17" s="74" t="s">
        <v>38</v>
      </c>
    </row>
    <row r="18" spans="1:20" x14ac:dyDescent="0.25">
      <c r="A18" s="370" t="s">
        <v>32</v>
      </c>
      <c r="B18" s="370"/>
      <c r="C18" s="370"/>
      <c r="D18" s="193">
        <f>SUM(D12:D17)</f>
        <v>3511.21</v>
      </c>
      <c r="E18" s="188"/>
      <c r="F18" s="194">
        <f>SUM(F12:F17)</f>
        <v>3748.57</v>
      </c>
      <c r="G18" s="185"/>
      <c r="H18" s="194">
        <f>SUM(H12:H17)</f>
        <v>3748.57</v>
      </c>
      <c r="I18" s="185"/>
      <c r="J18" s="194">
        <f>SUM(J12:J17)</f>
        <v>3748.57</v>
      </c>
      <c r="K18" s="185"/>
      <c r="L18" s="194">
        <f>SUM(L12:L17)</f>
        <v>4112.18</v>
      </c>
      <c r="M18" s="185"/>
      <c r="N18" s="194">
        <f>SUM(N12:N17)</f>
        <v>4112.18</v>
      </c>
      <c r="O18" s="185"/>
      <c r="P18" s="194">
        <f>SUM(P12:P17)</f>
        <v>4112.18</v>
      </c>
      <c r="Q18" s="185"/>
      <c r="R18" s="195">
        <f>SUM(R12:R17)</f>
        <v>4203.2700000000004</v>
      </c>
      <c r="S18" s="10"/>
      <c r="T18" s="173">
        <f>SUM(T12:T17)</f>
        <v>4378.97</v>
      </c>
    </row>
    <row r="19" spans="1:20" x14ac:dyDescent="0.25">
      <c r="A19" s="1"/>
      <c r="B19" s="1"/>
      <c r="C19" s="1"/>
      <c r="D19" s="1"/>
      <c r="E19" s="188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6"/>
      <c r="S19" s="10"/>
      <c r="T19" s="139"/>
    </row>
    <row r="20" spans="1:20" x14ac:dyDescent="0.25">
      <c r="A20" s="370" t="s">
        <v>81</v>
      </c>
      <c r="B20" s="370"/>
      <c r="C20" s="370"/>
      <c r="D20" s="370"/>
      <c r="E20" s="188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6"/>
      <c r="S20" s="10"/>
      <c r="T20" s="139"/>
    </row>
    <row r="21" spans="1:20" x14ac:dyDescent="0.25">
      <c r="A21" s="370" t="s">
        <v>82</v>
      </c>
      <c r="B21" s="370"/>
      <c r="C21" s="370"/>
      <c r="D21" s="370"/>
      <c r="E21" s="188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6"/>
      <c r="S21" s="10"/>
      <c r="T21" s="139"/>
    </row>
    <row r="22" spans="1:20" x14ac:dyDescent="0.25">
      <c r="A22" s="31" t="s">
        <v>83</v>
      </c>
      <c r="B22" s="31" t="s">
        <v>84</v>
      </c>
      <c r="C22" s="187" t="s">
        <v>172</v>
      </c>
      <c r="D22" s="31" t="s">
        <v>171</v>
      </c>
      <c r="E22" s="196" t="s">
        <v>85</v>
      </c>
      <c r="F22" s="31" t="s">
        <v>30</v>
      </c>
      <c r="G22" s="187" t="s">
        <v>85</v>
      </c>
      <c r="H22" s="31" t="s">
        <v>30</v>
      </c>
      <c r="I22" s="187" t="s">
        <v>85</v>
      </c>
      <c r="J22" s="31" t="s">
        <v>30</v>
      </c>
      <c r="K22" s="187" t="s">
        <v>85</v>
      </c>
      <c r="L22" s="31" t="s">
        <v>30</v>
      </c>
      <c r="M22" s="187" t="s">
        <v>85</v>
      </c>
      <c r="N22" s="31" t="s">
        <v>30</v>
      </c>
      <c r="O22" s="187" t="s">
        <v>85</v>
      </c>
      <c r="P22" s="31" t="s">
        <v>30</v>
      </c>
      <c r="Q22" s="187" t="s">
        <v>85</v>
      </c>
      <c r="R22" s="32" t="s">
        <v>30</v>
      </c>
      <c r="S22" s="163" t="s">
        <v>85</v>
      </c>
      <c r="T22" s="157" t="s">
        <v>30</v>
      </c>
    </row>
    <row r="23" spans="1:20" x14ac:dyDescent="0.25">
      <c r="A23" s="181" t="s">
        <v>69</v>
      </c>
      <c r="B23" s="185" t="s">
        <v>86</v>
      </c>
      <c r="C23" s="197">
        <v>9.0899999999999995E-2</v>
      </c>
      <c r="D23" s="198">
        <f>C23*$D$18</f>
        <v>319.16898900000001</v>
      </c>
      <c r="E23" s="199">
        <v>9.0899999999999995E-2</v>
      </c>
      <c r="F23" s="198">
        <f>E23*F$18</f>
        <v>340.74501299999997</v>
      </c>
      <c r="G23" s="197">
        <v>9.0899999999999995E-2</v>
      </c>
      <c r="H23" s="198">
        <f>G23*H$18</f>
        <v>340.74501299999997</v>
      </c>
      <c r="I23" s="197">
        <v>9.0899999999999995E-2</v>
      </c>
      <c r="J23" s="198">
        <f>I23*J$18</f>
        <v>340.74501299999997</v>
      </c>
      <c r="K23" s="197">
        <v>9.0899999999999995E-2</v>
      </c>
      <c r="L23" s="198">
        <f>K23*L$18</f>
        <v>373.79716200000001</v>
      </c>
      <c r="M23" s="197">
        <v>9.0899999999999995E-2</v>
      </c>
      <c r="N23" s="198">
        <f>M23*N$18</f>
        <v>373.79716200000001</v>
      </c>
      <c r="O23" s="197">
        <v>9.0899999999999995E-2</v>
      </c>
      <c r="P23" s="198">
        <f>O23*P$18</f>
        <v>373.79716200000001</v>
      </c>
      <c r="Q23" s="197">
        <v>9.0899999999999995E-2</v>
      </c>
      <c r="R23" s="200">
        <f>Q23*R$18</f>
        <v>382.07724300000001</v>
      </c>
      <c r="S23" s="11">
        <v>9.0899999999999995E-2</v>
      </c>
      <c r="T23" s="42">
        <f>S23*T$18</f>
        <v>398.04837300000003</v>
      </c>
    </row>
    <row r="24" spans="1:20" x14ac:dyDescent="0.25">
      <c r="A24" s="181" t="s">
        <v>71</v>
      </c>
      <c r="B24" s="185" t="s">
        <v>87</v>
      </c>
      <c r="C24" s="197">
        <v>0.121</v>
      </c>
      <c r="D24" s="198">
        <f>C24*$D$18</f>
        <v>424.85640999999998</v>
      </c>
      <c r="E24" s="199">
        <v>0.121</v>
      </c>
      <c r="F24" s="198">
        <f>E24*F$18</f>
        <v>453.57697000000002</v>
      </c>
      <c r="G24" s="197">
        <v>0.121</v>
      </c>
      <c r="H24" s="198">
        <f>G24*H$18</f>
        <v>453.57697000000002</v>
      </c>
      <c r="I24" s="197">
        <v>0.121</v>
      </c>
      <c r="J24" s="198">
        <f>I24*J$18</f>
        <v>453.57697000000002</v>
      </c>
      <c r="K24" s="197">
        <v>0.121</v>
      </c>
      <c r="L24" s="198">
        <f>K24*L$18</f>
        <v>497.57378</v>
      </c>
      <c r="M24" s="197">
        <v>0.121</v>
      </c>
      <c r="N24" s="198">
        <f>M24*N$18</f>
        <v>497.57378</v>
      </c>
      <c r="O24" s="197">
        <v>0.121</v>
      </c>
      <c r="P24" s="198">
        <f>O24*P$18</f>
        <v>497.57378</v>
      </c>
      <c r="Q24" s="197">
        <v>0.121</v>
      </c>
      <c r="R24" s="200">
        <f>Q24*R$18</f>
        <v>508.59567000000004</v>
      </c>
      <c r="S24" s="11">
        <v>0.121</v>
      </c>
      <c r="T24" s="42">
        <f>S24*T$18</f>
        <v>529.85536999999999</v>
      </c>
    </row>
    <row r="25" spans="1:20" x14ac:dyDescent="0.25">
      <c r="A25" s="370" t="s">
        <v>32</v>
      </c>
      <c r="B25" s="370"/>
      <c r="C25" s="201">
        <f>SUM(C23:C24)</f>
        <v>0.21189999999999998</v>
      </c>
      <c r="D25" s="202">
        <f>SUM(D23:D24)</f>
        <v>744.02539899999999</v>
      </c>
      <c r="E25" s="203">
        <f t="shared" ref="E25:R25" si="0">SUM(E23:E24)</f>
        <v>0.21189999999999998</v>
      </c>
      <c r="F25" s="202">
        <f t="shared" si="0"/>
        <v>794.32198300000005</v>
      </c>
      <c r="G25" s="201">
        <f t="shared" si="0"/>
        <v>0.21189999999999998</v>
      </c>
      <c r="H25" s="202">
        <f t="shared" si="0"/>
        <v>794.32198300000005</v>
      </c>
      <c r="I25" s="201">
        <f t="shared" si="0"/>
        <v>0.21189999999999998</v>
      </c>
      <c r="J25" s="202">
        <f t="shared" si="0"/>
        <v>794.32198300000005</v>
      </c>
      <c r="K25" s="201">
        <f t="shared" si="0"/>
        <v>0.21189999999999998</v>
      </c>
      <c r="L25" s="202">
        <f t="shared" si="0"/>
        <v>871.37094200000001</v>
      </c>
      <c r="M25" s="201">
        <f t="shared" si="0"/>
        <v>0.21189999999999998</v>
      </c>
      <c r="N25" s="202">
        <f t="shared" si="0"/>
        <v>871.37094200000001</v>
      </c>
      <c r="O25" s="201">
        <f t="shared" si="0"/>
        <v>0.21189999999999998</v>
      </c>
      <c r="P25" s="202">
        <f t="shared" si="0"/>
        <v>871.37094200000001</v>
      </c>
      <c r="Q25" s="201">
        <f t="shared" si="0"/>
        <v>0.21189999999999998</v>
      </c>
      <c r="R25" s="204">
        <f t="shared" si="0"/>
        <v>890.67291300000011</v>
      </c>
      <c r="S25" s="27">
        <f t="shared" ref="S25:T25" si="1">SUM(S23:S24)</f>
        <v>0.21189999999999998</v>
      </c>
      <c r="T25" s="169">
        <f t="shared" si="1"/>
        <v>927.90374300000008</v>
      </c>
    </row>
    <row r="26" spans="1:20" x14ac:dyDescent="0.25">
      <c r="A26" s="1"/>
      <c r="B26" s="1"/>
      <c r="C26" s="1"/>
      <c r="D26" s="1"/>
      <c r="E26" s="188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6"/>
      <c r="S26" s="10"/>
      <c r="T26" s="139"/>
    </row>
    <row r="27" spans="1:20" ht="32.25" customHeight="1" x14ac:dyDescent="0.25">
      <c r="A27" s="280" t="s">
        <v>88</v>
      </c>
      <c r="B27" s="280"/>
      <c r="C27" s="280"/>
      <c r="D27" s="280"/>
      <c r="E27" s="188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6"/>
      <c r="S27" s="10"/>
      <c r="T27" s="139"/>
    </row>
    <row r="28" spans="1:20" x14ac:dyDescent="0.25">
      <c r="A28" s="187" t="s">
        <v>89</v>
      </c>
      <c r="B28" s="187" t="s">
        <v>90</v>
      </c>
      <c r="C28" s="187" t="s">
        <v>172</v>
      </c>
      <c r="D28" s="187" t="s">
        <v>171</v>
      </c>
      <c r="E28" s="196" t="s">
        <v>85</v>
      </c>
      <c r="F28" s="187" t="s">
        <v>30</v>
      </c>
      <c r="G28" s="187" t="s">
        <v>85</v>
      </c>
      <c r="H28" s="187" t="s">
        <v>30</v>
      </c>
      <c r="I28" s="187" t="s">
        <v>85</v>
      </c>
      <c r="J28" s="187" t="s">
        <v>30</v>
      </c>
      <c r="K28" s="187" t="s">
        <v>85</v>
      </c>
      <c r="L28" s="187" t="s">
        <v>30</v>
      </c>
      <c r="M28" s="187" t="s">
        <v>85</v>
      </c>
      <c r="N28" s="187" t="s">
        <v>30</v>
      </c>
      <c r="O28" s="187" t="s">
        <v>85</v>
      </c>
      <c r="P28" s="187" t="s">
        <v>30</v>
      </c>
      <c r="Q28" s="187" t="s">
        <v>85</v>
      </c>
      <c r="R28" s="189" t="s">
        <v>30</v>
      </c>
      <c r="S28" s="163" t="s">
        <v>85</v>
      </c>
      <c r="T28" s="41" t="s">
        <v>30</v>
      </c>
    </row>
    <row r="29" spans="1:20" x14ac:dyDescent="0.25">
      <c r="A29" s="181" t="s">
        <v>69</v>
      </c>
      <c r="B29" s="185" t="s">
        <v>91</v>
      </c>
      <c r="C29" s="205">
        <v>0</v>
      </c>
      <c r="D29" s="206">
        <f t="shared" ref="D29:D36" si="2">C29*($D$18+$D$25)</f>
        <v>0</v>
      </c>
      <c r="E29" s="207">
        <v>0</v>
      </c>
      <c r="F29" s="206">
        <f t="shared" ref="F29:F36" si="3">E29*(F$18+F$25)</f>
        <v>0</v>
      </c>
      <c r="G29" s="205">
        <v>0</v>
      </c>
      <c r="H29" s="206">
        <f t="shared" ref="H29:H36" si="4">G29*(H$18+H$25)</f>
        <v>0</v>
      </c>
      <c r="I29" s="205">
        <v>0</v>
      </c>
      <c r="J29" s="206">
        <f t="shared" ref="J29:J36" si="5">I29*(J$18+J$25)</f>
        <v>0</v>
      </c>
      <c r="K29" s="205">
        <v>0</v>
      </c>
      <c r="L29" s="206">
        <f t="shared" ref="L29:L36" si="6">K29*(L$18+L$25)</f>
        <v>0</v>
      </c>
      <c r="M29" s="205">
        <v>0</v>
      </c>
      <c r="N29" s="206">
        <f t="shared" ref="N29:N36" si="7">M29*(N$18+N$25)</f>
        <v>0</v>
      </c>
      <c r="O29" s="205">
        <v>0</v>
      </c>
      <c r="P29" s="206">
        <f t="shared" ref="P29:P36" si="8">O29*(P$18+P$25)</f>
        <v>0</v>
      </c>
      <c r="Q29" s="205">
        <v>0</v>
      </c>
      <c r="R29" s="208">
        <f t="shared" ref="R29:R36" si="9">Q29*(R$18+R$25)</f>
        <v>0</v>
      </c>
      <c r="S29" s="13">
        <v>0</v>
      </c>
      <c r="T29" s="43">
        <f t="shared" ref="T29:T36" si="10">S29*(T$18+T$25)</f>
        <v>0</v>
      </c>
    </row>
    <row r="30" spans="1:20" x14ac:dyDescent="0.25">
      <c r="A30" s="181" t="s">
        <v>71</v>
      </c>
      <c r="B30" s="185" t="s">
        <v>92</v>
      </c>
      <c r="C30" s="205">
        <v>2.5000000000000001E-2</v>
      </c>
      <c r="D30" s="206">
        <f t="shared" si="2"/>
        <v>106.38088497500001</v>
      </c>
      <c r="E30" s="207">
        <v>2.5000000000000001E-2</v>
      </c>
      <c r="F30" s="206">
        <f t="shared" si="3"/>
        <v>113.57229957500002</v>
      </c>
      <c r="G30" s="205">
        <v>2.5000000000000001E-2</v>
      </c>
      <c r="H30" s="206">
        <f t="shared" si="4"/>
        <v>113.57229957500002</v>
      </c>
      <c r="I30" s="205">
        <v>2.5000000000000001E-2</v>
      </c>
      <c r="J30" s="206">
        <f t="shared" si="5"/>
        <v>113.57229957500002</v>
      </c>
      <c r="K30" s="205">
        <v>2.5000000000000001E-2</v>
      </c>
      <c r="L30" s="206">
        <f t="shared" si="6"/>
        <v>124.58877355</v>
      </c>
      <c r="M30" s="205">
        <v>2.5000000000000001E-2</v>
      </c>
      <c r="N30" s="206">
        <f t="shared" si="7"/>
        <v>124.58877355</v>
      </c>
      <c r="O30" s="205">
        <v>2.5000000000000001E-2</v>
      </c>
      <c r="P30" s="206">
        <f t="shared" si="8"/>
        <v>124.58877355</v>
      </c>
      <c r="Q30" s="205">
        <v>2.5000000000000001E-2</v>
      </c>
      <c r="R30" s="208">
        <f t="shared" si="9"/>
        <v>127.34857282500002</v>
      </c>
      <c r="S30" s="13">
        <v>2.5000000000000001E-2</v>
      </c>
      <c r="T30" s="43">
        <f t="shared" si="10"/>
        <v>132.671843575</v>
      </c>
    </row>
    <row r="31" spans="1:20" x14ac:dyDescent="0.25">
      <c r="A31" s="181" t="s">
        <v>73</v>
      </c>
      <c r="B31" s="185" t="s">
        <v>166</v>
      </c>
      <c r="C31" s="205">
        <v>0.01</v>
      </c>
      <c r="D31" s="206">
        <f t="shared" si="2"/>
        <v>42.55235399</v>
      </c>
      <c r="E31" s="205">
        <f>0.5*2%</f>
        <v>0.01</v>
      </c>
      <c r="F31" s="206">
        <f t="shared" si="3"/>
        <v>45.428919830000005</v>
      </c>
      <c r="G31" s="205">
        <f>0.5*2%</f>
        <v>0.01</v>
      </c>
      <c r="H31" s="206">
        <f t="shared" si="4"/>
        <v>45.428919830000005</v>
      </c>
      <c r="I31" s="205">
        <f>0.5*2%</f>
        <v>0.01</v>
      </c>
      <c r="J31" s="206">
        <f t="shared" si="5"/>
        <v>45.428919830000005</v>
      </c>
      <c r="K31" s="205">
        <f>0.5*2%</f>
        <v>0.01</v>
      </c>
      <c r="L31" s="206">
        <f t="shared" si="6"/>
        <v>49.835509420000001</v>
      </c>
      <c r="M31" s="205">
        <f>0.5*2%</f>
        <v>0.01</v>
      </c>
      <c r="N31" s="206">
        <f t="shared" si="7"/>
        <v>49.835509420000001</v>
      </c>
      <c r="O31" s="205">
        <f>0.5*2%</f>
        <v>0.01</v>
      </c>
      <c r="P31" s="206">
        <f t="shared" si="8"/>
        <v>49.835509420000001</v>
      </c>
      <c r="Q31" s="205">
        <f>0.5*2%</f>
        <v>0.01</v>
      </c>
      <c r="R31" s="208">
        <f t="shared" si="9"/>
        <v>50.939429130000008</v>
      </c>
      <c r="S31" s="13">
        <f>0.5*2%</f>
        <v>0.01</v>
      </c>
      <c r="T31" s="43">
        <f t="shared" si="10"/>
        <v>53.068737429999999</v>
      </c>
    </row>
    <row r="32" spans="1:20" x14ac:dyDescent="0.25">
      <c r="A32" s="181" t="s">
        <v>75</v>
      </c>
      <c r="B32" s="185" t="s">
        <v>94</v>
      </c>
      <c r="C32" s="205">
        <v>1.4999999999999999E-2</v>
      </c>
      <c r="D32" s="206">
        <f t="shared" si="2"/>
        <v>63.828530985</v>
      </c>
      <c r="E32" s="207">
        <v>1.4999999999999999E-2</v>
      </c>
      <c r="F32" s="206">
        <f t="shared" si="3"/>
        <v>68.143379745000004</v>
      </c>
      <c r="G32" s="205">
        <v>1.4999999999999999E-2</v>
      </c>
      <c r="H32" s="206">
        <f t="shared" si="4"/>
        <v>68.143379745000004</v>
      </c>
      <c r="I32" s="205">
        <v>1.4999999999999999E-2</v>
      </c>
      <c r="J32" s="206">
        <f t="shared" si="5"/>
        <v>68.143379745000004</v>
      </c>
      <c r="K32" s="205">
        <v>1.4999999999999999E-2</v>
      </c>
      <c r="L32" s="206">
        <f t="shared" si="6"/>
        <v>74.753264129999991</v>
      </c>
      <c r="M32" s="205">
        <v>1.4999999999999999E-2</v>
      </c>
      <c r="N32" s="206">
        <f t="shared" si="7"/>
        <v>74.753264129999991</v>
      </c>
      <c r="O32" s="205">
        <v>1.4999999999999999E-2</v>
      </c>
      <c r="P32" s="206">
        <f t="shared" si="8"/>
        <v>74.753264129999991</v>
      </c>
      <c r="Q32" s="205">
        <v>1.4999999999999999E-2</v>
      </c>
      <c r="R32" s="208">
        <f t="shared" si="9"/>
        <v>76.409143695000012</v>
      </c>
      <c r="S32" s="13">
        <v>1.4999999999999999E-2</v>
      </c>
      <c r="T32" s="43">
        <f t="shared" si="10"/>
        <v>79.603106144999998</v>
      </c>
    </row>
    <row r="33" spans="1:20" x14ac:dyDescent="0.25">
      <c r="A33" s="181" t="s">
        <v>77</v>
      </c>
      <c r="B33" s="185" t="s">
        <v>95</v>
      </c>
      <c r="C33" s="205">
        <v>0.01</v>
      </c>
      <c r="D33" s="206">
        <f t="shared" si="2"/>
        <v>42.55235399</v>
      </c>
      <c r="E33" s="207">
        <v>0.01</v>
      </c>
      <c r="F33" s="206">
        <f t="shared" si="3"/>
        <v>45.428919830000005</v>
      </c>
      <c r="G33" s="205">
        <v>0.01</v>
      </c>
      <c r="H33" s="206">
        <f t="shared" si="4"/>
        <v>45.428919830000005</v>
      </c>
      <c r="I33" s="205">
        <v>0.01</v>
      </c>
      <c r="J33" s="206">
        <f t="shared" si="5"/>
        <v>45.428919830000005</v>
      </c>
      <c r="K33" s="205">
        <v>0.01</v>
      </c>
      <c r="L33" s="206">
        <f t="shared" si="6"/>
        <v>49.835509420000001</v>
      </c>
      <c r="M33" s="205">
        <v>0.01</v>
      </c>
      <c r="N33" s="206">
        <f t="shared" si="7"/>
        <v>49.835509420000001</v>
      </c>
      <c r="O33" s="205">
        <v>0.01</v>
      </c>
      <c r="P33" s="206">
        <f t="shared" si="8"/>
        <v>49.835509420000001</v>
      </c>
      <c r="Q33" s="205">
        <v>0.01</v>
      </c>
      <c r="R33" s="208">
        <f t="shared" si="9"/>
        <v>50.939429130000008</v>
      </c>
      <c r="S33" s="13">
        <v>0.01</v>
      </c>
      <c r="T33" s="43">
        <f t="shared" si="10"/>
        <v>53.068737429999999</v>
      </c>
    </row>
    <row r="34" spans="1:20" x14ac:dyDescent="0.25">
      <c r="A34" s="181" t="s">
        <v>79</v>
      </c>
      <c r="B34" s="185" t="s">
        <v>96</v>
      </c>
      <c r="C34" s="205">
        <v>6.0000000000000001E-3</v>
      </c>
      <c r="D34" s="206">
        <f t="shared" si="2"/>
        <v>25.531412394</v>
      </c>
      <c r="E34" s="207">
        <v>6.0000000000000001E-3</v>
      </c>
      <c r="F34" s="206">
        <f t="shared" si="3"/>
        <v>27.257351898000003</v>
      </c>
      <c r="G34" s="205">
        <v>6.0000000000000001E-3</v>
      </c>
      <c r="H34" s="206">
        <f t="shared" si="4"/>
        <v>27.257351898000003</v>
      </c>
      <c r="I34" s="205">
        <v>6.0000000000000001E-3</v>
      </c>
      <c r="J34" s="206">
        <f t="shared" si="5"/>
        <v>27.257351898000003</v>
      </c>
      <c r="K34" s="205">
        <v>6.0000000000000001E-3</v>
      </c>
      <c r="L34" s="206">
        <f t="shared" si="6"/>
        <v>29.901305652000001</v>
      </c>
      <c r="M34" s="205">
        <v>6.0000000000000001E-3</v>
      </c>
      <c r="N34" s="206">
        <f t="shared" si="7"/>
        <v>29.901305652000001</v>
      </c>
      <c r="O34" s="205">
        <v>6.0000000000000001E-3</v>
      </c>
      <c r="P34" s="206">
        <f t="shared" si="8"/>
        <v>29.901305652000001</v>
      </c>
      <c r="Q34" s="205">
        <v>6.0000000000000001E-3</v>
      </c>
      <c r="R34" s="208">
        <f t="shared" si="9"/>
        <v>30.563657478000007</v>
      </c>
      <c r="S34" s="13">
        <v>6.0000000000000001E-3</v>
      </c>
      <c r="T34" s="43">
        <f t="shared" si="10"/>
        <v>31.841242458</v>
      </c>
    </row>
    <row r="35" spans="1:20" x14ac:dyDescent="0.25">
      <c r="A35" s="181" t="s">
        <v>97</v>
      </c>
      <c r="B35" s="185" t="s">
        <v>98</v>
      </c>
      <c r="C35" s="205">
        <v>2E-3</v>
      </c>
      <c r="D35" s="206">
        <f t="shared" si="2"/>
        <v>8.5104707980000001</v>
      </c>
      <c r="E35" s="207">
        <v>2E-3</v>
      </c>
      <c r="F35" s="206">
        <f t="shared" si="3"/>
        <v>9.085783966000001</v>
      </c>
      <c r="G35" s="205">
        <v>2E-3</v>
      </c>
      <c r="H35" s="206">
        <f t="shared" si="4"/>
        <v>9.085783966000001</v>
      </c>
      <c r="I35" s="205">
        <v>2E-3</v>
      </c>
      <c r="J35" s="206">
        <f t="shared" si="5"/>
        <v>9.085783966000001</v>
      </c>
      <c r="K35" s="205">
        <v>2E-3</v>
      </c>
      <c r="L35" s="206">
        <f t="shared" si="6"/>
        <v>9.9671018839999999</v>
      </c>
      <c r="M35" s="205">
        <v>2E-3</v>
      </c>
      <c r="N35" s="206">
        <f t="shared" si="7"/>
        <v>9.9671018839999999</v>
      </c>
      <c r="O35" s="205">
        <v>2E-3</v>
      </c>
      <c r="P35" s="206">
        <f t="shared" si="8"/>
        <v>9.9671018839999999</v>
      </c>
      <c r="Q35" s="205">
        <v>2E-3</v>
      </c>
      <c r="R35" s="208">
        <f t="shared" si="9"/>
        <v>10.187885826000002</v>
      </c>
      <c r="S35" s="13">
        <v>2E-3</v>
      </c>
      <c r="T35" s="43">
        <f t="shared" si="10"/>
        <v>10.613747486000001</v>
      </c>
    </row>
    <row r="36" spans="1:20" x14ac:dyDescent="0.25">
      <c r="A36" s="181" t="s">
        <v>99</v>
      </c>
      <c r="B36" s="185" t="s">
        <v>100</v>
      </c>
      <c r="C36" s="205">
        <v>0.08</v>
      </c>
      <c r="D36" s="206">
        <f t="shared" si="2"/>
        <v>340.41883192</v>
      </c>
      <c r="E36" s="207">
        <v>0.08</v>
      </c>
      <c r="F36" s="206">
        <f t="shared" si="3"/>
        <v>363.43135864000004</v>
      </c>
      <c r="G36" s="205">
        <v>0.08</v>
      </c>
      <c r="H36" s="206">
        <f t="shared" si="4"/>
        <v>363.43135864000004</v>
      </c>
      <c r="I36" s="205">
        <v>0.08</v>
      </c>
      <c r="J36" s="206">
        <f t="shared" si="5"/>
        <v>363.43135864000004</v>
      </c>
      <c r="K36" s="205">
        <v>0.08</v>
      </c>
      <c r="L36" s="206">
        <f t="shared" si="6"/>
        <v>398.68407536000001</v>
      </c>
      <c r="M36" s="205">
        <v>0.08</v>
      </c>
      <c r="N36" s="206">
        <f t="shared" si="7"/>
        <v>398.68407536000001</v>
      </c>
      <c r="O36" s="205">
        <v>0.08</v>
      </c>
      <c r="P36" s="206">
        <f t="shared" si="8"/>
        <v>398.68407536000001</v>
      </c>
      <c r="Q36" s="205">
        <v>0.08</v>
      </c>
      <c r="R36" s="208">
        <f t="shared" si="9"/>
        <v>407.51543304000006</v>
      </c>
      <c r="S36" s="13">
        <v>0.08</v>
      </c>
      <c r="T36" s="43">
        <f t="shared" si="10"/>
        <v>424.54989943999999</v>
      </c>
    </row>
    <row r="37" spans="1:20" x14ac:dyDescent="0.25">
      <c r="A37" s="373" t="s">
        <v>32</v>
      </c>
      <c r="B37" s="374"/>
      <c r="C37" s="209">
        <f>SUM(C29:C36)</f>
        <v>0.14800000000000002</v>
      </c>
      <c r="D37" s="202">
        <f>SUM(D29:D36)</f>
        <v>629.77483905200006</v>
      </c>
      <c r="E37" s="210">
        <f t="shared" ref="E37:R37" si="11">SUM(E29:E36)</f>
        <v>0.14800000000000002</v>
      </c>
      <c r="F37" s="202">
        <f t="shared" si="11"/>
        <v>672.34801348400015</v>
      </c>
      <c r="G37" s="209">
        <f t="shared" si="11"/>
        <v>0.14800000000000002</v>
      </c>
      <c r="H37" s="202">
        <f t="shared" si="11"/>
        <v>672.34801348400015</v>
      </c>
      <c r="I37" s="209">
        <f t="shared" si="11"/>
        <v>0.14800000000000002</v>
      </c>
      <c r="J37" s="202">
        <f t="shared" si="11"/>
        <v>672.34801348400015</v>
      </c>
      <c r="K37" s="209">
        <f t="shared" si="11"/>
        <v>0.14800000000000002</v>
      </c>
      <c r="L37" s="202">
        <f t="shared" si="11"/>
        <v>737.56553941600009</v>
      </c>
      <c r="M37" s="209">
        <f t="shared" si="11"/>
        <v>0.14800000000000002</v>
      </c>
      <c r="N37" s="202">
        <f t="shared" si="11"/>
        <v>737.56553941600009</v>
      </c>
      <c r="O37" s="209">
        <f t="shared" si="11"/>
        <v>0.14800000000000002</v>
      </c>
      <c r="P37" s="202">
        <f t="shared" si="11"/>
        <v>737.56553941600009</v>
      </c>
      <c r="Q37" s="209">
        <f t="shared" si="11"/>
        <v>0.14800000000000002</v>
      </c>
      <c r="R37" s="204">
        <f t="shared" si="11"/>
        <v>753.90355112400016</v>
      </c>
      <c r="S37" s="26">
        <f t="shared" ref="S37:T37" si="12">SUM(S29:S36)</f>
        <v>0.14800000000000002</v>
      </c>
      <c r="T37" s="169">
        <f t="shared" si="12"/>
        <v>785.41731396399996</v>
      </c>
    </row>
    <row r="38" spans="1:20" x14ac:dyDescent="0.25">
      <c r="A38" s="1"/>
      <c r="B38" s="1"/>
      <c r="C38" s="1"/>
      <c r="D38" s="1"/>
      <c r="E38" s="188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6"/>
      <c r="S38" s="10"/>
      <c r="T38" s="139"/>
    </row>
    <row r="39" spans="1:20" ht="15" customHeight="1" x14ac:dyDescent="0.25">
      <c r="A39" s="280" t="s">
        <v>101</v>
      </c>
      <c r="B39" s="280"/>
      <c r="C39" s="280"/>
      <c r="D39" s="280"/>
      <c r="E39" s="188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6"/>
      <c r="S39" s="10"/>
      <c r="T39" s="139"/>
    </row>
    <row r="40" spans="1:20" x14ac:dyDescent="0.25">
      <c r="A40" s="187" t="s">
        <v>102</v>
      </c>
      <c r="B40" s="187" t="s">
        <v>103</v>
      </c>
      <c r="C40" s="5" t="s">
        <v>177</v>
      </c>
      <c r="D40" s="187" t="s">
        <v>171</v>
      </c>
      <c r="E40" s="50" t="s">
        <v>85</v>
      </c>
      <c r="F40" s="187" t="s">
        <v>30</v>
      </c>
      <c r="G40" s="5" t="s">
        <v>85</v>
      </c>
      <c r="H40" s="187" t="s">
        <v>30</v>
      </c>
      <c r="I40" s="5" t="s">
        <v>85</v>
      </c>
      <c r="J40" s="187" t="s">
        <v>30</v>
      </c>
      <c r="K40" s="5" t="s">
        <v>85</v>
      </c>
      <c r="L40" s="187" t="s">
        <v>30</v>
      </c>
      <c r="M40" s="5" t="s">
        <v>85</v>
      </c>
      <c r="N40" s="187" t="s">
        <v>30</v>
      </c>
      <c r="O40" s="5" t="s">
        <v>85</v>
      </c>
      <c r="P40" s="187" t="s">
        <v>30</v>
      </c>
      <c r="Q40" s="5" t="s">
        <v>85</v>
      </c>
      <c r="R40" s="189" t="s">
        <v>30</v>
      </c>
      <c r="S40" s="174" t="s">
        <v>85</v>
      </c>
      <c r="T40" s="41" t="s">
        <v>30</v>
      </c>
    </row>
    <row r="41" spans="1:20" x14ac:dyDescent="0.25">
      <c r="A41" s="181" t="s">
        <v>69</v>
      </c>
      <c r="B41" s="185" t="s">
        <v>104</v>
      </c>
      <c r="C41" s="132"/>
      <c r="D41" s="211">
        <f>(16.6*22)-(0.06*D18)</f>
        <v>154.52740000000006</v>
      </c>
      <c r="E41" s="212"/>
      <c r="F41" s="211">
        <f>(16.6*22)-(0.06*F18)</f>
        <v>140.28580000000005</v>
      </c>
      <c r="G41" s="132"/>
      <c r="H41" s="211">
        <f>(16.6*22)-(0.06*H18)</f>
        <v>140.28580000000005</v>
      </c>
      <c r="I41" s="132"/>
      <c r="J41" s="211">
        <f>(16.6*22)-(0.06*J18)</f>
        <v>140.28580000000005</v>
      </c>
      <c r="K41" s="132"/>
      <c r="L41" s="211">
        <f>(16.6*22)-(0.06*L18)</f>
        <v>118.46920000000003</v>
      </c>
      <c r="M41" s="132"/>
      <c r="N41" s="211">
        <f>(16.6*22)-(0.06*N18)</f>
        <v>118.46920000000003</v>
      </c>
      <c r="O41" s="132"/>
      <c r="P41" s="211">
        <f>(16.6*22)-(0.06*P18)</f>
        <v>118.46920000000003</v>
      </c>
      <c r="Q41" s="132"/>
      <c r="R41" s="213">
        <f>(16.6*22)-(0.06*R18)</f>
        <v>113.00380000000004</v>
      </c>
      <c r="S41" s="155"/>
      <c r="T41" s="170">
        <f>(16.6*22)-(0.06*T18)</f>
        <v>102.46180000000004</v>
      </c>
    </row>
    <row r="42" spans="1:20" x14ac:dyDescent="0.25">
      <c r="A42" s="181" t="s">
        <v>71</v>
      </c>
      <c r="B42" s="168" t="s">
        <v>178</v>
      </c>
      <c r="C42" s="214">
        <f>IF(D12&lt;=1861.34,0%,IF(AND(D12&gt;=1861.35,D12&lt;=3149.96),5%,IF(AND(D12&gt;=3149.97,D12&lt;=4581.75),7.5%,IF(AND(D12&gt;=4581.76,D12&lt;=5727.2),10%,IF(AND(D12&gt;=5727.21,D12&lt;=7015.83),15%,20%)))))</f>
        <v>7.4999999999999997E-2</v>
      </c>
      <c r="D42" s="206">
        <f>(26.87-(26.87*C42))*22</f>
        <v>546.80450000000008</v>
      </c>
      <c r="E42" s="215">
        <f>IF(F12&lt;=1987.18,0%,IF(AND(F12&gt;=1987.18,F12&lt;=3362.91),5%,IF(AND(F12&gt;=3362.91,F12&lt;=4891.49),7.5%,IF(AND(F12&gt;=4891.49,F12&lt;=6114.37),10%,IF(AND(F12&gt;=6114.37,F12&lt;=7490.12),15%,20%)))))</f>
        <v>7.4999999999999997E-2</v>
      </c>
      <c r="F42" s="206">
        <f>(28.69-(28.69*E42))*22</f>
        <v>583.8415</v>
      </c>
      <c r="G42" s="214">
        <f>IF(H12&lt;=1987.18,0%,IF(AND(H12&gt;=1987.18,H12&lt;=3362.91),5%,IF(AND(H12&gt;=3362.91,H12&lt;=4891.49),7.5%,IF(AND(H12&gt;=4891.49,H12&lt;=6114.37),10%,IF(AND(H12&gt;=6114.37,H12&lt;=7490.12),15%,20%)))))</f>
        <v>7.4999999999999997E-2</v>
      </c>
      <c r="H42" s="206">
        <f>(28.69-(28.69*G42))*22</f>
        <v>583.8415</v>
      </c>
      <c r="I42" s="214">
        <f>IF(J12&lt;=2228.21,0%,IF(AND(J12&gt;=2228.21,J12&lt;=3770.81),5%,IF(AND(J12&gt;=3770.81,J12&lt;=5484.81),7.5%,IF(AND(J12&gt;=5484.81,J12&lt;=6856.03),10%,IF(AND(J12&gt;=6856.03,J12&lt;=8398.66),15%,20%)))))</f>
        <v>0.05</v>
      </c>
      <c r="J42" s="206">
        <f>(32.17-(32.17*I42))*22</f>
        <v>672.35300000000007</v>
      </c>
      <c r="K42" s="214">
        <f>IF(L12&lt;=2228.21,0%,IF(AND(L12&gt;=2228.21,L12&lt;=3770.81),5%,IF(AND(L12&gt;=3770.81,L12&lt;=5484.81),7.5%,IF(AND(L12&gt;=5484.81,L12&lt;=6856.03),10%,IF(AND(L12&gt;=6856.03,L12&lt;=8398.66),15%,20%)))))</f>
        <v>7.4999999999999997E-2</v>
      </c>
      <c r="L42" s="206">
        <f>(32.17-(32.17*K42))*22</f>
        <v>654.65950000000009</v>
      </c>
      <c r="M42" s="214">
        <f>IF(N12&lt;=2228.21,0%,IF(AND(N12&gt;=2228.21,N12&lt;=3770.81),5%,IF(AND(N12&gt;=3770.81,N12&lt;=5484.81),7.5%,IF(AND(N12&gt;=5484.81,N12&lt;=6856.03),10%,IF(AND(N12&gt;=6856.03,N12&lt;=8398.66),15%,20%)))))</f>
        <v>7.4999999999999997E-2</v>
      </c>
      <c r="N42" s="206">
        <f>(32.17-(32.17*M42))*22</f>
        <v>654.65950000000009</v>
      </c>
      <c r="O42" s="214">
        <f>IF(P12&lt;=2228.21,0%,IF(AND(P12&gt;=2228.21,P12&lt;=3770.81),5%,IF(AND(P12&gt;=3770.81,P12&lt;=5484.81),7.5%,IF(AND(P12&gt;=5484.81,P12&lt;=6856.03),10%,IF(AND(P12&gt;=6856.03,P12&lt;=8398.66),15%,20%)))))</f>
        <v>7.4999999999999997E-2</v>
      </c>
      <c r="P42" s="206">
        <f>(32.17-(32.17*O42))*22</f>
        <v>654.65950000000009</v>
      </c>
      <c r="Q42" s="214">
        <f>IF(R12&lt;=2228.21,0%,IF(AND(R12&gt;=2228.21,R12&lt;=3770.81),5%,IF(AND(R12&gt;=3770.81,R12&lt;=5484.81),7.5%,IF(AND(R12&gt;=5484.81,R12&lt;=6856.03),10%,IF(AND(R12&gt;=6856.03,R12&lt;=8398.66),15%,20%)))))</f>
        <v>7.4999999999999997E-2</v>
      </c>
      <c r="R42" s="208">
        <f>(32.17-(32.17*Q42))*22</f>
        <v>654.65950000000009</v>
      </c>
      <c r="S42" s="15">
        <f>IF(T12&lt;=2228.21,0%,IF(AND(T12&gt;=2228.21,T12&lt;=3770.81),5%,IF(AND(T12&gt;=3770.81,T12&lt;=5484.81),7.5%,IF(AND(T12&gt;=5484.81,T12&lt;=6856.03),10%,IF(AND(T12&gt;=6856.03,T12&lt;=8398.66),15%,20%)))))</f>
        <v>7.4999999999999997E-2</v>
      </c>
      <c r="T42" s="43">
        <f>(33.51-(33.51*S42))*22</f>
        <v>681.92849999999999</v>
      </c>
    </row>
    <row r="43" spans="1:20" x14ac:dyDescent="0.25">
      <c r="A43" s="181" t="s">
        <v>73</v>
      </c>
      <c r="B43" s="185" t="s">
        <v>170</v>
      </c>
      <c r="C43" s="214">
        <f>IF(D12&lt;=2051.96,70%,IF(AND(D12&gt;=2051.97,D12&lt;=3420.91),60%,50%))</f>
        <v>0.5</v>
      </c>
      <c r="D43" s="206">
        <f>204.41*C43</f>
        <v>102.205</v>
      </c>
      <c r="E43" s="215">
        <f>IF(F12&lt;=2190.67,70%,IF(AND(F12&gt;=2190.67,F12&lt;=3652.17),60%,50%))</f>
        <v>0.5</v>
      </c>
      <c r="F43" s="206">
        <f>204.41*1.0676*E43</f>
        <v>109.11405800000001</v>
      </c>
      <c r="G43" s="214">
        <f>IF(H12&lt;=2190.67,70%,IF(AND(H12&gt;=2190.67,H12&lt;=3652.17),60%,50%))</f>
        <v>0.5</v>
      </c>
      <c r="H43" s="206">
        <f>204.41*1.0676*G43</f>
        <v>109.11405800000001</v>
      </c>
      <c r="I43" s="214">
        <f>IF(J12&lt;=2456.39,70%,IF(AND(J12&gt;=2456.39,J12&lt;=4095.16),60%,50%))</f>
        <v>0.6</v>
      </c>
      <c r="J43" s="206">
        <f>204.41*1.0676*I43</f>
        <v>130.93686960000002</v>
      </c>
      <c r="K43" s="214">
        <f>IF(L12&lt;=2456.39,70%,IF(AND(L12&gt;=2456.39,L12&lt;=4095.16),60%,50%))</f>
        <v>0.5</v>
      </c>
      <c r="L43" s="206">
        <f>218.24*1.097*K43</f>
        <v>119.70464</v>
      </c>
      <c r="M43" s="214">
        <f>IF(N12&lt;=2456.39,70%,IF(AND(N12&gt;=2456.39,N12&lt;=4095.16),60%,50%))</f>
        <v>0.5</v>
      </c>
      <c r="N43" s="206">
        <f>218.24*1.097*M43</f>
        <v>119.70464</v>
      </c>
      <c r="O43" s="214">
        <f>IF(P12&lt;=2456.39,70%,IF(AND(P12&gt;=2456.39,P12&lt;=4095.16),60%,50%))</f>
        <v>0.5</v>
      </c>
      <c r="P43" s="206">
        <f>218.24*1.097*O43</f>
        <v>119.70464</v>
      </c>
      <c r="Q43" s="214">
        <f>IF(R12&lt;=2456.39,70%,IF(AND(R12&gt;=2456.39,R12&lt;=4095.16),60%,50%))</f>
        <v>0.5</v>
      </c>
      <c r="R43" s="208">
        <f>218.24*1.1213*Q43</f>
        <v>122.356256</v>
      </c>
      <c r="S43" s="15">
        <f>IF(T12&lt;=4266.34,60%,IF(AND(T12&gt;=2559.07,T12&lt;=4266.34),60%,50%))</f>
        <v>0.5</v>
      </c>
      <c r="T43" s="43">
        <f>244.71*1.0418*S43</f>
        <v>127.46943900000001</v>
      </c>
    </row>
    <row r="44" spans="1:20" x14ac:dyDescent="0.25">
      <c r="A44" s="181" t="s">
        <v>75</v>
      </c>
      <c r="B44" s="185" t="s">
        <v>107</v>
      </c>
      <c r="C44" s="132"/>
      <c r="D44" s="206">
        <v>0</v>
      </c>
      <c r="E44" s="212"/>
      <c r="F44" s="206">
        <v>0</v>
      </c>
      <c r="G44" s="132"/>
      <c r="H44" s="206">
        <v>0</v>
      </c>
      <c r="I44" s="132"/>
      <c r="J44" s="206">
        <v>0</v>
      </c>
      <c r="K44" s="132"/>
      <c r="L44" s="206">
        <v>0</v>
      </c>
      <c r="M44" s="132"/>
      <c r="N44" s="206">
        <v>0</v>
      </c>
      <c r="O44" s="132"/>
      <c r="P44" s="206">
        <v>0</v>
      </c>
      <c r="Q44" s="132"/>
      <c r="R44" s="208">
        <v>0</v>
      </c>
      <c r="S44" s="155"/>
      <c r="T44" s="43">
        <v>0</v>
      </c>
    </row>
    <row r="45" spans="1:20" x14ac:dyDescent="0.25">
      <c r="A45" s="370" t="s">
        <v>32</v>
      </c>
      <c r="B45" s="370"/>
      <c r="C45" s="370"/>
      <c r="D45" s="202">
        <f>SUM(D41:D44)</f>
        <v>803.53690000000017</v>
      </c>
      <c r="E45" s="188"/>
      <c r="F45" s="202">
        <f>SUM(F41:F44)</f>
        <v>833.2413580000001</v>
      </c>
      <c r="G45" s="185"/>
      <c r="H45" s="202">
        <f>SUM(H41:H44)</f>
        <v>833.2413580000001</v>
      </c>
      <c r="I45" s="185"/>
      <c r="J45" s="202">
        <f>SUM(J41:J44)</f>
        <v>943.5756696000002</v>
      </c>
      <c r="K45" s="185"/>
      <c r="L45" s="202">
        <f>SUM(L41:L44)</f>
        <v>892.83334000000013</v>
      </c>
      <c r="M45" s="185"/>
      <c r="N45" s="202">
        <f>SUM(N41:N44)</f>
        <v>892.83334000000013</v>
      </c>
      <c r="O45" s="185"/>
      <c r="P45" s="202">
        <f>SUM(P41:P44)</f>
        <v>892.83334000000013</v>
      </c>
      <c r="Q45" s="185"/>
      <c r="R45" s="204">
        <f>SUM(R41:R44)</f>
        <v>890.01955600000019</v>
      </c>
      <c r="S45" s="10"/>
      <c r="T45" s="169">
        <f>SUM(T41:T44)</f>
        <v>911.85973899999999</v>
      </c>
    </row>
    <row r="46" spans="1:20" x14ac:dyDescent="0.25">
      <c r="A46" s="1"/>
      <c r="B46" s="1"/>
      <c r="C46" s="1"/>
      <c r="D46" s="1"/>
      <c r="E46" s="188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6"/>
      <c r="S46" s="10"/>
      <c r="T46" s="139"/>
    </row>
    <row r="47" spans="1:20" ht="15" customHeight="1" x14ac:dyDescent="0.25">
      <c r="A47" s="280" t="s">
        <v>108</v>
      </c>
      <c r="B47" s="280"/>
      <c r="C47" s="280"/>
      <c r="D47" s="280"/>
      <c r="E47" s="188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6"/>
      <c r="S47" s="10"/>
      <c r="T47" s="139"/>
    </row>
    <row r="48" spans="1:20" x14ac:dyDescent="0.25">
      <c r="A48" s="187">
        <v>2</v>
      </c>
      <c r="B48" s="370" t="s">
        <v>109</v>
      </c>
      <c r="C48" s="370"/>
      <c r="D48" s="187" t="s">
        <v>171</v>
      </c>
      <c r="E48" s="188"/>
      <c r="F48" s="187" t="s">
        <v>30</v>
      </c>
      <c r="G48" s="185"/>
      <c r="H48" s="187" t="s">
        <v>30</v>
      </c>
      <c r="I48" s="185"/>
      <c r="J48" s="187" t="s">
        <v>30</v>
      </c>
      <c r="K48" s="185"/>
      <c r="L48" s="187" t="s">
        <v>30</v>
      </c>
      <c r="M48" s="185"/>
      <c r="N48" s="187" t="s">
        <v>30</v>
      </c>
      <c r="O48" s="185"/>
      <c r="P48" s="187" t="s">
        <v>30</v>
      </c>
      <c r="Q48" s="185"/>
      <c r="R48" s="189" t="s">
        <v>30</v>
      </c>
      <c r="S48" s="10"/>
      <c r="T48" s="41" t="s">
        <v>30</v>
      </c>
    </row>
    <row r="49" spans="1:20" x14ac:dyDescent="0.25">
      <c r="A49" s="181" t="s">
        <v>83</v>
      </c>
      <c r="B49" s="368" t="s">
        <v>84</v>
      </c>
      <c r="C49" s="368"/>
      <c r="D49" s="206">
        <f>D25</f>
        <v>744.02539899999999</v>
      </c>
      <c r="E49" s="188"/>
      <c r="F49" s="206">
        <f>F25</f>
        <v>794.32198300000005</v>
      </c>
      <c r="G49" s="185"/>
      <c r="H49" s="206">
        <f>H25</f>
        <v>794.32198300000005</v>
      </c>
      <c r="I49" s="185"/>
      <c r="J49" s="206">
        <f>J25</f>
        <v>794.32198300000005</v>
      </c>
      <c r="K49" s="185"/>
      <c r="L49" s="206">
        <f>L25</f>
        <v>871.37094200000001</v>
      </c>
      <c r="M49" s="185"/>
      <c r="N49" s="206">
        <f>N25</f>
        <v>871.37094200000001</v>
      </c>
      <c r="O49" s="185"/>
      <c r="P49" s="206">
        <f>P25</f>
        <v>871.37094200000001</v>
      </c>
      <c r="Q49" s="185"/>
      <c r="R49" s="208">
        <f>R25</f>
        <v>890.67291300000011</v>
      </c>
      <c r="S49" s="10"/>
      <c r="T49" s="43">
        <f>T25</f>
        <v>927.90374300000008</v>
      </c>
    </row>
    <row r="50" spans="1:20" x14ac:dyDescent="0.25">
      <c r="A50" s="181" t="s">
        <v>89</v>
      </c>
      <c r="B50" s="366" t="s">
        <v>90</v>
      </c>
      <c r="C50" s="366"/>
      <c r="D50" s="206">
        <f>D37</f>
        <v>629.77483905200006</v>
      </c>
      <c r="E50" s="188"/>
      <c r="F50" s="206">
        <f>F37</f>
        <v>672.34801348400015</v>
      </c>
      <c r="G50" s="185"/>
      <c r="H50" s="206">
        <f>H37</f>
        <v>672.34801348400015</v>
      </c>
      <c r="I50" s="185"/>
      <c r="J50" s="206">
        <f>J37</f>
        <v>672.34801348400015</v>
      </c>
      <c r="K50" s="185"/>
      <c r="L50" s="206">
        <f>L37</f>
        <v>737.56553941600009</v>
      </c>
      <c r="M50" s="185"/>
      <c r="N50" s="206">
        <f>N37</f>
        <v>737.56553941600009</v>
      </c>
      <c r="O50" s="185"/>
      <c r="P50" s="206">
        <f>P37</f>
        <v>737.56553941600009</v>
      </c>
      <c r="Q50" s="185"/>
      <c r="R50" s="208">
        <f>R37</f>
        <v>753.90355112400016</v>
      </c>
      <c r="S50" s="10"/>
      <c r="T50" s="43">
        <f>T37</f>
        <v>785.41731396399996</v>
      </c>
    </row>
    <row r="51" spans="1:20" x14ac:dyDescent="0.25">
      <c r="A51" s="181" t="s">
        <v>102</v>
      </c>
      <c r="B51" s="366" t="s">
        <v>103</v>
      </c>
      <c r="C51" s="366"/>
      <c r="D51" s="206">
        <f>D45</f>
        <v>803.53690000000017</v>
      </c>
      <c r="E51" s="188"/>
      <c r="F51" s="206">
        <f>F45</f>
        <v>833.2413580000001</v>
      </c>
      <c r="G51" s="185"/>
      <c r="H51" s="206">
        <f>H45</f>
        <v>833.2413580000001</v>
      </c>
      <c r="I51" s="185"/>
      <c r="J51" s="206">
        <f>J45</f>
        <v>943.5756696000002</v>
      </c>
      <c r="K51" s="185"/>
      <c r="L51" s="206">
        <f>L45</f>
        <v>892.83334000000013</v>
      </c>
      <c r="M51" s="185"/>
      <c r="N51" s="206">
        <f>N45</f>
        <v>892.83334000000013</v>
      </c>
      <c r="O51" s="185"/>
      <c r="P51" s="206">
        <f>P45</f>
        <v>892.83334000000013</v>
      </c>
      <c r="Q51" s="185"/>
      <c r="R51" s="208">
        <f>R45</f>
        <v>890.01955600000019</v>
      </c>
      <c r="S51" s="10"/>
      <c r="T51" s="43">
        <f>T45</f>
        <v>911.85973899999999</v>
      </c>
    </row>
    <row r="52" spans="1:20" x14ac:dyDescent="0.25">
      <c r="A52" s="373" t="s">
        <v>32</v>
      </c>
      <c r="B52" s="376"/>
      <c r="C52" s="374"/>
      <c r="D52" s="202">
        <f>SUM(D49:D51)</f>
        <v>2177.3371380520002</v>
      </c>
      <c r="E52" s="188"/>
      <c r="F52" s="202">
        <f>SUM(F49:F51)</f>
        <v>2299.9113544840002</v>
      </c>
      <c r="G52" s="185"/>
      <c r="H52" s="202">
        <f>SUM(H49:H51)</f>
        <v>2299.9113544840002</v>
      </c>
      <c r="I52" s="185"/>
      <c r="J52" s="202">
        <f>SUM(J49:J51)</f>
        <v>2410.2456660840003</v>
      </c>
      <c r="K52" s="185"/>
      <c r="L52" s="202">
        <f>SUM(L49:L51)</f>
        <v>2501.769821416</v>
      </c>
      <c r="M52" s="185"/>
      <c r="N52" s="202">
        <f>SUM(N49:N51)</f>
        <v>2501.769821416</v>
      </c>
      <c r="O52" s="185"/>
      <c r="P52" s="202">
        <f>SUM(P49:P51)</f>
        <v>2501.769821416</v>
      </c>
      <c r="Q52" s="185"/>
      <c r="R52" s="204">
        <f>SUM(R49:R51)</f>
        <v>2534.5960201240005</v>
      </c>
      <c r="S52" s="10"/>
      <c r="T52" s="169">
        <f>SUM(T49:T51)</f>
        <v>2625.180795964</v>
      </c>
    </row>
    <row r="53" spans="1:20" x14ac:dyDescent="0.25">
      <c r="A53" s="1"/>
      <c r="B53" s="1"/>
      <c r="C53" s="1"/>
      <c r="D53" s="1"/>
      <c r="E53" s="188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6"/>
      <c r="S53" s="10"/>
      <c r="T53" s="139"/>
    </row>
    <row r="54" spans="1:20" ht="15" customHeight="1" x14ac:dyDescent="0.25">
      <c r="A54" s="280" t="s">
        <v>110</v>
      </c>
      <c r="B54" s="280"/>
      <c r="C54" s="280"/>
      <c r="D54" s="280"/>
      <c r="E54" s="188"/>
      <c r="F54" s="197"/>
      <c r="G54" s="185"/>
      <c r="H54" s="197"/>
      <c r="I54" s="185"/>
      <c r="J54" s="197"/>
      <c r="K54" s="185"/>
      <c r="L54" s="197"/>
      <c r="M54" s="185"/>
      <c r="N54" s="197"/>
      <c r="O54" s="185"/>
      <c r="P54" s="197"/>
      <c r="Q54" s="185"/>
      <c r="R54" s="216"/>
      <c r="S54" s="10"/>
      <c r="T54" s="141"/>
    </row>
    <row r="55" spans="1:20" x14ac:dyDescent="0.25">
      <c r="A55" s="187">
        <v>3</v>
      </c>
      <c r="B55" s="187" t="s">
        <v>111</v>
      </c>
      <c r="C55" s="187" t="s">
        <v>172</v>
      </c>
      <c r="D55" s="187" t="s">
        <v>171</v>
      </c>
      <c r="E55" s="196" t="s">
        <v>85</v>
      </c>
      <c r="F55" s="187" t="s">
        <v>30</v>
      </c>
      <c r="G55" s="187" t="s">
        <v>85</v>
      </c>
      <c r="H55" s="187" t="s">
        <v>30</v>
      </c>
      <c r="I55" s="187" t="s">
        <v>85</v>
      </c>
      <c r="J55" s="187" t="s">
        <v>30</v>
      </c>
      <c r="K55" s="187" t="s">
        <v>85</v>
      </c>
      <c r="L55" s="187" t="s">
        <v>30</v>
      </c>
      <c r="M55" s="187" t="s">
        <v>85</v>
      </c>
      <c r="N55" s="187" t="s">
        <v>30</v>
      </c>
      <c r="O55" s="187" t="s">
        <v>85</v>
      </c>
      <c r="P55" s="187" t="s">
        <v>30</v>
      </c>
      <c r="Q55" s="187" t="s">
        <v>85</v>
      </c>
      <c r="R55" s="189" t="s">
        <v>30</v>
      </c>
      <c r="S55" s="163" t="s">
        <v>85</v>
      </c>
      <c r="T55" s="41" t="s">
        <v>30</v>
      </c>
    </row>
    <row r="56" spans="1:20" x14ac:dyDescent="0.25">
      <c r="A56" s="181" t="s">
        <v>69</v>
      </c>
      <c r="B56" s="2" t="s">
        <v>112</v>
      </c>
      <c r="C56" s="217">
        <v>4.1999999999999997E-3</v>
      </c>
      <c r="D56" s="190">
        <f t="shared" ref="D56:D61" si="13">C56*($D$18+$D$25)</f>
        <v>17.871988675800001</v>
      </c>
      <c r="E56" s="218">
        <v>4.1999999999999997E-3</v>
      </c>
      <c r="F56" s="190">
        <f t="shared" ref="F56:F61" si="14">E56*(F$18+F$25)</f>
        <v>19.080146328600001</v>
      </c>
      <c r="G56" s="217">
        <v>4.1999999999999997E-3</v>
      </c>
      <c r="H56" s="190">
        <f t="shared" ref="H56:H61" si="15">G56*(H$18+H$25)</f>
        <v>19.080146328600001</v>
      </c>
      <c r="I56" s="217">
        <v>4.1999999999999997E-3</v>
      </c>
      <c r="J56" s="190">
        <f t="shared" ref="J56:J61" si="16">I56*(J$18+J$25)</f>
        <v>19.080146328600001</v>
      </c>
      <c r="K56" s="217">
        <v>4.1999999999999997E-3</v>
      </c>
      <c r="L56" s="190">
        <f t="shared" ref="L56:L61" si="17">K56*(L$18+L$25)</f>
        <v>20.930913956399998</v>
      </c>
      <c r="M56" s="219">
        <v>4.1999999999999997E-3</v>
      </c>
      <c r="N56" s="190">
        <f t="shared" ref="N56:N61" si="18">M56*(N$18+N$25)</f>
        <v>20.930913956399998</v>
      </c>
      <c r="O56" s="219">
        <v>4.1999999999999997E-3</v>
      </c>
      <c r="P56" s="190">
        <f t="shared" ref="P56:P61" si="19">O56*(P$18+P$25)</f>
        <v>20.930913956399998</v>
      </c>
      <c r="Q56" s="219">
        <v>4.1999999999999997E-3</v>
      </c>
      <c r="R56" s="220">
        <f t="shared" ref="R56:R61" si="20">Q56*(R$18+R$25)</f>
        <v>21.394560234600004</v>
      </c>
      <c r="S56" s="77">
        <v>4.1999999999999997E-3</v>
      </c>
      <c r="T56" s="176">
        <f t="shared" ref="T56:T61" si="21">S56*(T$18+T$25)</f>
        <v>22.288869720599997</v>
      </c>
    </row>
    <row r="57" spans="1:20" x14ac:dyDescent="0.25">
      <c r="A57" s="181" t="s">
        <v>71</v>
      </c>
      <c r="B57" s="2" t="s">
        <v>113</v>
      </c>
      <c r="C57" s="217">
        <v>2.9999999999999997E-4</v>
      </c>
      <c r="D57" s="190">
        <f t="shared" si="13"/>
        <v>1.2765706197</v>
      </c>
      <c r="E57" s="218">
        <v>2.9999999999999997E-4</v>
      </c>
      <c r="F57" s="190">
        <f t="shared" si="14"/>
        <v>1.3628675949</v>
      </c>
      <c r="G57" s="217">
        <v>2.9999999999999997E-4</v>
      </c>
      <c r="H57" s="190">
        <f t="shared" si="15"/>
        <v>1.3628675949</v>
      </c>
      <c r="I57" s="217">
        <v>2.9999999999999997E-4</v>
      </c>
      <c r="J57" s="190">
        <f t="shared" si="16"/>
        <v>1.3628675949</v>
      </c>
      <c r="K57" s="217">
        <v>2.9999999999999997E-4</v>
      </c>
      <c r="L57" s="190">
        <f t="shared" si="17"/>
        <v>1.4950652825999999</v>
      </c>
      <c r="M57" s="219">
        <v>2.9999999999999997E-4</v>
      </c>
      <c r="N57" s="190">
        <f t="shared" si="18"/>
        <v>1.4950652825999999</v>
      </c>
      <c r="O57" s="219">
        <v>2.9999999999999997E-4</v>
      </c>
      <c r="P57" s="190">
        <f t="shared" si="19"/>
        <v>1.4950652825999999</v>
      </c>
      <c r="Q57" s="219">
        <v>2.9999999999999997E-4</v>
      </c>
      <c r="R57" s="220">
        <f t="shared" si="20"/>
        <v>1.5281828739000001</v>
      </c>
      <c r="S57" s="77">
        <v>2.9999999999999997E-4</v>
      </c>
      <c r="T57" s="176">
        <f t="shared" si="21"/>
        <v>1.5920621228999998</v>
      </c>
    </row>
    <row r="58" spans="1:20" x14ac:dyDescent="0.25">
      <c r="A58" s="181" t="s">
        <v>73</v>
      </c>
      <c r="B58" s="2" t="s">
        <v>114</v>
      </c>
      <c r="C58" s="217">
        <f>(((0.42+(40%*0.42)))*8%*0.42%)</f>
        <v>1.9756799999999999E-4</v>
      </c>
      <c r="D58" s="190">
        <f t="shared" si="13"/>
        <v>0.840698347309632</v>
      </c>
      <c r="E58" s="218">
        <f>(((0.42+(40%*0.42)))*8%*0.42%)</f>
        <v>1.9756799999999999E-4</v>
      </c>
      <c r="F58" s="190">
        <f t="shared" si="14"/>
        <v>0.89753008329734407</v>
      </c>
      <c r="G58" s="217">
        <f>(((0.42+(40%*0.42)))*8%*0.42%)</f>
        <v>1.9756799999999999E-4</v>
      </c>
      <c r="H58" s="190">
        <f t="shared" si="15"/>
        <v>0.89753008329734407</v>
      </c>
      <c r="I58" s="217">
        <f>(((0.42+(40%*0.42)))*8%*0.42%)</f>
        <v>1.9756799999999999E-4</v>
      </c>
      <c r="J58" s="190">
        <f t="shared" si="16"/>
        <v>0.89753008329734407</v>
      </c>
      <c r="K58" s="217">
        <f>(((0.42+(40%*0.42)))*8%*0.42%)</f>
        <v>1.9756799999999999E-4</v>
      </c>
      <c r="L58" s="190">
        <f t="shared" si="17"/>
        <v>0.98459019250905588</v>
      </c>
      <c r="M58" s="219">
        <f>(((0.42+(40%*0.42)))*8%*0.42%)</f>
        <v>1.9756799999999999E-4</v>
      </c>
      <c r="N58" s="190">
        <f t="shared" si="18"/>
        <v>0.98459019250905588</v>
      </c>
      <c r="O58" s="219">
        <f>(((0.42+(40%*0.42)))*8%*0.42%)</f>
        <v>1.9756799999999999E-4</v>
      </c>
      <c r="P58" s="190">
        <f t="shared" si="19"/>
        <v>0.98459019250905588</v>
      </c>
      <c r="Q58" s="219">
        <f>(((0.42+(40%*0.42)))*8%*0.42%)</f>
        <v>1.9756799999999999E-4</v>
      </c>
      <c r="R58" s="220">
        <f t="shared" si="20"/>
        <v>1.006400113435584</v>
      </c>
      <c r="S58" s="77">
        <f>(((0.42+(40%*0.42)))*8%*0.42%)</f>
        <v>1.9756799999999999E-4</v>
      </c>
      <c r="T58" s="176">
        <f t="shared" si="21"/>
        <v>1.0484684316570239</v>
      </c>
    </row>
    <row r="59" spans="1:20" x14ac:dyDescent="0.25">
      <c r="A59" s="181" t="s">
        <v>75</v>
      </c>
      <c r="B59" s="2" t="s">
        <v>115</v>
      </c>
      <c r="C59" s="217">
        <v>1.9400000000000001E-2</v>
      </c>
      <c r="D59" s="190">
        <f t="shared" si="13"/>
        <v>82.551566740600009</v>
      </c>
      <c r="E59" s="218">
        <v>1.9400000000000001E-2</v>
      </c>
      <c r="F59" s="190">
        <f t="shared" si="14"/>
        <v>88.132104470200005</v>
      </c>
      <c r="G59" s="217">
        <v>1.9400000000000001E-2</v>
      </c>
      <c r="H59" s="190">
        <f t="shared" si="15"/>
        <v>88.132104470200005</v>
      </c>
      <c r="I59" s="217">
        <v>1.9400000000000001E-2</v>
      </c>
      <c r="J59" s="190">
        <f t="shared" si="16"/>
        <v>88.132104470200005</v>
      </c>
      <c r="K59" s="217">
        <v>1.9400000000000001E-2</v>
      </c>
      <c r="L59" s="190">
        <f t="shared" si="17"/>
        <v>96.680888274799997</v>
      </c>
      <c r="M59" s="219">
        <v>1.9400000000000001E-3</v>
      </c>
      <c r="N59" s="190">
        <f t="shared" si="18"/>
        <v>9.6680888274800001</v>
      </c>
      <c r="O59" s="219">
        <v>1.9400000000000001E-3</v>
      </c>
      <c r="P59" s="190">
        <f t="shared" si="19"/>
        <v>9.6680888274800001</v>
      </c>
      <c r="Q59" s="219">
        <v>1.9400000000000001E-3</v>
      </c>
      <c r="R59" s="220">
        <f t="shared" si="20"/>
        <v>9.8822492512200029</v>
      </c>
      <c r="S59" s="77">
        <v>1.9400000000000001E-3</v>
      </c>
      <c r="T59" s="176">
        <f t="shared" si="21"/>
        <v>10.295335061420001</v>
      </c>
    </row>
    <row r="60" spans="1:20" x14ac:dyDescent="0.25">
      <c r="A60" s="181" t="s">
        <v>77</v>
      </c>
      <c r="B60" s="2" t="s">
        <v>116</v>
      </c>
      <c r="C60" s="217">
        <f>C59*C37</f>
        <v>2.8712000000000004E-3</v>
      </c>
      <c r="D60" s="190">
        <f t="shared" si="13"/>
        <v>12.217631877608802</v>
      </c>
      <c r="E60" s="218">
        <f>E59*E37</f>
        <v>2.8712000000000004E-3</v>
      </c>
      <c r="F60" s="190">
        <f t="shared" si="14"/>
        <v>13.043551461589603</v>
      </c>
      <c r="G60" s="217">
        <f>G59*G37</f>
        <v>2.8712000000000004E-3</v>
      </c>
      <c r="H60" s="190">
        <f t="shared" si="15"/>
        <v>13.043551461589603</v>
      </c>
      <c r="I60" s="217">
        <f>I59*I37</f>
        <v>2.8712000000000004E-3</v>
      </c>
      <c r="J60" s="190">
        <f t="shared" si="16"/>
        <v>13.043551461589603</v>
      </c>
      <c r="K60" s="217">
        <f>K59*K37</f>
        <v>2.8712000000000004E-3</v>
      </c>
      <c r="L60" s="190">
        <f t="shared" si="17"/>
        <v>14.308771464670402</v>
      </c>
      <c r="M60" s="219">
        <f>M59*M37</f>
        <v>2.8712000000000003E-4</v>
      </c>
      <c r="N60" s="190">
        <f t="shared" si="18"/>
        <v>1.43087714646704</v>
      </c>
      <c r="O60" s="219">
        <f>O59*O37</f>
        <v>2.8712000000000003E-4</v>
      </c>
      <c r="P60" s="190">
        <f t="shared" si="19"/>
        <v>1.43087714646704</v>
      </c>
      <c r="Q60" s="219">
        <f>Q59*Q37</f>
        <v>2.8712000000000003E-4</v>
      </c>
      <c r="R60" s="220">
        <f t="shared" si="20"/>
        <v>1.4625728891805603</v>
      </c>
      <c r="S60" s="77">
        <f>S59*S37</f>
        <v>2.8712000000000003E-4</v>
      </c>
      <c r="T60" s="176">
        <f t="shared" si="21"/>
        <v>1.5237095890901602</v>
      </c>
    </row>
    <row r="61" spans="1:20" x14ac:dyDescent="0.25">
      <c r="A61" s="221" t="s">
        <v>79</v>
      </c>
      <c r="B61" s="222" t="s">
        <v>168</v>
      </c>
      <c r="C61" s="217">
        <v>3.49E-2</v>
      </c>
      <c r="D61" s="223">
        <f t="shared" si="13"/>
        <v>148.5077154251</v>
      </c>
      <c r="E61" s="218">
        <v>3.49E-2</v>
      </c>
      <c r="F61" s="223">
        <f t="shared" si="14"/>
        <v>158.54693020670001</v>
      </c>
      <c r="G61" s="217">
        <v>3.49E-2</v>
      </c>
      <c r="H61" s="223">
        <f t="shared" si="15"/>
        <v>158.54693020670001</v>
      </c>
      <c r="I61" s="217">
        <v>3.49E-2</v>
      </c>
      <c r="J61" s="223">
        <f t="shared" si="16"/>
        <v>158.54693020670001</v>
      </c>
      <c r="K61" s="217">
        <v>3.49E-2</v>
      </c>
      <c r="L61" s="223">
        <f t="shared" si="17"/>
        <v>173.9259278758</v>
      </c>
      <c r="M61" s="219">
        <v>3.49E-2</v>
      </c>
      <c r="N61" s="223">
        <f t="shared" si="18"/>
        <v>173.9259278758</v>
      </c>
      <c r="O61" s="219">
        <v>3.49E-2</v>
      </c>
      <c r="P61" s="223">
        <f t="shared" si="19"/>
        <v>173.9259278758</v>
      </c>
      <c r="Q61" s="219">
        <v>3.49E-2</v>
      </c>
      <c r="R61" s="224">
        <f t="shared" si="20"/>
        <v>177.77860766370003</v>
      </c>
      <c r="S61" s="77">
        <v>3.49E-2</v>
      </c>
      <c r="T61" s="177">
        <f t="shared" si="21"/>
        <v>185.20989363070001</v>
      </c>
    </row>
    <row r="62" spans="1:20" x14ac:dyDescent="0.25">
      <c r="A62" s="373" t="s">
        <v>32</v>
      </c>
      <c r="B62" s="374"/>
      <c r="C62" s="225">
        <f>SUM(C56:C61)</f>
        <v>6.1868768000000005E-2</v>
      </c>
      <c r="D62" s="202">
        <f>SUM(D56:D61)</f>
        <v>263.26617168611847</v>
      </c>
      <c r="E62" s="226">
        <f t="shared" ref="E62:R62" si="22">SUM(E56:E61)</f>
        <v>6.1868768000000005E-2</v>
      </c>
      <c r="F62" s="202">
        <f t="shared" si="22"/>
        <v>281.06313014528695</v>
      </c>
      <c r="G62" s="225">
        <f t="shared" si="22"/>
        <v>6.1868768000000005E-2</v>
      </c>
      <c r="H62" s="202">
        <f t="shared" si="22"/>
        <v>281.06313014528695</v>
      </c>
      <c r="I62" s="225">
        <f t="shared" si="22"/>
        <v>6.1868768000000005E-2</v>
      </c>
      <c r="J62" s="202">
        <f t="shared" si="22"/>
        <v>281.06313014528695</v>
      </c>
      <c r="K62" s="225">
        <f t="shared" si="22"/>
        <v>6.1868768000000005E-2</v>
      </c>
      <c r="L62" s="202">
        <f t="shared" si="22"/>
        <v>308.32615704677949</v>
      </c>
      <c r="M62" s="225">
        <f t="shared" si="22"/>
        <v>4.1824687999999999E-2</v>
      </c>
      <c r="N62" s="202">
        <f t="shared" si="22"/>
        <v>208.43546328125609</v>
      </c>
      <c r="O62" s="225">
        <f t="shared" si="22"/>
        <v>4.1824687999999999E-2</v>
      </c>
      <c r="P62" s="202">
        <f t="shared" si="22"/>
        <v>208.43546328125609</v>
      </c>
      <c r="Q62" s="225">
        <f t="shared" si="22"/>
        <v>4.1824687999999999E-2</v>
      </c>
      <c r="R62" s="204">
        <f t="shared" si="22"/>
        <v>213.05257302603619</v>
      </c>
      <c r="S62" s="25">
        <f t="shared" ref="S62:T62" si="23">SUM(S56:S61)</f>
        <v>4.1824687999999999E-2</v>
      </c>
      <c r="T62" s="169">
        <f t="shared" si="23"/>
        <v>221.95833855636721</v>
      </c>
    </row>
    <row r="63" spans="1:20" x14ac:dyDescent="0.25">
      <c r="A63" s="1"/>
      <c r="B63" s="1"/>
      <c r="C63" s="1"/>
      <c r="D63" s="1"/>
      <c r="E63" s="188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6"/>
      <c r="S63" s="10"/>
      <c r="T63" s="139"/>
    </row>
    <row r="64" spans="1:20" ht="15" customHeight="1" x14ac:dyDescent="0.25">
      <c r="A64" s="280" t="s">
        <v>118</v>
      </c>
      <c r="B64" s="280"/>
      <c r="C64" s="280"/>
      <c r="D64" s="280"/>
      <c r="E64" s="188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6"/>
      <c r="S64" s="10"/>
      <c r="T64" s="139"/>
    </row>
    <row r="65" spans="1:20" ht="30" customHeight="1" x14ac:dyDescent="0.25">
      <c r="A65" s="375" t="s">
        <v>119</v>
      </c>
      <c r="B65" s="375"/>
      <c r="C65" s="375"/>
      <c r="D65" s="375"/>
      <c r="E65" s="188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6"/>
      <c r="S65" s="10"/>
      <c r="T65" s="139"/>
    </row>
    <row r="66" spans="1:20" x14ac:dyDescent="0.25">
      <c r="A66" s="227"/>
      <c r="B66" s="227"/>
      <c r="C66" s="227"/>
      <c r="D66" s="227"/>
      <c r="E66" s="228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30"/>
      <c r="S66" s="166"/>
      <c r="T66" s="146"/>
    </row>
    <row r="67" spans="1:20" ht="15" customHeight="1" x14ac:dyDescent="0.25">
      <c r="A67" s="280" t="s">
        <v>120</v>
      </c>
      <c r="B67" s="280"/>
      <c r="C67" s="280"/>
      <c r="D67" s="280"/>
      <c r="E67" s="188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6"/>
      <c r="S67" s="10"/>
      <c r="T67" s="139"/>
    </row>
    <row r="68" spans="1:20" x14ac:dyDescent="0.25">
      <c r="A68" s="187" t="s">
        <v>121</v>
      </c>
      <c r="B68" s="187" t="s">
        <v>122</v>
      </c>
      <c r="C68" s="187" t="s">
        <v>172</v>
      </c>
      <c r="D68" s="187" t="s">
        <v>171</v>
      </c>
      <c r="E68" s="196" t="s">
        <v>85</v>
      </c>
      <c r="F68" s="187" t="s">
        <v>30</v>
      </c>
      <c r="G68" s="187" t="s">
        <v>85</v>
      </c>
      <c r="H68" s="187" t="s">
        <v>30</v>
      </c>
      <c r="I68" s="187" t="s">
        <v>85</v>
      </c>
      <c r="J68" s="187" t="s">
        <v>30</v>
      </c>
      <c r="K68" s="187" t="s">
        <v>85</v>
      </c>
      <c r="L68" s="187" t="s">
        <v>30</v>
      </c>
      <c r="M68" s="187" t="s">
        <v>85</v>
      </c>
      <c r="N68" s="187" t="s">
        <v>30</v>
      </c>
      <c r="O68" s="187" t="s">
        <v>85</v>
      </c>
      <c r="P68" s="187" t="s">
        <v>30</v>
      </c>
      <c r="Q68" s="187" t="s">
        <v>85</v>
      </c>
      <c r="R68" s="189" t="s">
        <v>30</v>
      </c>
      <c r="S68" s="163" t="s">
        <v>85</v>
      </c>
      <c r="T68" s="41" t="s">
        <v>30</v>
      </c>
    </row>
    <row r="69" spans="1:20" x14ac:dyDescent="0.25">
      <c r="A69" s="181" t="s">
        <v>69</v>
      </c>
      <c r="B69" s="2" t="s">
        <v>123</v>
      </c>
      <c r="C69" s="217">
        <v>6.8999999999999999E-3</v>
      </c>
      <c r="D69" s="206">
        <f t="shared" ref="D69:D74" si="24">C69*($D$18+$D$25)</f>
        <v>29.361124253100002</v>
      </c>
      <c r="E69" s="218">
        <v>6.8999999999999999E-3</v>
      </c>
      <c r="F69" s="206">
        <f t="shared" ref="F69:F74" si="25">E69*(F$18+F$25)</f>
        <v>31.345954682700004</v>
      </c>
      <c r="G69" s="217">
        <v>6.8999999999999999E-3</v>
      </c>
      <c r="H69" s="206">
        <f t="shared" ref="H69:H74" si="26">G69*(H$18+H$25)</f>
        <v>31.345954682700004</v>
      </c>
      <c r="I69" s="217">
        <v>6.8999999999999999E-3</v>
      </c>
      <c r="J69" s="206">
        <f t="shared" ref="J69:J74" si="27">I69*(J$18+J$25)</f>
        <v>31.345954682700004</v>
      </c>
      <c r="K69" s="217">
        <v>6.8999999999999999E-3</v>
      </c>
      <c r="L69" s="206">
        <f t="shared" ref="L69:L74" si="28">K69*(L$18+L$25)</f>
        <v>34.386501499799998</v>
      </c>
      <c r="M69" s="217">
        <v>6.8999999999999999E-3</v>
      </c>
      <c r="N69" s="206">
        <f t="shared" ref="N69:N74" si="29">M69*(N$18+N$25)</f>
        <v>34.386501499799998</v>
      </c>
      <c r="O69" s="217">
        <v>6.8999999999999999E-3</v>
      </c>
      <c r="P69" s="206">
        <f t="shared" ref="P69:P74" si="30">O69*(P$18+P$25)</f>
        <v>34.386501499799998</v>
      </c>
      <c r="Q69" s="217">
        <v>6.8999999999999999E-3</v>
      </c>
      <c r="R69" s="208">
        <f t="shared" ref="R69:R74" si="31">Q69*(R$18+R$25)</f>
        <v>35.148206099700005</v>
      </c>
      <c r="S69" s="17">
        <v>6.8999999999999999E-3</v>
      </c>
      <c r="T69" s="43">
        <f t="shared" ref="T69:T74" si="32">S69*(T$18+T$25)</f>
        <v>36.617428826699999</v>
      </c>
    </row>
    <row r="70" spans="1:20" x14ac:dyDescent="0.25">
      <c r="A70" s="181" t="s">
        <v>71</v>
      </c>
      <c r="B70" s="2" t="s">
        <v>124</v>
      </c>
      <c r="C70" s="217">
        <v>2.8E-3</v>
      </c>
      <c r="D70" s="206">
        <f t="shared" si="24"/>
        <v>11.914659117200001</v>
      </c>
      <c r="E70" s="218">
        <v>2.8E-3</v>
      </c>
      <c r="F70" s="206">
        <f t="shared" si="25"/>
        <v>12.7200975524</v>
      </c>
      <c r="G70" s="217">
        <v>2.8E-3</v>
      </c>
      <c r="H70" s="206">
        <f t="shared" si="26"/>
        <v>12.7200975524</v>
      </c>
      <c r="I70" s="217">
        <v>2.8E-3</v>
      </c>
      <c r="J70" s="206">
        <f t="shared" si="27"/>
        <v>12.7200975524</v>
      </c>
      <c r="K70" s="217">
        <v>2.8E-3</v>
      </c>
      <c r="L70" s="206">
        <f t="shared" si="28"/>
        <v>13.953942637599999</v>
      </c>
      <c r="M70" s="217">
        <v>2.8E-3</v>
      </c>
      <c r="N70" s="206">
        <f t="shared" si="29"/>
        <v>13.953942637599999</v>
      </c>
      <c r="O70" s="217">
        <v>2.8E-3</v>
      </c>
      <c r="P70" s="206">
        <f t="shared" si="30"/>
        <v>13.953942637599999</v>
      </c>
      <c r="Q70" s="217">
        <v>2.8E-3</v>
      </c>
      <c r="R70" s="208">
        <f t="shared" si="31"/>
        <v>14.263040156400002</v>
      </c>
      <c r="S70" s="17">
        <v>2.8E-3</v>
      </c>
      <c r="T70" s="43">
        <f t="shared" si="32"/>
        <v>14.8592464804</v>
      </c>
    </row>
    <row r="71" spans="1:20" x14ac:dyDescent="0.25">
      <c r="A71" s="181" t="s">
        <v>73</v>
      </c>
      <c r="B71" s="2" t="s">
        <v>125</v>
      </c>
      <c r="C71" s="217">
        <v>2.0000000000000001E-4</v>
      </c>
      <c r="D71" s="206">
        <f t="shared" si="24"/>
        <v>0.85104707980000005</v>
      </c>
      <c r="E71" s="218">
        <v>2.0000000000000001E-4</v>
      </c>
      <c r="F71" s="206">
        <f t="shared" si="25"/>
        <v>0.90857839660000017</v>
      </c>
      <c r="G71" s="217">
        <v>2.0000000000000001E-4</v>
      </c>
      <c r="H71" s="206">
        <f t="shared" si="26"/>
        <v>0.90857839660000017</v>
      </c>
      <c r="I71" s="217">
        <v>2.0000000000000001E-4</v>
      </c>
      <c r="J71" s="206">
        <f t="shared" si="27"/>
        <v>0.90857839660000017</v>
      </c>
      <c r="K71" s="217">
        <v>2.0000000000000001E-4</v>
      </c>
      <c r="L71" s="206">
        <f t="shared" si="28"/>
        <v>0.99671018840000003</v>
      </c>
      <c r="M71" s="217">
        <v>2.0000000000000001E-4</v>
      </c>
      <c r="N71" s="206">
        <f t="shared" si="29"/>
        <v>0.99671018840000003</v>
      </c>
      <c r="O71" s="217">
        <v>2.0000000000000001E-4</v>
      </c>
      <c r="P71" s="206">
        <f t="shared" si="30"/>
        <v>0.99671018840000003</v>
      </c>
      <c r="Q71" s="217">
        <v>2.0000000000000001E-4</v>
      </c>
      <c r="R71" s="208">
        <f t="shared" si="31"/>
        <v>1.0187885826000003</v>
      </c>
      <c r="S71" s="17">
        <v>2.0000000000000001E-4</v>
      </c>
      <c r="T71" s="43">
        <f t="shared" si="32"/>
        <v>1.0613747486</v>
      </c>
    </row>
    <row r="72" spans="1:20" x14ac:dyDescent="0.25">
      <c r="A72" s="181" t="s">
        <v>75</v>
      </c>
      <c r="B72" s="2" t="s">
        <v>126</v>
      </c>
      <c r="C72" s="217">
        <v>2.7000000000000001E-3</v>
      </c>
      <c r="D72" s="206">
        <f t="shared" si="24"/>
        <v>11.489135577300001</v>
      </c>
      <c r="E72" s="218">
        <v>2.7000000000000001E-3</v>
      </c>
      <c r="F72" s="206">
        <f t="shared" si="25"/>
        <v>12.265808354100002</v>
      </c>
      <c r="G72" s="217">
        <v>2.7000000000000001E-3</v>
      </c>
      <c r="H72" s="206">
        <f t="shared" si="26"/>
        <v>12.265808354100002</v>
      </c>
      <c r="I72" s="217">
        <v>2.7000000000000001E-3</v>
      </c>
      <c r="J72" s="206">
        <f t="shared" si="27"/>
        <v>12.265808354100002</v>
      </c>
      <c r="K72" s="217">
        <v>2.7000000000000001E-3</v>
      </c>
      <c r="L72" s="206">
        <f t="shared" si="28"/>
        <v>13.4555875434</v>
      </c>
      <c r="M72" s="217">
        <v>2.7000000000000001E-3</v>
      </c>
      <c r="N72" s="206">
        <f t="shared" si="29"/>
        <v>13.4555875434</v>
      </c>
      <c r="O72" s="217">
        <v>2.7000000000000001E-3</v>
      </c>
      <c r="P72" s="206">
        <f t="shared" si="30"/>
        <v>13.4555875434</v>
      </c>
      <c r="Q72" s="217">
        <v>2.7000000000000001E-3</v>
      </c>
      <c r="R72" s="208">
        <f t="shared" si="31"/>
        <v>13.753645865100003</v>
      </c>
      <c r="S72" s="17">
        <v>2.7000000000000001E-3</v>
      </c>
      <c r="T72" s="43">
        <f t="shared" si="32"/>
        <v>14.3285591061</v>
      </c>
    </row>
    <row r="73" spans="1:20" x14ac:dyDescent="0.25">
      <c r="A73" s="181" t="s">
        <v>77</v>
      </c>
      <c r="B73" s="2" t="s">
        <v>127</v>
      </c>
      <c r="C73" s="217">
        <v>2.9999999999999997E-4</v>
      </c>
      <c r="D73" s="206">
        <f t="shared" si="24"/>
        <v>1.2765706197</v>
      </c>
      <c r="E73" s="218">
        <v>2.9999999999999997E-4</v>
      </c>
      <c r="F73" s="206">
        <f t="shared" si="25"/>
        <v>1.3628675949</v>
      </c>
      <c r="G73" s="217">
        <v>2.9999999999999997E-4</v>
      </c>
      <c r="H73" s="206">
        <f t="shared" si="26"/>
        <v>1.3628675949</v>
      </c>
      <c r="I73" s="217">
        <v>2.9999999999999997E-4</v>
      </c>
      <c r="J73" s="206">
        <f t="shared" si="27"/>
        <v>1.3628675949</v>
      </c>
      <c r="K73" s="217">
        <v>2.9999999999999997E-4</v>
      </c>
      <c r="L73" s="206">
        <f t="shared" si="28"/>
        <v>1.4950652825999999</v>
      </c>
      <c r="M73" s="217">
        <v>2.9999999999999997E-4</v>
      </c>
      <c r="N73" s="206">
        <f t="shared" si="29"/>
        <v>1.4950652825999999</v>
      </c>
      <c r="O73" s="217">
        <v>2.9999999999999997E-4</v>
      </c>
      <c r="P73" s="206">
        <f t="shared" si="30"/>
        <v>1.4950652825999999</v>
      </c>
      <c r="Q73" s="217">
        <v>2.9999999999999997E-4</v>
      </c>
      <c r="R73" s="208">
        <f t="shared" si="31"/>
        <v>1.5281828739000001</v>
      </c>
      <c r="S73" s="17">
        <v>2.9999999999999997E-4</v>
      </c>
      <c r="T73" s="43">
        <f t="shared" si="32"/>
        <v>1.5920621228999998</v>
      </c>
    </row>
    <row r="74" spans="1:20" x14ac:dyDescent="0.25">
      <c r="A74" s="181" t="s">
        <v>79</v>
      </c>
      <c r="B74" s="2" t="s">
        <v>128</v>
      </c>
      <c r="C74" s="217">
        <v>0</v>
      </c>
      <c r="D74" s="206">
        <f t="shared" si="24"/>
        <v>0</v>
      </c>
      <c r="E74" s="218">
        <v>0</v>
      </c>
      <c r="F74" s="206">
        <f t="shared" si="25"/>
        <v>0</v>
      </c>
      <c r="G74" s="217">
        <v>0</v>
      </c>
      <c r="H74" s="206">
        <f t="shared" si="26"/>
        <v>0</v>
      </c>
      <c r="I74" s="217">
        <v>0</v>
      </c>
      <c r="J74" s="206">
        <f t="shared" si="27"/>
        <v>0</v>
      </c>
      <c r="K74" s="217">
        <v>0</v>
      </c>
      <c r="L74" s="206">
        <f t="shared" si="28"/>
        <v>0</v>
      </c>
      <c r="M74" s="217">
        <v>0</v>
      </c>
      <c r="N74" s="206">
        <f t="shared" si="29"/>
        <v>0</v>
      </c>
      <c r="O74" s="217">
        <v>0</v>
      </c>
      <c r="P74" s="206">
        <f t="shared" si="30"/>
        <v>0</v>
      </c>
      <c r="Q74" s="217">
        <v>0</v>
      </c>
      <c r="R74" s="208">
        <f t="shared" si="31"/>
        <v>0</v>
      </c>
      <c r="S74" s="17">
        <v>0</v>
      </c>
      <c r="T74" s="43">
        <f t="shared" si="32"/>
        <v>0</v>
      </c>
    </row>
    <row r="75" spans="1:20" x14ac:dyDescent="0.25">
      <c r="A75" s="373" t="s">
        <v>32</v>
      </c>
      <c r="B75" s="374"/>
      <c r="C75" s="225">
        <f>SUM(C69:C74)</f>
        <v>1.29E-2</v>
      </c>
      <c r="D75" s="202">
        <f>SUM(D69:D74)</f>
        <v>54.892536647100009</v>
      </c>
      <c r="E75" s="226">
        <f t="shared" ref="E75:R75" si="33">SUM(E69:E74)</f>
        <v>1.29E-2</v>
      </c>
      <c r="F75" s="202">
        <f t="shared" si="33"/>
        <v>58.603306580700007</v>
      </c>
      <c r="G75" s="225">
        <f t="shared" si="33"/>
        <v>1.29E-2</v>
      </c>
      <c r="H75" s="202">
        <f t="shared" si="33"/>
        <v>58.603306580700007</v>
      </c>
      <c r="I75" s="225">
        <f t="shared" si="33"/>
        <v>1.29E-2</v>
      </c>
      <c r="J75" s="202">
        <f t="shared" si="33"/>
        <v>58.603306580700007</v>
      </c>
      <c r="K75" s="225">
        <f t="shared" si="33"/>
        <v>1.29E-2</v>
      </c>
      <c r="L75" s="202">
        <f t="shared" si="33"/>
        <v>64.287807151799996</v>
      </c>
      <c r="M75" s="225">
        <f t="shared" si="33"/>
        <v>1.29E-2</v>
      </c>
      <c r="N75" s="202">
        <f t="shared" si="33"/>
        <v>64.287807151799996</v>
      </c>
      <c r="O75" s="225">
        <f t="shared" si="33"/>
        <v>1.29E-2</v>
      </c>
      <c r="P75" s="202">
        <f t="shared" si="33"/>
        <v>64.287807151799996</v>
      </c>
      <c r="Q75" s="225">
        <f t="shared" si="33"/>
        <v>1.29E-2</v>
      </c>
      <c r="R75" s="204">
        <f t="shared" si="33"/>
        <v>65.711863577700001</v>
      </c>
      <c r="S75" s="25">
        <f t="shared" ref="S75:T75" si="34">SUM(S69:S74)</f>
        <v>1.29E-2</v>
      </c>
      <c r="T75" s="169">
        <f t="shared" si="34"/>
        <v>68.458671284700003</v>
      </c>
    </row>
    <row r="76" spans="1:20" x14ac:dyDescent="0.25">
      <c r="A76" s="1"/>
      <c r="B76" s="1"/>
      <c r="C76" s="1"/>
      <c r="D76" s="1"/>
      <c r="E76" s="188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6"/>
      <c r="S76" s="10"/>
      <c r="T76" s="139"/>
    </row>
    <row r="77" spans="1:20" x14ac:dyDescent="0.25">
      <c r="A77" s="370" t="s">
        <v>129</v>
      </c>
      <c r="B77" s="370"/>
      <c r="C77" s="370"/>
      <c r="D77" s="370"/>
      <c r="E77" s="188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6"/>
      <c r="S77" s="10"/>
      <c r="T77" s="139"/>
    </row>
    <row r="78" spans="1:20" x14ac:dyDescent="0.25">
      <c r="A78" s="187" t="s">
        <v>130</v>
      </c>
      <c r="B78" s="187" t="s">
        <v>131</v>
      </c>
      <c r="C78" s="187" t="s">
        <v>171</v>
      </c>
      <c r="D78" s="187"/>
      <c r="E78" s="231"/>
      <c r="F78" s="187" t="s">
        <v>30</v>
      </c>
      <c r="G78" s="232"/>
      <c r="H78" s="187" t="s">
        <v>30</v>
      </c>
      <c r="I78" s="232"/>
      <c r="J78" s="187" t="s">
        <v>30</v>
      </c>
      <c r="K78" s="232"/>
      <c r="L78" s="187" t="s">
        <v>30</v>
      </c>
      <c r="M78" s="232"/>
      <c r="N78" s="187" t="s">
        <v>30</v>
      </c>
      <c r="O78" s="232"/>
      <c r="P78" s="187" t="s">
        <v>30</v>
      </c>
      <c r="Q78" s="232"/>
      <c r="R78" s="189" t="s">
        <v>30</v>
      </c>
      <c r="S78" s="147"/>
      <c r="T78" s="41" t="s">
        <v>30</v>
      </c>
    </row>
    <row r="79" spans="1:20" x14ac:dyDescent="0.25">
      <c r="A79" s="181" t="s">
        <v>69</v>
      </c>
      <c r="B79" s="2" t="s">
        <v>132</v>
      </c>
      <c r="C79" s="233"/>
      <c r="D79" s="233"/>
      <c r="E79" s="234"/>
      <c r="F79" s="185"/>
      <c r="G79" s="233"/>
      <c r="H79" s="185"/>
      <c r="I79" s="233"/>
      <c r="J79" s="185"/>
      <c r="K79" s="233"/>
      <c r="L79" s="185"/>
      <c r="M79" s="233"/>
      <c r="N79" s="185"/>
      <c r="O79" s="233"/>
      <c r="P79" s="185"/>
      <c r="Q79" s="233"/>
      <c r="R79" s="186"/>
      <c r="S79" s="14"/>
      <c r="T79" s="139"/>
    </row>
    <row r="80" spans="1:20" x14ac:dyDescent="0.25">
      <c r="A80" s="390" t="s">
        <v>32</v>
      </c>
      <c r="B80" s="391"/>
      <c r="C80" s="233">
        <f>SUM(C79)</f>
        <v>0</v>
      </c>
      <c r="D80" s="233"/>
      <c r="E80" s="188"/>
      <c r="F80" s="233">
        <f>SUM(E79)</f>
        <v>0</v>
      </c>
      <c r="G80" s="185"/>
      <c r="H80" s="233">
        <f>SUM(G79)</f>
        <v>0</v>
      </c>
      <c r="I80" s="185"/>
      <c r="J80" s="233">
        <f>SUM(I79)</f>
        <v>0</v>
      </c>
      <c r="K80" s="185"/>
      <c r="L80" s="233">
        <f>SUM(K79)</f>
        <v>0</v>
      </c>
      <c r="M80" s="185"/>
      <c r="N80" s="233">
        <f>SUM(M79)</f>
        <v>0</v>
      </c>
      <c r="O80" s="185"/>
      <c r="P80" s="233">
        <f>SUM(O79)</f>
        <v>0</v>
      </c>
      <c r="Q80" s="185"/>
      <c r="R80" s="235">
        <f>SUM(Q79)</f>
        <v>0</v>
      </c>
      <c r="S80" s="10"/>
      <c r="T80" s="45">
        <f>SUM(S79)</f>
        <v>0</v>
      </c>
    </row>
    <row r="81" spans="1:20" x14ac:dyDescent="0.25">
      <c r="A81" s="1"/>
      <c r="B81" s="1"/>
      <c r="C81" s="1"/>
      <c r="D81" s="1"/>
      <c r="E81" s="188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6"/>
      <c r="S81" s="10"/>
      <c r="T81" s="139"/>
    </row>
    <row r="82" spans="1:20" ht="15" customHeight="1" x14ac:dyDescent="0.25">
      <c r="A82" s="280" t="s">
        <v>133</v>
      </c>
      <c r="B82" s="280"/>
      <c r="C82" s="280"/>
      <c r="D82" s="280"/>
      <c r="E82" s="188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6"/>
      <c r="S82" s="10"/>
      <c r="T82" s="139"/>
    </row>
    <row r="83" spans="1:20" x14ac:dyDescent="0.25">
      <c r="A83" s="187">
        <v>4</v>
      </c>
      <c r="B83" s="370" t="s">
        <v>134</v>
      </c>
      <c r="C83" s="370"/>
      <c r="D83" s="187" t="s">
        <v>171</v>
      </c>
      <c r="E83" s="188"/>
      <c r="F83" s="187" t="s">
        <v>30</v>
      </c>
      <c r="G83" s="185"/>
      <c r="H83" s="187" t="s">
        <v>30</v>
      </c>
      <c r="I83" s="185"/>
      <c r="J83" s="187" t="s">
        <v>30</v>
      </c>
      <c r="K83" s="185"/>
      <c r="L83" s="187" t="s">
        <v>30</v>
      </c>
      <c r="M83" s="185"/>
      <c r="N83" s="187" t="s">
        <v>30</v>
      </c>
      <c r="O83" s="185"/>
      <c r="P83" s="187" t="s">
        <v>30</v>
      </c>
      <c r="Q83" s="185"/>
      <c r="R83" s="189" t="s">
        <v>30</v>
      </c>
      <c r="S83" s="10"/>
      <c r="T83" s="41" t="s">
        <v>30</v>
      </c>
    </row>
    <row r="84" spans="1:20" x14ac:dyDescent="0.25">
      <c r="A84" s="181" t="s">
        <v>121</v>
      </c>
      <c r="B84" s="366" t="s">
        <v>122</v>
      </c>
      <c r="C84" s="366"/>
      <c r="D84" s="206">
        <f>D75</f>
        <v>54.892536647100009</v>
      </c>
      <c r="E84" s="188"/>
      <c r="F84" s="206">
        <f>F75</f>
        <v>58.603306580700007</v>
      </c>
      <c r="G84" s="185"/>
      <c r="H84" s="206">
        <f>H75</f>
        <v>58.603306580700007</v>
      </c>
      <c r="I84" s="185"/>
      <c r="J84" s="206">
        <f>J75</f>
        <v>58.603306580700007</v>
      </c>
      <c r="K84" s="185"/>
      <c r="L84" s="206">
        <f>L75</f>
        <v>64.287807151799996</v>
      </c>
      <c r="M84" s="185"/>
      <c r="N84" s="206">
        <f>N75</f>
        <v>64.287807151799996</v>
      </c>
      <c r="O84" s="185"/>
      <c r="P84" s="206">
        <f>P75</f>
        <v>64.287807151799996</v>
      </c>
      <c r="Q84" s="185"/>
      <c r="R84" s="208">
        <f>R75</f>
        <v>65.711863577700001</v>
      </c>
      <c r="S84" s="10"/>
      <c r="T84" s="43">
        <f>T75</f>
        <v>68.458671284700003</v>
      </c>
    </row>
    <row r="85" spans="1:20" x14ac:dyDescent="0.25">
      <c r="A85" s="181" t="s">
        <v>130</v>
      </c>
      <c r="B85" s="185" t="s">
        <v>135</v>
      </c>
      <c r="C85" s="185"/>
      <c r="D85" s="198">
        <f>C80</f>
        <v>0</v>
      </c>
      <c r="E85" s="188"/>
      <c r="F85" s="198">
        <f>F80</f>
        <v>0</v>
      </c>
      <c r="G85" s="185"/>
      <c r="H85" s="198">
        <f>H80</f>
        <v>0</v>
      </c>
      <c r="I85" s="185"/>
      <c r="J85" s="198">
        <f>J80</f>
        <v>0</v>
      </c>
      <c r="K85" s="185"/>
      <c r="L85" s="198">
        <f>L80</f>
        <v>0</v>
      </c>
      <c r="M85" s="185"/>
      <c r="N85" s="198">
        <f>N80</f>
        <v>0</v>
      </c>
      <c r="O85" s="185"/>
      <c r="P85" s="198">
        <f>P80</f>
        <v>0</v>
      </c>
      <c r="Q85" s="185"/>
      <c r="R85" s="200">
        <f>R80</f>
        <v>0</v>
      </c>
      <c r="S85" s="10"/>
      <c r="T85" s="42">
        <f>T80</f>
        <v>0</v>
      </c>
    </row>
    <row r="86" spans="1:20" x14ac:dyDescent="0.25">
      <c r="A86" s="370" t="s">
        <v>32</v>
      </c>
      <c r="B86" s="370"/>
      <c r="C86" s="370"/>
      <c r="D86" s="202">
        <f>SUM(D84:D85)</f>
        <v>54.892536647100009</v>
      </c>
      <c r="E86" s="188"/>
      <c r="F86" s="202">
        <f>SUM(F84:F85)</f>
        <v>58.603306580700007</v>
      </c>
      <c r="G86" s="185"/>
      <c r="H86" s="202">
        <f>SUM(H84:H85)</f>
        <v>58.603306580700007</v>
      </c>
      <c r="I86" s="185"/>
      <c r="J86" s="202">
        <f>SUM(J84:J85)</f>
        <v>58.603306580700007</v>
      </c>
      <c r="K86" s="185"/>
      <c r="L86" s="202">
        <f>SUM(L84:L85)</f>
        <v>64.287807151799996</v>
      </c>
      <c r="M86" s="185"/>
      <c r="N86" s="202">
        <f>SUM(N84:N85)</f>
        <v>64.287807151799996</v>
      </c>
      <c r="O86" s="185"/>
      <c r="P86" s="202">
        <f>SUM(P84:P85)</f>
        <v>64.287807151799996</v>
      </c>
      <c r="Q86" s="185"/>
      <c r="R86" s="204">
        <f>SUM(R84:R85)</f>
        <v>65.711863577700001</v>
      </c>
      <c r="S86" s="10"/>
      <c r="T86" s="169">
        <f>SUM(T84:T85)</f>
        <v>68.458671284700003</v>
      </c>
    </row>
    <row r="87" spans="1:20" x14ac:dyDescent="0.25">
      <c r="A87" s="1"/>
      <c r="B87" s="1"/>
      <c r="C87" s="1"/>
      <c r="D87" s="1"/>
      <c r="E87" s="188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6"/>
      <c r="S87" s="10"/>
      <c r="T87" s="139"/>
    </row>
    <row r="88" spans="1:20" ht="15" customHeight="1" x14ac:dyDescent="0.25">
      <c r="A88" s="280" t="s">
        <v>136</v>
      </c>
      <c r="B88" s="280"/>
      <c r="C88" s="280"/>
      <c r="D88" s="280"/>
      <c r="E88" s="188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6"/>
      <c r="S88" s="10"/>
      <c r="T88" s="139"/>
    </row>
    <row r="89" spans="1:20" x14ac:dyDescent="0.25">
      <c r="A89" s="187">
        <v>5</v>
      </c>
      <c r="B89" s="370" t="s">
        <v>137</v>
      </c>
      <c r="C89" s="370"/>
      <c r="D89" s="187" t="s">
        <v>171</v>
      </c>
      <c r="E89" s="188"/>
      <c r="F89" s="187" t="s">
        <v>30</v>
      </c>
      <c r="G89" s="185"/>
      <c r="H89" s="187" t="s">
        <v>30</v>
      </c>
      <c r="I89" s="185"/>
      <c r="J89" s="187" t="s">
        <v>30</v>
      </c>
      <c r="K89" s="185"/>
      <c r="L89" s="187" t="s">
        <v>30</v>
      </c>
      <c r="M89" s="185"/>
      <c r="N89" s="187" t="s">
        <v>30</v>
      </c>
      <c r="O89" s="185"/>
      <c r="P89" s="187" t="s">
        <v>30</v>
      </c>
      <c r="Q89" s="185"/>
      <c r="R89" s="187" t="s">
        <v>30</v>
      </c>
      <c r="S89" s="10"/>
      <c r="T89" s="163" t="s">
        <v>30</v>
      </c>
    </row>
    <row r="90" spans="1:20" x14ac:dyDescent="0.25">
      <c r="A90" s="181" t="s">
        <v>69</v>
      </c>
      <c r="B90" s="366" t="s">
        <v>138</v>
      </c>
      <c r="C90" s="366"/>
      <c r="D90" s="198">
        <f>Uniforme!$G$14</f>
        <v>35.783999999999999</v>
      </c>
      <c r="E90" s="188"/>
      <c r="F90" s="198">
        <f>Uniforme!$G$14</f>
        <v>35.783999999999999</v>
      </c>
      <c r="G90" s="185"/>
      <c r="H90" s="198">
        <f>Uniforme!$G$14</f>
        <v>35.783999999999999</v>
      </c>
      <c r="I90" s="185"/>
      <c r="J90" s="198">
        <f>Uniforme!$G$14</f>
        <v>35.783999999999999</v>
      </c>
      <c r="K90" s="185"/>
      <c r="L90" s="198">
        <f>Uniforme!$G$14</f>
        <v>35.783999999999999</v>
      </c>
      <c r="M90" s="185"/>
      <c r="N90" s="198">
        <f>Uniforme!$G$29</f>
        <v>37.951659999999997</v>
      </c>
      <c r="O90" s="185"/>
      <c r="P90" s="198">
        <f>Uniforme!$G$29</f>
        <v>37.951659999999997</v>
      </c>
      <c r="Q90" s="185"/>
      <c r="R90" s="198">
        <f>Uniforme!$G$29</f>
        <v>37.951659999999997</v>
      </c>
      <c r="S90" s="10"/>
      <c r="T90" s="12">
        <f>Uniforme!$G$29</f>
        <v>37.951659999999997</v>
      </c>
    </row>
    <row r="91" spans="1:20" x14ac:dyDescent="0.25">
      <c r="A91" s="181" t="s">
        <v>71</v>
      </c>
      <c r="B91" s="366" t="s">
        <v>139</v>
      </c>
      <c r="C91" s="366"/>
      <c r="D91" s="211">
        <v>0</v>
      </c>
      <c r="E91" s="188"/>
      <c r="F91" s="211">
        <v>0</v>
      </c>
      <c r="G91" s="185"/>
      <c r="H91" s="211">
        <v>0</v>
      </c>
      <c r="I91" s="185"/>
      <c r="J91" s="211">
        <v>0</v>
      </c>
      <c r="K91" s="185"/>
      <c r="L91" s="211">
        <v>0</v>
      </c>
      <c r="M91" s="185"/>
      <c r="N91" s="211">
        <v>0</v>
      </c>
      <c r="O91" s="185"/>
      <c r="P91" s="211">
        <v>0</v>
      </c>
      <c r="Q91" s="185"/>
      <c r="R91" s="211">
        <v>0</v>
      </c>
      <c r="S91" s="10"/>
      <c r="T91" s="22">
        <v>0</v>
      </c>
    </row>
    <row r="92" spans="1:20" x14ac:dyDescent="0.25">
      <c r="A92" s="181" t="s">
        <v>73</v>
      </c>
      <c r="B92" s="366" t="s">
        <v>140</v>
      </c>
      <c r="C92" s="366"/>
      <c r="D92" s="211">
        <v>0</v>
      </c>
      <c r="E92" s="188"/>
      <c r="F92" s="211">
        <v>0</v>
      </c>
      <c r="G92" s="185"/>
      <c r="H92" s="211">
        <v>0</v>
      </c>
      <c r="I92" s="185"/>
      <c r="J92" s="211">
        <v>0</v>
      </c>
      <c r="K92" s="185"/>
      <c r="L92" s="211">
        <v>0</v>
      </c>
      <c r="M92" s="185"/>
      <c r="N92" s="211">
        <v>0</v>
      </c>
      <c r="O92" s="185"/>
      <c r="P92" s="211">
        <v>0</v>
      </c>
      <c r="Q92" s="185"/>
      <c r="R92" s="211">
        <v>0</v>
      </c>
      <c r="S92" s="10"/>
      <c r="T92" s="22">
        <v>0</v>
      </c>
    </row>
    <row r="93" spans="1:20" x14ac:dyDescent="0.25">
      <c r="A93" s="181" t="s">
        <v>75</v>
      </c>
      <c r="B93" s="366" t="s">
        <v>80</v>
      </c>
      <c r="C93" s="366"/>
      <c r="D93" s="211">
        <v>0</v>
      </c>
      <c r="E93" s="188"/>
      <c r="F93" s="211">
        <v>0</v>
      </c>
      <c r="G93" s="185"/>
      <c r="H93" s="211">
        <v>0</v>
      </c>
      <c r="I93" s="185"/>
      <c r="J93" s="211">
        <v>0</v>
      </c>
      <c r="K93" s="185"/>
      <c r="L93" s="211">
        <v>0</v>
      </c>
      <c r="M93" s="185"/>
      <c r="N93" s="211">
        <v>0</v>
      </c>
      <c r="O93" s="185"/>
      <c r="P93" s="211">
        <v>0</v>
      </c>
      <c r="Q93" s="185"/>
      <c r="R93" s="211">
        <v>0</v>
      </c>
      <c r="S93" s="10"/>
      <c r="T93" s="22">
        <v>0</v>
      </c>
    </row>
    <row r="94" spans="1:20" x14ac:dyDescent="0.25">
      <c r="A94" s="370" t="s">
        <v>32</v>
      </c>
      <c r="B94" s="370"/>
      <c r="C94" s="370"/>
      <c r="D94" s="236">
        <f>SUM(D90:D93)</f>
        <v>35.783999999999999</v>
      </c>
      <c r="E94" s="188"/>
      <c r="F94" s="237">
        <f>SUM(F90:F93)</f>
        <v>35.783999999999999</v>
      </c>
      <c r="G94" s="185"/>
      <c r="H94" s="237">
        <f>SUM(H90:H93)</f>
        <v>35.783999999999999</v>
      </c>
      <c r="I94" s="185"/>
      <c r="J94" s="237">
        <f>SUM(J90:J93)</f>
        <v>35.783999999999999</v>
      </c>
      <c r="K94" s="185"/>
      <c r="L94" s="237">
        <f>SUM(L90:L93)</f>
        <v>35.783999999999999</v>
      </c>
      <c r="M94" s="185"/>
      <c r="N94" s="237">
        <f>SUM(N90:N93)</f>
        <v>37.951659999999997</v>
      </c>
      <c r="O94" s="185"/>
      <c r="P94" s="237">
        <f>SUM(P90:P93)</f>
        <v>37.951659999999997</v>
      </c>
      <c r="Q94" s="185"/>
      <c r="R94" s="237">
        <f>SUM(R90:R93)</f>
        <v>37.951659999999997</v>
      </c>
      <c r="S94" s="10"/>
      <c r="T94" s="60">
        <f>SUM(T90:T93)</f>
        <v>37.951659999999997</v>
      </c>
    </row>
    <row r="95" spans="1:20" x14ac:dyDescent="0.25">
      <c r="A95" s="1"/>
      <c r="B95" s="1"/>
      <c r="C95" s="1"/>
      <c r="D95" s="1"/>
      <c r="E95" s="188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6"/>
      <c r="S95" s="10"/>
      <c r="T95" s="139"/>
    </row>
    <row r="96" spans="1:20" ht="15" customHeight="1" x14ac:dyDescent="0.25">
      <c r="A96" s="280" t="s">
        <v>141</v>
      </c>
      <c r="B96" s="280"/>
      <c r="C96" s="280"/>
      <c r="D96" s="280"/>
      <c r="E96" s="188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6"/>
      <c r="S96" s="10"/>
      <c r="T96" s="139"/>
    </row>
    <row r="97" spans="1:20" ht="15" customHeight="1" x14ac:dyDescent="0.25">
      <c r="A97" s="389" t="s">
        <v>142</v>
      </c>
      <c r="B97" s="389"/>
      <c r="C97" s="280" t="s">
        <v>143</v>
      </c>
      <c r="D97" s="280"/>
      <c r="E97" s="279" t="s">
        <v>143</v>
      </c>
      <c r="F97" s="280"/>
      <c r="G97" s="409" t="s">
        <v>143</v>
      </c>
      <c r="H97" s="410"/>
      <c r="I97" s="280" t="s">
        <v>143</v>
      </c>
      <c r="J97" s="280"/>
      <c r="K97" s="280" t="s">
        <v>143</v>
      </c>
      <c r="L97" s="280"/>
      <c r="M97" s="280" t="s">
        <v>143</v>
      </c>
      <c r="N97" s="280"/>
      <c r="O97" s="280" t="s">
        <v>143</v>
      </c>
      <c r="P97" s="280"/>
      <c r="Q97" s="280" t="s">
        <v>143</v>
      </c>
      <c r="R97" s="416"/>
      <c r="S97" s="276" t="s">
        <v>143</v>
      </c>
      <c r="T97" s="338"/>
    </row>
    <row r="98" spans="1:20" x14ac:dyDescent="0.25">
      <c r="A98" s="187">
        <v>6</v>
      </c>
      <c r="B98" s="187" t="s">
        <v>144</v>
      </c>
      <c r="C98" s="187" t="s">
        <v>172</v>
      </c>
      <c r="D98" s="187" t="s">
        <v>171</v>
      </c>
      <c r="E98" s="196" t="s">
        <v>85</v>
      </c>
      <c r="F98" s="187" t="s">
        <v>30</v>
      </c>
      <c r="G98" s="187" t="s">
        <v>85</v>
      </c>
      <c r="H98" s="187" t="s">
        <v>30</v>
      </c>
      <c r="I98" s="187" t="s">
        <v>85</v>
      </c>
      <c r="J98" s="187" t="s">
        <v>30</v>
      </c>
      <c r="K98" s="187" t="s">
        <v>85</v>
      </c>
      <c r="L98" s="187" t="s">
        <v>30</v>
      </c>
      <c r="M98" s="187" t="s">
        <v>85</v>
      </c>
      <c r="N98" s="187" t="s">
        <v>30</v>
      </c>
      <c r="O98" s="187" t="s">
        <v>85</v>
      </c>
      <c r="P98" s="187" t="s">
        <v>30</v>
      </c>
      <c r="Q98" s="187" t="s">
        <v>85</v>
      </c>
      <c r="R98" s="189" t="s">
        <v>30</v>
      </c>
      <c r="S98" s="163" t="s">
        <v>85</v>
      </c>
      <c r="T98" s="41" t="s">
        <v>30</v>
      </c>
    </row>
    <row r="99" spans="1:20" x14ac:dyDescent="0.25">
      <c r="A99" s="181" t="s">
        <v>69</v>
      </c>
      <c r="B99" s="185" t="s">
        <v>145</v>
      </c>
      <c r="C99" s="217">
        <v>4.8000000000000001E-2</v>
      </c>
      <c r="D99" s="206">
        <f>C99*D117</f>
        <v>290.03951262649048</v>
      </c>
      <c r="E99" s="218">
        <v>4.9599999999999998E-2</v>
      </c>
      <c r="F99" s="206">
        <f>E99*F117</f>
        <v>318.62701684401532</v>
      </c>
      <c r="G99" s="217">
        <v>4.9599999999999998E-2</v>
      </c>
      <c r="H99" s="206">
        <f>G99*H117</f>
        <v>318.62701684401532</v>
      </c>
      <c r="I99" s="217">
        <v>4.9599999999999998E-2</v>
      </c>
      <c r="J99" s="206">
        <f>I99*J117</f>
        <v>324.09959869937529</v>
      </c>
      <c r="K99" s="217">
        <v>4.9599999999999998E-2</v>
      </c>
      <c r="L99" s="206">
        <f>K99*L117</f>
        <v>348.30845016648311</v>
      </c>
      <c r="M99" s="217">
        <v>4.9599999999999998E-2</v>
      </c>
      <c r="N99" s="206">
        <f>M99*N117</f>
        <v>343.46138769171318</v>
      </c>
      <c r="O99" s="217">
        <v>4.9599999999999998E-2</v>
      </c>
      <c r="P99" s="206">
        <f>O99*P117</f>
        <v>343.46138769171318</v>
      </c>
      <c r="Q99" s="217">
        <v>4.9599999999999998E-2</v>
      </c>
      <c r="R99" s="208">
        <f>Q99*R117</f>
        <v>349.90727298969568</v>
      </c>
      <c r="S99" s="17">
        <v>4.9599999999999998E-2</v>
      </c>
      <c r="T99" s="43">
        <f>S99*T117</f>
        <v>363.69296550393136</v>
      </c>
    </row>
    <row r="100" spans="1:20" x14ac:dyDescent="0.25">
      <c r="A100" s="181" t="s">
        <v>71</v>
      </c>
      <c r="B100" s="185" t="s">
        <v>146</v>
      </c>
      <c r="C100" s="217">
        <v>5.2400000000000002E-2</v>
      </c>
      <c r="D100" s="206">
        <f>C100*D117</f>
        <v>316.62646795058549</v>
      </c>
      <c r="E100" s="218">
        <v>0.05</v>
      </c>
      <c r="F100" s="206">
        <f>E100*F117</f>
        <v>321.19658956049932</v>
      </c>
      <c r="G100" s="217">
        <v>0.05</v>
      </c>
      <c r="H100" s="206">
        <f>G100*H117</f>
        <v>321.19658956049932</v>
      </c>
      <c r="I100" s="217">
        <v>0.05</v>
      </c>
      <c r="J100" s="206">
        <f>I100*J117</f>
        <v>326.71330514049936</v>
      </c>
      <c r="K100" s="217">
        <v>0.05</v>
      </c>
      <c r="L100" s="206">
        <f>K100*L117</f>
        <v>351.11738928072896</v>
      </c>
      <c r="M100" s="217">
        <v>0.05</v>
      </c>
      <c r="N100" s="206">
        <f>M100*N117</f>
        <v>346.23123759245283</v>
      </c>
      <c r="O100" s="217">
        <v>0.05</v>
      </c>
      <c r="P100" s="206">
        <f>O100*P117</f>
        <v>346.23123759245283</v>
      </c>
      <c r="Q100" s="217">
        <v>0.05</v>
      </c>
      <c r="R100" s="208">
        <f>Q100*R117</f>
        <v>352.72910583638685</v>
      </c>
      <c r="S100" s="17">
        <v>0.05</v>
      </c>
      <c r="T100" s="43">
        <f>S100*T117</f>
        <v>366.6259732902534</v>
      </c>
    </row>
    <row r="101" spans="1:20" x14ac:dyDescent="0.25">
      <c r="A101" s="181" t="s">
        <v>73</v>
      </c>
      <c r="B101" s="185" t="s">
        <v>147</v>
      </c>
      <c r="C101" s="238">
        <f>SUM(C102:C105)</f>
        <v>0.10149999999999999</v>
      </c>
      <c r="D101" s="206">
        <f>SUM(D102:D105)</f>
        <v>751.12889976257429</v>
      </c>
      <c r="E101" s="239">
        <f t="shared" ref="E101:R101" si="35">SUM(E102:E105)</f>
        <v>0.10149999999999999</v>
      </c>
      <c r="F101" s="206">
        <f t="shared" si="35"/>
        <v>797.96457747119848</v>
      </c>
      <c r="G101" s="238">
        <f t="shared" si="35"/>
        <v>0.10149999999999999</v>
      </c>
      <c r="H101" s="206">
        <f t="shared" si="35"/>
        <v>797.96457747119848</v>
      </c>
      <c r="I101" s="238">
        <f t="shared" si="35"/>
        <v>0.10149999999999999</v>
      </c>
      <c r="J101" s="206">
        <f t="shared" si="35"/>
        <v>811.67002690591073</v>
      </c>
      <c r="K101" s="238">
        <f t="shared" si="35"/>
        <v>0.10149999999999999</v>
      </c>
      <c r="L101" s="206">
        <f t="shared" si="35"/>
        <v>872.29830043825473</v>
      </c>
      <c r="M101" s="238">
        <f t="shared" si="35"/>
        <v>0.10149999999999999</v>
      </c>
      <c r="N101" s="206">
        <f t="shared" si="35"/>
        <v>860.15939207459314</v>
      </c>
      <c r="O101" s="238">
        <f t="shared" si="35"/>
        <v>0.10149999999999999</v>
      </c>
      <c r="P101" s="206">
        <f t="shared" si="35"/>
        <v>860.15939207459314</v>
      </c>
      <c r="Q101" s="238">
        <f t="shared" si="35"/>
        <v>0.10149999999999999</v>
      </c>
      <c r="R101" s="208">
        <f t="shared" si="35"/>
        <v>876.30236761125502</v>
      </c>
      <c r="S101" s="24">
        <f t="shared" ref="S101:T101" si="36">SUM(S102:S105)</f>
        <v>0.10149999999999999</v>
      </c>
      <c r="T101" s="43">
        <f t="shared" si="36"/>
        <v>910.82704292356607</v>
      </c>
    </row>
    <row r="102" spans="1:20" x14ac:dyDescent="0.25">
      <c r="A102" s="181" t="s">
        <v>148</v>
      </c>
      <c r="B102" s="185" t="s">
        <v>149</v>
      </c>
      <c r="C102" s="238">
        <v>6.4999999999999997E-3</v>
      </c>
      <c r="D102" s="206">
        <f>((D117+D99+D100)/(1-$C$101))*C102</f>
        <v>48.101850723711649</v>
      </c>
      <c r="E102" s="239">
        <v>6.4999999999999997E-3</v>
      </c>
      <c r="F102" s="206">
        <f>((F117+F99+F100)/(1-$C$101))*E102</f>
        <v>51.101179838057043</v>
      </c>
      <c r="G102" s="238">
        <v>6.4999999999999997E-3</v>
      </c>
      <c r="H102" s="206">
        <f>((H117+H99+H100)/(1-$C$101))*G102</f>
        <v>51.101179838057043</v>
      </c>
      <c r="I102" s="238">
        <v>6.4999999999999997E-3</v>
      </c>
      <c r="J102" s="206">
        <f>((J117+J99+J100)/(1-$C$101))*I102</f>
        <v>51.978868718112508</v>
      </c>
      <c r="K102" s="238">
        <v>6.4999999999999997E-3</v>
      </c>
      <c r="L102" s="206">
        <f>((L117+L99+L100)/(1-$C$101))*K102</f>
        <v>55.861467515750306</v>
      </c>
      <c r="M102" s="238">
        <v>6.4999999999999997E-3</v>
      </c>
      <c r="N102" s="206">
        <f>((N117+N99+N100)/(1-$C$101))*M102</f>
        <v>55.084098999850795</v>
      </c>
      <c r="O102" s="238">
        <v>6.4999999999999997E-3</v>
      </c>
      <c r="P102" s="206">
        <f>((P117+P99+P100)/(1-$C$101))*O102</f>
        <v>55.084098999850795</v>
      </c>
      <c r="Q102" s="238">
        <v>6.4999999999999997E-3</v>
      </c>
      <c r="R102" s="208">
        <f>((R117+R99+R100)/(1-$C$101))*Q102</f>
        <v>56.117885610572984</v>
      </c>
      <c r="S102" s="24">
        <v>6.4999999999999997E-3</v>
      </c>
      <c r="T102" s="43">
        <f>((T117+T99+T100)/(1-$C$101))*S102</f>
        <v>58.328825408898318</v>
      </c>
    </row>
    <row r="103" spans="1:20" x14ac:dyDescent="0.25">
      <c r="A103" s="181" t="s">
        <v>150</v>
      </c>
      <c r="B103" s="185" t="s">
        <v>151</v>
      </c>
      <c r="C103" s="238">
        <v>0.03</v>
      </c>
      <c r="D103" s="206">
        <f>((D117+D99+D100)/(1-$C$101))*C103</f>
        <v>222.00854180174605</v>
      </c>
      <c r="E103" s="239">
        <v>0.03</v>
      </c>
      <c r="F103" s="206">
        <f>((F117+F99+F100)/(1-$C$101))*E103</f>
        <v>235.85159925257096</v>
      </c>
      <c r="G103" s="238">
        <v>0.03</v>
      </c>
      <c r="H103" s="206">
        <f>((H117+H99+H100)/(1-$C$101))*G103</f>
        <v>235.85159925257096</v>
      </c>
      <c r="I103" s="238">
        <v>0.03</v>
      </c>
      <c r="J103" s="206">
        <f>((J117+J99+J100)/(1-$C$101))*I103</f>
        <v>239.90247100667312</v>
      </c>
      <c r="K103" s="238">
        <v>0.03</v>
      </c>
      <c r="L103" s="206">
        <f>((L117+L99+L100)/(1-$C$101))*K103</f>
        <v>257.82215776500141</v>
      </c>
      <c r="M103" s="238">
        <v>0.03</v>
      </c>
      <c r="N103" s="206">
        <f>((N117+N99+N100)/(1-$C$101))*M103</f>
        <v>254.23430307623443</v>
      </c>
      <c r="O103" s="238">
        <v>0.03</v>
      </c>
      <c r="P103" s="206">
        <f>((P117+P99+P100)/(1-$C$101))*O103</f>
        <v>254.23430307623443</v>
      </c>
      <c r="Q103" s="238">
        <v>0.03</v>
      </c>
      <c r="R103" s="208">
        <f>((R117+R99+R100)/(1-$C$101))*Q103</f>
        <v>259.00562589495223</v>
      </c>
      <c r="S103" s="24">
        <v>0.03</v>
      </c>
      <c r="T103" s="43">
        <f>((T117+T99+T100)/(1-$C$101))*S103</f>
        <v>269.20996342568458</v>
      </c>
    </row>
    <row r="104" spans="1:20" x14ac:dyDescent="0.25">
      <c r="A104" s="181" t="s">
        <v>152</v>
      </c>
      <c r="B104" s="185" t="s">
        <v>153</v>
      </c>
      <c r="C104" s="238">
        <v>0.02</v>
      </c>
      <c r="D104" s="206">
        <f>((D117+D99+D100)/(1-$C$101))*C104</f>
        <v>148.00569453449739</v>
      </c>
      <c r="E104" s="239">
        <v>0.02</v>
      </c>
      <c r="F104" s="206">
        <f>((F117+F99+F100)/(1-$C$101))*E104</f>
        <v>157.23439950171399</v>
      </c>
      <c r="G104" s="238">
        <v>0.02</v>
      </c>
      <c r="H104" s="206">
        <f>((H117+H99+H100)/(1-$C$101))*G104</f>
        <v>157.23439950171399</v>
      </c>
      <c r="I104" s="238">
        <v>0.02</v>
      </c>
      <c r="J104" s="206">
        <f>((J117+J99+J100)/(1-$C$101))*I104</f>
        <v>159.93498067111543</v>
      </c>
      <c r="K104" s="238">
        <v>0.02</v>
      </c>
      <c r="L104" s="206">
        <f>((L117+L99+L100)/(1-$C$101))*K104</f>
        <v>171.88143851000095</v>
      </c>
      <c r="M104" s="238">
        <v>0.02</v>
      </c>
      <c r="N104" s="206">
        <f>((N117+N99+N100)/(1-$C$101))*M104</f>
        <v>169.48953538415631</v>
      </c>
      <c r="O104" s="238">
        <v>0.02</v>
      </c>
      <c r="P104" s="206">
        <f>((P117+P99+P100)/(1-$C$101))*O104</f>
        <v>169.48953538415631</v>
      </c>
      <c r="Q104" s="238">
        <v>0.02</v>
      </c>
      <c r="R104" s="208">
        <f>((R117+R99+R100)/(1-$C$101))*Q104</f>
        <v>172.67041726330149</v>
      </c>
      <c r="S104" s="24">
        <v>0.02</v>
      </c>
      <c r="T104" s="43">
        <f>((T117+T99+T100)/(1-$C$101))*S104</f>
        <v>179.47330895045638</v>
      </c>
    </row>
    <row r="105" spans="1:20" x14ac:dyDescent="0.25">
      <c r="A105" s="181" t="s">
        <v>75</v>
      </c>
      <c r="B105" s="2" t="s">
        <v>154</v>
      </c>
      <c r="C105" s="217">
        <v>4.4999999999999998E-2</v>
      </c>
      <c r="D105" s="198">
        <f>((D117+D99+D100)/(1-$C$101))*C105</f>
        <v>333.0128127026191</v>
      </c>
      <c r="E105" s="218">
        <v>4.4999999999999998E-2</v>
      </c>
      <c r="F105" s="198">
        <f>((F117+F99+F100)/(1-$C$101))*E105</f>
        <v>353.77739887885645</v>
      </c>
      <c r="G105" s="217">
        <v>4.4999999999999998E-2</v>
      </c>
      <c r="H105" s="198">
        <f>((H117+H99+H100)/(1-$C$101))*G105</f>
        <v>353.77739887885645</v>
      </c>
      <c r="I105" s="217">
        <v>4.4999999999999998E-2</v>
      </c>
      <c r="J105" s="198">
        <f>((J117+J99+J100)/(1-$C$101))*I105</f>
        <v>359.85370651000972</v>
      </c>
      <c r="K105" s="217">
        <v>4.4999999999999998E-2</v>
      </c>
      <c r="L105" s="198">
        <f>((L117+L99+L100)/(1-$C$101))*K105</f>
        <v>386.73323664750211</v>
      </c>
      <c r="M105" s="217">
        <v>4.4999999999999998E-2</v>
      </c>
      <c r="N105" s="198">
        <f>((N117+N99+N100)/(1-$C$101))*M105</f>
        <v>381.35145461435167</v>
      </c>
      <c r="O105" s="217">
        <v>4.4999999999999998E-2</v>
      </c>
      <c r="P105" s="198">
        <f>((P117+P99+P100)/(1-$C$101))*O105</f>
        <v>381.35145461435167</v>
      </c>
      <c r="Q105" s="217">
        <v>4.4999999999999998E-2</v>
      </c>
      <c r="R105" s="200">
        <f>((R117+R99+R100)/(1-$C$101))*Q105</f>
        <v>388.50843884242835</v>
      </c>
      <c r="S105" s="17">
        <v>4.4999999999999998E-2</v>
      </c>
      <c r="T105" s="42">
        <f>((T117+T99+T100)/(1-$C$101))*S105</f>
        <v>403.81494513852681</v>
      </c>
    </row>
    <row r="106" spans="1:20" x14ac:dyDescent="0.25">
      <c r="A106" s="370" t="s">
        <v>32</v>
      </c>
      <c r="B106" s="370"/>
      <c r="C106" s="240">
        <f>SUM(C99:C101)</f>
        <v>0.2019</v>
      </c>
      <c r="D106" s="202">
        <f>D99+D100+D101</f>
        <v>1357.7948803396503</v>
      </c>
      <c r="E106" s="241">
        <f>SUM(E99:E101)</f>
        <v>0.2011</v>
      </c>
      <c r="F106" s="202">
        <f>F99+F100+F101</f>
        <v>1437.788183875713</v>
      </c>
      <c r="G106" s="240">
        <f>SUM(G99:G101)</f>
        <v>0.2011</v>
      </c>
      <c r="H106" s="202">
        <f>H99+H100+H101</f>
        <v>1437.788183875713</v>
      </c>
      <c r="I106" s="240">
        <f>SUM(I99:I101)</f>
        <v>0.2011</v>
      </c>
      <c r="J106" s="202">
        <f>J99+J100+J101</f>
        <v>1462.4829307457853</v>
      </c>
      <c r="K106" s="240">
        <f>SUM(K99:K101)</f>
        <v>0.2011</v>
      </c>
      <c r="L106" s="202">
        <f>L99+L100+L101</f>
        <v>1571.7241398854667</v>
      </c>
      <c r="M106" s="240">
        <f>SUM(M99:M101)</f>
        <v>0.2011</v>
      </c>
      <c r="N106" s="202">
        <f>N99+N100+N101</f>
        <v>1549.8520173587592</v>
      </c>
      <c r="O106" s="240">
        <f>SUM(O99:O101)</f>
        <v>0.2011</v>
      </c>
      <c r="P106" s="202">
        <f>P99+P100+P101</f>
        <v>1549.8520173587592</v>
      </c>
      <c r="Q106" s="240">
        <f>SUM(Q99:Q101)</f>
        <v>0.2011</v>
      </c>
      <c r="R106" s="204">
        <f>R99+R100+R101</f>
        <v>1578.9387464373376</v>
      </c>
      <c r="S106" s="29">
        <f>SUM(S99:S101)</f>
        <v>0.2011</v>
      </c>
      <c r="T106" s="169">
        <f>T99+T100+T101</f>
        <v>1641.1459817177508</v>
      </c>
    </row>
    <row r="107" spans="1:20" x14ac:dyDescent="0.25">
      <c r="A107" s="377" t="s">
        <v>155</v>
      </c>
      <c r="B107" s="377"/>
      <c r="C107" s="377"/>
      <c r="D107" s="377"/>
      <c r="E107" s="188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6"/>
      <c r="S107" s="10"/>
      <c r="T107" s="139"/>
    </row>
    <row r="108" spans="1:20" ht="30" customHeight="1" x14ac:dyDescent="0.25">
      <c r="A108" s="377" t="s">
        <v>156</v>
      </c>
      <c r="B108" s="377"/>
      <c r="C108" s="377"/>
      <c r="D108" s="377"/>
      <c r="E108" s="188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6"/>
      <c r="S108" s="10"/>
      <c r="T108" s="139"/>
    </row>
    <row r="109" spans="1:20" x14ac:dyDescent="0.25">
      <c r="A109" s="1"/>
      <c r="B109" s="1"/>
      <c r="C109" s="1"/>
      <c r="D109" s="1"/>
      <c r="E109" s="188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6"/>
      <c r="S109" s="10"/>
      <c r="T109" s="139"/>
    </row>
    <row r="110" spans="1:20" ht="15" customHeight="1" x14ac:dyDescent="0.25">
      <c r="A110" s="280" t="s">
        <v>157</v>
      </c>
      <c r="B110" s="280"/>
      <c r="C110" s="280"/>
      <c r="D110" s="280"/>
      <c r="E110" s="188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6"/>
      <c r="S110" s="10"/>
      <c r="T110" s="139"/>
    </row>
    <row r="111" spans="1:20" x14ac:dyDescent="0.25">
      <c r="A111" s="373" t="s">
        <v>158</v>
      </c>
      <c r="B111" s="376"/>
      <c r="C111" s="374"/>
      <c r="D111" s="187" t="s">
        <v>174</v>
      </c>
      <c r="E111" s="188"/>
      <c r="F111" s="187" t="s">
        <v>30</v>
      </c>
      <c r="G111" s="185"/>
      <c r="H111" s="187" t="s">
        <v>30</v>
      </c>
      <c r="I111" s="185"/>
      <c r="J111" s="187" t="s">
        <v>30</v>
      </c>
      <c r="K111" s="185"/>
      <c r="L111" s="187" t="s">
        <v>30</v>
      </c>
      <c r="M111" s="185"/>
      <c r="N111" s="187" t="s">
        <v>30</v>
      </c>
      <c r="O111" s="185"/>
      <c r="P111" s="187" t="s">
        <v>30</v>
      </c>
      <c r="Q111" s="185"/>
      <c r="R111" s="189" t="s">
        <v>30</v>
      </c>
      <c r="S111" s="10"/>
      <c r="T111" s="41" t="s">
        <v>30</v>
      </c>
    </row>
    <row r="112" spans="1:20" x14ac:dyDescent="0.25">
      <c r="A112" s="181" t="s">
        <v>69</v>
      </c>
      <c r="B112" s="368" t="s">
        <v>67</v>
      </c>
      <c r="C112" s="368"/>
      <c r="D112" s="206">
        <f>D18</f>
        <v>3511.21</v>
      </c>
      <c r="E112" s="188"/>
      <c r="F112" s="206">
        <f>F18</f>
        <v>3748.57</v>
      </c>
      <c r="G112" s="185"/>
      <c r="H112" s="206">
        <f>H18</f>
        <v>3748.57</v>
      </c>
      <c r="I112" s="185"/>
      <c r="J112" s="206">
        <f>J18</f>
        <v>3748.57</v>
      </c>
      <c r="K112" s="185"/>
      <c r="L112" s="206">
        <f>L18</f>
        <v>4112.18</v>
      </c>
      <c r="M112" s="185"/>
      <c r="N112" s="206">
        <f>N18</f>
        <v>4112.18</v>
      </c>
      <c r="O112" s="185"/>
      <c r="P112" s="206">
        <f>P18</f>
        <v>4112.18</v>
      </c>
      <c r="Q112" s="185"/>
      <c r="R112" s="208">
        <f>R18</f>
        <v>4203.2700000000004</v>
      </c>
      <c r="S112" s="10"/>
      <c r="T112" s="43">
        <f>T18</f>
        <v>4378.97</v>
      </c>
    </row>
    <row r="113" spans="1:20" x14ac:dyDescent="0.25">
      <c r="A113" s="181" t="s">
        <v>71</v>
      </c>
      <c r="B113" s="368" t="s">
        <v>81</v>
      </c>
      <c r="C113" s="368"/>
      <c r="D113" s="206">
        <f>D52</f>
        <v>2177.3371380520002</v>
      </c>
      <c r="E113" s="242"/>
      <c r="F113" s="206">
        <f>F52</f>
        <v>2299.9113544840002</v>
      </c>
      <c r="G113" s="243"/>
      <c r="H113" s="206">
        <f>H52</f>
        <v>2299.9113544840002</v>
      </c>
      <c r="I113" s="243"/>
      <c r="J113" s="206">
        <f>J52</f>
        <v>2410.2456660840003</v>
      </c>
      <c r="K113" s="243"/>
      <c r="L113" s="206">
        <f>L52</f>
        <v>2501.769821416</v>
      </c>
      <c r="M113" s="243"/>
      <c r="N113" s="206">
        <f>N52</f>
        <v>2501.769821416</v>
      </c>
      <c r="O113" s="243"/>
      <c r="P113" s="206">
        <f>P52</f>
        <v>2501.769821416</v>
      </c>
      <c r="Q113" s="243"/>
      <c r="R113" s="208">
        <f>R52</f>
        <v>2534.5960201240005</v>
      </c>
      <c r="S113" s="65"/>
      <c r="T113" s="43">
        <f>T52</f>
        <v>2625.180795964</v>
      </c>
    </row>
    <row r="114" spans="1:20" x14ac:dyDescent="0.25">
      <c r="A114" s="181" t="s">
        <v>73</v>
      </c>
      <c r="B114" s="368" t="s">
        <v>110</v>
      </c>
      <c r="C114" s="368"/>
      <c r="D114" s="206">
        <f>D62</f>
        <v>263.26617168611847</v>
      </c>
      <c r="E114" s="244"/>
      <c r="F114" s="206">
        <f>F62</f>
        <v>281.06313014528695</v>
      </c>
      <c r="G114" s="245"/>
      <c r="H114" s="206">
        <f>H62</f>
        <v>281.06313014528695</v>
      </c>
      <c r="I114" s="245"/>
      <c r="J114" s="206">
        <f>J62</f>
        <v>281.06313014528695</v>
      </c>
      <c r="K114" s="245"/>
      <c r="L114" s="206">
        <f>L62</f>
        <v>308.32615704677949</v>
      </c>
      <c r="M114" s="245"/>
      <c r="N114" s="206">
        <f>N62</f>
        <v>208.43546328125609</v>
      </c>
      <c r="O114" s="245"/>
      <c r="P114" s="206">
        <f>P62</f>
        <v>208.43546328125609</v>
      </c>
      <c r="Q114" s="245"/>
      <c r="R114" s="208">
        <f>R62</f>
        <v>213.05257302603619</v>
      </c>
      <c r="S114" s="66"/>
      <c r="T114" s="43">
        <f>T62</f>
        <v>221.95833855636721</v>
      </c>
    </row>
    <row r="115" spans="1:20" x14ac:dyDescent="0.25">
      <c r="A115" s="181" t="s">
        <v>75</v>
      </c>
      <c r="B115" s="368" t="s">
        <v>118</v>
      </c>
      <c r="C115" s="368"/>
      <c r="D115" s="206">
        <f>D86</f>
        <v>54.892536647100009</v>
      </c>
      <c r="E115" s="244"/>
      <c r="F115" s="206">
        <f>F86</f>
        <v>58.603306580700007</v>
      </c>
      <c r="G115" s="245"/>
      <c r="H115" s="206">
        <f>H86</f>
        <v>58.603306580700007</v>
      </c>
      <c r="I115" s="245"/>
      <c r="J115" s="206">
        <f>J86</f>
        <v>58.603306580700007</v>
      </c>
      <c r="K115" s="245"/>
      <c r="L115" s="206">
        <f>L86</f>
        <v>64.287807151799996</v>
      </c>
      <c r="M115" s="245"/>
      <c r="N115" s="206">
        <f>N86</f>
        <v>64.287807151799996</v>
      </c>
      <c r="O115" s="245"/>
      <c r="P115" s="206">
        <f>P86</f>
        <v>64.287807151799996</v>
      </c>
      <c r="Q115" s="245"/>
      <c r="R115" s="208">
        <f>R86</f>
        <v>65.711863577700001</v>
      </c>
      <c r="S115" s="66"/>
      <c r="T115" s="43">
        <f>T86</f>
        <v>68.458671284700003</v>
      </c>
    </row>
    <row r="116" spans="1:20" x14ac:dyDescent="0.25">
      <c r="A116" s="181" t="s">
        <v>77</v>
      </c>
      <c r="B116" s="368" t="s">
        <v>136</v>
      </c>
      <c r="C116" s="368"/>
      <c r="D116" s="198">
        <f>D94</f>
        <v>35.783999999999999</v>
      </c>
      <c r="E116" s="188"/>
      <c r="F116" s="198">
        <f>F94</f>
        <v>35.783999999999999</v>
      </c>
      <c r="G116" s="185"/>
      <c r="H116" s="198">
        <f>H94</f>
        <v>35.783999999999999</v>
      </c>
      <c r="I116" s="185"/>
      <c r="J116" s="198">
        <f>J94</f>
        <v>35.783999999999999</v>
      </c>
      <c r="K116" s="185"/>
      <c r="L116" s="198">
        <f>L94</f>
        <v>35.783999999999999</v>
      </c>
      <c r="M116" s="185"/>
      <c r="N116" s="198">
        <f>N94</f>
        <v>37.951659999999997</v>
      </c>
      <c r="O116" s="185"/>
      <c r="P116" s="198">
        <f>P94</f>
        <v>37.951659999999997</v>
      </c>
      <c r="Q116" s="185"/>
      <c r="R116" s="200">
        <f>R94</f>
        <v>37.951659999999997</v>
      </c>
      <c r="S116" s="10"/>
      <c r="T116" s="42">
        <f>T94</f>
        <v>37.951659999999997</v>
      </c>
    </row>
    <row r="117" spans="1:20" x14ac:dyDescent="0.25">
      <c r="A117" s="370" t="s">
        <v>159</v>
      </c>
      <c r="B117" s="370"/>
      <c r="C117" s="370"/>
      <c r="D117" s="202">
        <f>SUM(D112:D116)</f>
        <v>6042.4898463852187</v>
      </c>
      <c r="E117" s="246"/>
      <c r="F117" s="202">
        <f>SUM(F112:F116)</f>
        <v>6423.9317912099859</v>
      </c>
      <c r="G117" s="198"/>
      <c r="H117" s="202">
        <f>SUM(H112:H116)</f>
        <v>6423.9317912099859</v>
      </c>
      <c r="I117" s="198"/>
      <c r="J117" s="202">
        <f>SUM(J112:J116)</f>
        <v>6534.2661028099865</v>
      </c>
      <c r="K117" s="198"/>
      <c r="L117" s="202">
        <f>SUM(L112:L116)</f>
        <v>7022.3477856145792</v>
      </c>
      <c r="M117" s="198"/>
      <c r="N117" s="202">
        <f>SUM(N112:N116)</f>
        <v>6924.6247518490563</v>
      </c>
      <c r="O117" s="198"/>
      <c r="P117" s="202">
        <f>SUM(P112:P116)</f>
        <v>6924.6247518490563</v>
      </c>
      <c r="Q117" s="198"/>
      <c r="R117" s="204">
        <f>SUM(R112:R116)</f>
        <v>7054.5821167277363</v>
      </c>
      <c r="S117" s="12"/>
      <c r="T117" s="169">
        <f>SUM(T112:T116)</f>
        <v>7332.5194658050677</v>
      </c>
    </row>
    <row r="118" spans="1:20" x14ac:dyDescent="0.25">
      <c r="A118" s="181" t="s">
        <v>79</v>
      </c>
      <c r="B118" s="366" t="s">
        <v>141</v>
      </c>
      <c r="C118" s="366"/>
      <c r="D118" s="198">
        <f>D106</f>
        <v>1357.7948803396503</v>
      </c>
      <c r="E118" s="246"/>
      <c r="F118" s="198">
        <f>F106</f>
        <v>1437.788183875713</v>
      </c>
      <c r="G118" s="198"/>
      <c r="H118" s="198">
        <f>H106</f>
        <v>1437.788183875713</v>
      </c>
      <c r="I118" s="198"/>
      <c r="J118" s="198">
        <f>J106</f>
        <v>1462.4829307457853</v>
      </c>
      <c r="K118" s="198"/>
      <c r="L118" s="198">
        <f>L106</f>
        <v>1571.7241398854667</v>
      </c>
      <c r="M118" s="198"/>
      <c r="N118" s="198">
        <f>N106</f>
        <v>1549.8520173587592</v>
      </c>
      <c r="O118" s="198"/>
      <c r="P118" s="198">
        <f>P106</f>
        <v>1549.8520173587592</v>
      </c>
      <c r="Q118" s="198"/>
      <c r="R118" s="200">
        <f>R106</f>
        <v>1578.9387464373376</v>
      </c>
      <c r="S118" s="12"/>
      <c r="T118" s="42">
        <f>T106</f>
        <v>1641.1459817177508</v>
      </c>
    </row>
    <row r="119" spans="1:20" ht="15.75" thickBot="1" x14ac:dyDescent="0.3">
      <c r="A119" s="370" t="s">
        <v>160</v>
      </c>
      <c r="B119" s="370"/>
      <c r="C119" s="370"/>
      <c r="D119" s="202">
        <f>SUM(D117:D118)</f>
        <v>7400.284726724869</v>
      </c>
      <c r="E119" s="247"/>
      <c r="F119" s="248">
        <f>SUM(F117:F118)</f>
        <v>7861.7199750856989</v>
      </c>
      <c r="G119" s="249"/>
      <c r="H119" s="248">
        <f>SUM(H117:H118)</f>
        <v>7861.7199750856989</v>
      </c>
      <c r="I119" s="249"/>
      <c r="J119" s="248">
        <f>SUM(J117:J118)</f>
        <v>7996.7490335557723</v>
      </c>
      <c r="K119" s="249"/>
      <c r="L119" s="248">
        <f>SUM(L117:L118)</f>
        <v>8594.0719255000458</v>
      </c>
      <c r="M119" s="249"/>
      <c r="N119" s="248">
        <f>SUM(N117:N118)</f>
        <v>8474.4767692078149</v>
      </c>
      <c r="O119" s="249"/>
      <c r="P119" s="248">
        <f>SUM(P117:P118)</f>
        <v>8474.4767692078149</v>
      </c>
      <c r="Q119" s="249"/>
      <c r="R119" s="250">
        <f>SUM(R117:R118)</f>
        <v>8633.5208631650748</v>
      </c>
      <c r="S119" s="152"/>
      <c r="T119" s="178">
        <f>SUM(T117:T118)</f>
        <v>8973.6654475228188</v>
      </c>
    </row>
    <row r="120" spans="1:2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2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2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2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2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2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2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2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2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</sheetData>
  <mergeCells count="130">
    <mergeCell ref="S3:T3"/>
    <mergeCell ref="S4:T4"/>
    <mergeCell ref="S5:T5"/>
    <mergeCell ref="S6:T6"/>
    <mergeCell ref="S7:T7"/>
    <mergeCell ref="S8:T8"/>
    <mergeCell ref="S9:T9"/>
    <mergeCell ref="S97:T97"/>
    <mergeCell ref="O97:P97"/>
    <mergeCell ref="Q97:R97"/>
    <mergeCell ref="O6:P6"/>
    <mergeCell ref="Q6:R6"/>
    <mergeCell ref="O4:P4"/>
    <mergeCell ref="Q4:R4"/>
    <mergeCell ref="E97:F97"/>
    <mergeCell ref="G97:H97"/>
    <mergeCell ref="I97:J97"/>
    <mergeCell ref="K97:L97"/>
    <mergeCell ref="M97:N97"/>
    <mergeCell ref="O8:P8"/>
    <mergeCell ref="Q8:R8"/>
    <mergeCell ref="E9:F9"/>
    <mergeCell ref="G9:H9"/>
    <mergeCell ref="I9:J9"/>
    <mergeCell ref="K9:L9"/>
    <mergeCell ref="M9:N9"/>
    <mergeCell ref="O9:P9"/>
    <mergeCell ref="Q9:R9"/>
    <mergeCell ref="E8:F8"/>
    <mergeCell ref="G8:H8"/>
    <mergeCell ref="I8:J8"/>
    <mergeCell ref="K8:L8"/>
    <mergeCell ref="M8:N8"/>
    <mergeCell ref="E7:F7"/>
    <mergeCell ref="G7:H7"/>
    <mergeCell ref="I7:J7"/>
    <mergeCell ref="K7:L7"/>
    <mergeCell ref="M7:N7"/>
    <mergeCell ref="O7:P7"/>
    <mergeCell ref="Q7:R7"/>
    <mergeCell ref="E6:F6"/>
    <mergeCell ref="G6:H6"/>
    <mergeCell ref="I6:J6"/>
    <mergeCell ref="K6:L6"/>
    <mergeCell ref="M6:N6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E1:R2"/>
    <mergeCell ref="E3:F3"/>
    <mergeCell ref="G3:H3"/>
    <mergeCell ref="I3:J3"/>
    <mergeCell ref="K3:L3"/>
    <mergeCell ref="M3:N3"/>
    <mergeCell ref="O3:P3"/>
    <mergeCell ref="Q3:R3"/>
    <mergeCell ref="B118:C118"/>
    <mergeCell ref="A94:C94"/>
    <mergeCell ref="A96:D96"/>
    <mergeCell ref="A97:B97"/>
    <mergeCell ref="C97:D97"/>
    <mergeCell ref="B91:C91"/>
    <mergeCell ref="B92:C92"/>
    <mergeCell ref="B93:C93"/>
    <mergeCell ref="A88:D88"/>
    <mergeCell ref="B89:C89"/>
    <mergeCell ref="B90:C90"/>
    <mergeCell ref="B83:C83"/>
    <mergeCell ref="B84:C84"/>
    <mergeCell ref="A86:C86"/>
    <mergeCell ref="A77:D77"/>
    <mergeCell ref="A80:B80"/>
    <mergeCell ref="A119:C119"/>
    <mergeCell ref="B115:C115"/>
    <mergeCell ref="B116:C116"/>
    <mergeCell ref="A117:C117"/>
    <mergeCell ref="B112:C112"/>
    <mergeCell ref="B113:C113"/>
    <mergeCell ref="B114:C114"/>
    <mergeCell ref="A106:B106"/>
    <mergeCell ref="A110:D110"/>
    <mergeCell ref="A111:C111"/>
    <mergeCell ref="A108:D108"/>
    <mergeCell ref="A107:D107"/>
    <mergeCell ref="A82:D82"/>
    <mergeCell ref="A65:D65"/>
    <mergeCell ref="A67:D67"/>
    <mergeCell ref="A75:B75"/>
    <mergeCell ref="A54:D54"/>
    <mergeCell ref="A62:B62"/>
    <mergeCell ref="A64:D64"/>
    <mergeCell ref="B50:C50"/>
    <mergeCell ref="B51:C51"/>
    <mergeCell ref="A52:C52"/>
    <mergeCell ref="A47:D47"/>
    <mergeCell ref="B48:C48"/>
    <mergeCell ref="B49:C49"/>
    <mergeCell ref="A37:B37"/>
    <mergeCell ref="A39:D39"/>
    <mergeCell ref="A45:C45"/>
    <mergeCell ref="A21:D21"/>
    <mergeCell ref="A25:B25"/>
    <mergeCell ref="A27:D27"/>
    <mergeCell ref="B17:C17"/>
    <mergeCell ref="A18:C18"/>
    <mergeCell ref="A20:D20"/>
    <mergeCell ref="B15:C15"/>
    <mergeCell ref="B16:C16"/>
    <mergeCell ref="B11:C11"/>
    <mergeCell ref="B12:C12"/>
    <mergeCell ref="B13:C13"/>
    <mergeCell ref="A10:D10"/>
    <mergeCell ref="C4:D4"/>
    <mergeCell ref="C5:D5"/>
    <mergeCell ref="C6:D6"/>
    <mergeCell ref="B14:C14"/>
    <mergeCell ref="A1:D1"/>
    <mergeCell ref="A2:D2"/>
    <mergeCell ref="C3:D3"/>
    <mergeCell ref="C7:D7"/>
    <mergeCell ref="C8:D8"/>
  </mergeCells>
  <pageMargins left="0.511811024" right="0.511811024" top="0.78740157499999996" bottom="0.78740157499999996" header="0.31496062000000002" footer="0.31496062000000002"/>
  <pageSetup paperSize="9" scale="4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9"/>
  <sheetViews>
    <sheetView zoomScaleNormal="100" zoomScaleSheetLayoutView="100" workbookViewId="0">
      <selection activeCell="L21" sqref="L21"/>
    </sheetView>
  </sheetViews>
  <sheetFormatPr defaultRowHeight="15" x14ac:dyDescent="0.25"/>
  <cols>
    <col min="1" max="1" width="73" style="1" bestFit="1" customWidth="1"/>
    <col min="2" max="7" width="15.7109375" style="1" customWidth="1"/>
    <col min="8" max="8" width="14.140625" style="1" bestFit="1" customWidth="1"/>
    <col min="9" max="9" width="5.42578125" style="1" bestFit="1" customWidth="1"/>
    <col min="10" max="11" width="9.140625" style="1"/>
    <col min="12" max="12" width="19.85546875" style="1" customWidth="1"/>
    <col min="13" max="16384" width="9.140625" style="1"/>
  </cols>
  <sheetData>
    <row r="1" spans="1:7" x14ac:dyDescent="0.25">
      <c r="A1" s="420" t="s">
        <v>179</v>
      </c>
      <c r="B1" s="421"/>
      <c r="C1" s="421"/>
      <c r="D1" s="421"/>
      <c r="E1" s="421"/>
      <c r="F1" s="421"/>
      <c r="G1" s="422"/>
    </row>
    <row r="2" spans="1:7" x14ac:dyDescent="0.25">
      <c r="A2" s="423" t="s">
        <v>180</v>
      </c>
      <c r="B2" s="424"/>
      <c r="C2" s="424"/>
      <c r="D2" s="424"/>
      <c r="E2" s="424"/>
      <c r="F2" s="424"/>
      <c r="G2" s="425"/>
    </row>
    <row r="3" spans="1:7" ht="60" customHeight="1" x14ac:dyDescent="0.25">
      <c r="A3" s="37" t="s">
        <v>181</v>
      </c>
      <c r="B3" s="426" t="s">
        <v>182</v>
      </c>
      <c r="C3" s="426"/>
      <c r="D3" s="426"/>
      <c r="E3" s="426" t="s">
        <v>183</v>
      </c>
      <c r="F3" s="426"/>
      <c r="G3" s="427"/>
    </row>
    <row r="4" spans="1:7" x14ac:dyDescent="0.25">
      <c r="A4" s="37" t="s">
        <v>184</v>
      </c>
      <c r="B4" s="428" t="s">
        <v>185</v>
      </c>
      <c r="C4" s="428"/>
      <c r="D4" s="428"/>
      <c r="E4" s="428" t="s">
        <v>186</v>
      </c>
      <c r="F4" s="428"/>
      <c r="G4" s="429"/>
    </row>
    <row r="5" spans="1:7" x14ac:dyDescent="0.25">
      <c r="A5" s="37" t="s">
        <v>187</v>
      </c>
      <c r="B5" s="82" t="s">
        <v>188</v>
      </c>
      <c r="C5" s="82" t="s">
        <v>189</v>
      </c>
      <c r="D5" s="82" t="s">
        <v>32</v>
      </c>
      <c r="E5" s="82" t="s">
        <v>188</v>
      </c>
      <c r="F5" s="82" t="s">
        <v>189</v>
      </c>
      <c r="G5" s="83" t="s">
        <v>32</v>
      </c>
    </row>
    <row r="6" spans="1:7" ht="24" x14ac:dyDescent="0.25">
      <c r="A6" s="84" t="s">
        <v>190</v>
      </c>
      <c r="B6" s="85">
        <v>7</v>
      </c>
      <c r="C6" s="86">
        <v>97</v>
      </c>
      <c r="D6" s="86">
        <f>C6*B6</f>
        <v>679</v>
      </c>
      <c r="E6" s="87"/>
      <c r="F6" s="87"/>
      <c r="G6" s="88"/>
    </row>
    <row r="7" spans="1:7" x14ac:dyDescent="0.25">
      <c r="A7" s="84" t="s">
        <v>191</v>
      </c>
      <c r="B7" s="85">
        <v>7</v>
      </c>
      <c r="C7" s="86">
        <v>37.15</v>
      </c>
      <c r="D7" s="86">
        <f t="shared" ref="D7:D12" si="0">C7*B7</f>
        <v>260.05</v>
      </c>
      <c r="E7" s="89">
        <v>7</v>
      </c>
      <c r="F7" s="90">
        <f>C7</f>
        <v>37.15</v>
      </c>
      <c r="G7" s="91">
        <f>E7*F7</f>
        <v>260.05</v>
      </c>
    </row>
    <row r="8" spans="1:7" x14ac:dyDescent="0.25">
      <c r="A8" s="84" t="s">
        <v>192</v>
      </c>
      <c r="B8" s="85">
        <v>7</v>
      </c>
      <c r="C8" s="86">
        <v>14.63</v>
      </c>
      <c r="D8" s="86">
        <f t="shared" si="0"/>
        <v>102.41000000000001</v>
      </c>
      <c r="E8" s="92"/>
      <c r="F8" s="93"/>
      <c r="G8" s="94"/>
    </row>
    <row r="9" spans="1:7" x14ac:dyDescent="0.25">
      <c r="A9" s="84" t="s">
        <v>193</v>
      </c>
      <c r="B9" s="85">
        <v>7</v>
      </c>
      <c r="C9" s="95">
        <v>55.06</v>
      </c>
      <c r="D9" s="86">
        <f t="shared" si="0"/>
        <v>385.42</v>
      </c>
      <c r="E9" s="85">
        <v>7</v>
      </c>
      <c r="F9" s="96">
        <f>C9</f>
        <v>55.06</v>
      </c>
      <c r="G9" s="91">
        <f t="shared" ref="G9:G12" si="1">E9*F9</f>
        <v>385.42</v>
      </c>
    </row>
    <row r="10" spans="1:7" x14ac:dyDescent="0.25">
      <c r="A10" s="84" t="s">
        <v>194</v>
      </c>
      <c r="B10" s="92"/>
      <c r="C10" s="97"/>
      <c r="D10" s="98"/>
      <c r="E10" s="85">
        <v>7</v>
      </c>
      <c r="F10" s="96">
        <v>34.44</v>
      </c>
      <c r="G10" s="91">
        <f t="shared" si="1"/>
        <v>241.07999999999998</v>
      </c>
    </row>
    <row r="11" spans="1:7" x14ac:dyDescent="0.25">
      <c r="A11" s="99" t="s">
        <v>195</v>
      </c>
      <c r="B11" s="85">
        <v>7</v>
      </c>
      <c r="C11" s="86">
        <v>6.23</v>
      </c>
      <c r="D11" s="86">
        <f t="shared" si="0"/>
        <v>43.61</v>
      </c>
      <c r="E11" s="89">
        <v>7</v>
      </c>
      <c r="F11" s="90">
        <f>C11</f>
        <v>6.23</v>
      </c>
      <c r="G11" s="91">
        <f t="shared" si="1"/>
        <v>43.61</v>
      </c>
    </row>
    <row r="12" spans="1:7" x14ac:dyDescent="0.25">
      <c r="A12" s="99" t="s">
        <v>196</v>
      </c>
      <c r="B12" s="85">
        <v>7</v>
      </c>
      <c r="C12" s="86">
        <v>20.48</v>
      </c>
      <c r="D12" s="86">
        <f t="shared" si="0"/>
        <v>143.36000000000001</v>
      </c>
      <c r="E12" s="89">
        <v>7</v>
      </c>
      <c r="F12" s="90">
        <f>C12</f>
        <v>20.48</v>
      </c>
      <c r="G12" s="91">
        <f t="shared" si="1"/>
        <v>143.36000000000001</v>
      </c>
    </row>
    <row r="13" spans="1:7" x14ac:dyDescent="0.25">
      <c r="A13" s="100" t="s">
        <v>197</v>
      </c>
      <c r="B13" s="101"/>
      <c r="C13" s="101"/>
      <c r="D13" s="102">
        <f>TRUNC(SUM(D6:D12),5)</f>
        <v>1613.85</v>
      </c>
      <c r="E13" s="103"/>
      <c r="F13" s="103"/>
      <c r="G13" s="104">
        <f>TRUNC(SUM(G7:G12),5)</f>
        <v>1073.52</v>
      </c>
    </row>
    <row r="14" spans="1:7" ht="15.75" thickBot="1" x14ac:dyDescent="0.3">
      <c r="A14" s="105" t="s">
        <v>198</v>
      </c>
      <c r="B14" s="106"/>
      <c r="C14" s="106"/>
      <c r="D14" s="107">
        <f>TRUNC(D13/30,5)</f>
        <v>53.795000000000002</v>
      </c>
      <c r="E14" s="108"/>
      <c r="F14" s="109"/>
      <c r="G14" s="110">
        <f>TRUNC(G13/30,5)</f>
        <v>35.783999999999999</v>
      </c>
    </row>
    <row r="15" spans="1:7" ht="15.75" thickBot="1" x14ac:dyDescent="0.3"/>
    <row r="16" spans="1:7" x14ac:dyDescent="0.25">
      <c r="A16" s="420" t="s">
        <v>199</v>
      </c>
      <c r="B16" s="421"/>
      <c r="C16" s="421"/>
      <c r="D16" s="421"/>
      <c r="E16" s="421"/>
      <c r="F16" s="421"/>
      <c r="G16" s="422"/>
    </row>
    <row r="17" spans="1:7" x14ac:dyDescent="0.25">
      <c r="A17" s="423" t="s">
        <v>180</v>
      </c>
      <c r="B17" s="424"/>
      <c r="C17" s="424"/>
      <c r="D17" s="424"/>
      <c r="E17" s="424"/>
      <c r="F17" s="424"/>
      <c r="G17" s="425"/>
    </row>
    <row r="18" spans="1:7" ht="60" customHeight="1" x14ac:dyDescent="0.25">
      <c r="A18" s="37" t="s">
        <v>181</v>
      </c>
      <c r="B18" s="426" t="s">
        <v>182</v>
      </c>
      <c r="C18" s="426"/>
      <c r="D18" s="426"/>
      <c r="E18" s="426" t="s">
        <v>183</v>
      </c>
      <c r="F18" s="426"/>
      <c r="G18" s="427"/>
    </row>
    <row r="19" spans="1:7" x14ac:dyDescent="0.25">
      <c r="A19" s="37" t="s">
        <v>184</v>
      </c>
      <c r="B19" s="428" t="s">
        <v>185</v>
      </c>
      <c r="C19" s="428"/>
      <c r="D19" s="428"/>
      <c r="E19" s="428" t="s">
        <v>186</v>
      </c>
      <c r="F19" s="428"/>
      <c r="G19" s="429"/>
    </row>
    <row r="20" spans="1:7" x14ac:dyDescent="0.25">
      <c r="A20" s="37" t="s">
        <v>187</v>
      </c>
      <c r="B20" s="82" t="s">
        <v>188</v>
      </c>
      <c r="C20" s="82" t="s">
        <v>189</v>
      </c>
      <c r="D20" s="82" t="s">
        <v>32</v>
      </c>
      <c r="E20" s="82" t="s">
        <v>188</v>
      </c>
      <c r="F20" s="82" t="s">
        <v>189</v>
      </c>
      <c r="G20" s="83" t="s">
        <v>32</v>
      </c>
    </row>
    <row r="21" spans="1:7" ht="24" x14ac:dyDescent="0.25">
      <c r="A21" s="84" t="s">
        <v>190</v>
      </c>
      <c r="B21" s="85">
        <v>7</v>
      </c>
      <c r="C21" s="86">
        <f>ROUND(C6*(1+7.80089%),2)</f>
        <v>104.57</v>
      </c>
      <c r="D21" s="86">
        <f>C21*B21</f>
        <v>731.99</v>
      </c>
      <c r="E21" s="87"/>
      <c r="F21" s="87"/>
      <c r="G21" s="88"/>
    </row>
    <row r="22" spans="1:7" x14ac:dyDescent="0.25">
      <c r="A22" s="84" t="s">
        <v>191</v>
      </c>
      <c r="B22" s="85">
        <v>7</v>
      </c>
      <c r="C22" s="86">
        <f>ROUND(C7*(1+7.80089%),2)</f>
        <v>40.049999999999997</v>
      </c>
      <c r="D22" s="86">
        <f t="shared" ref="D22:D24" si="2">C22*B22</f>
        <v>280.34999999999997</v>
      </c>
      <c r="E22" s="89">
        <v>7</v>
      </c>
      <c r="F22" s="90">
        <f>C22</f>
        <v>40.049999999999997</v>
      </c>
      <c r="G22" s="91">
        <f>E22*F22</f>
        <v>280.34999999999997</v>
      </c>
    </row>
    <row r="23" spans="1:7" x14ac:dyDescent="0.25">
      <c r="A23" s="84" t="s">
        <v>192</v>
      </c>
      <c r="B23" s="85">
        <v>7</v>
      </c>
      <c r="C23" s="86">
        <f>ROUND(C8*(1+7.80089%),2)</f>
        <v>15.77</v>
      </c>
      <c r="D23" s="86">
        <f t="shared" si="2"/>
        <v>110.39</v>
      </c>
      <c r="E23" s="92"/>
      <c r="F23" s="93"/>
      <c r="G23" s="94"/>
    </row>
    <row r="24" spans="1:7" x14ac:dyDescent="0.25">
      <c r="A24" s="84" t="s">
        <v>193</v>
      </c>
      <c r="B24" s="85">
        <v>7</v>
      </c>
      <c r="C24" s="86">
        <f>ROUND(C9*(1+7.80089%),2)</f>
        <v>59.36</v>
      </c>
      <c r="D24" s="86">
        <f t="shared" si="2"/>
        <v>415.52</v>
      </c>
      <c r="E24" s="85">
        <v>7</v>
      </c>
      <c r="F24" s="96">
        <f>C24</f>
        <v>59.36</v>
      </c>
      <c r="G24" s="91">
        <f t="shared" ref="G24:G27" si="3">E24*F24</f>
        <v>415.52</v>
      </c>
    </row>
    <row r="25" spans="1:7" x14ac:dyDescent="0.25">
      <c r="A25" s="84" t="s">
        <v>194</v>
      </c>
      <c r="B25" s="92"/>
      <c r="C25" s="97"/>
      <c r="D25" s="98"/>
      <c r="E25" s="85">
        <v>7</v>
      </c>
      <c r="F25" s="96">
        <v>34.44</v>
      </c>
      <c r="G25" s="91">
        <f t="shared" si="3"/>
        <v>241.07999999999998</v>
      </c>
    </row>
    <row r="26" spans="1:7" x14ac:dyDescent="0.25">
      <c r="A26" s="263" t="s">
        <v>195</v>
      </c>
      <c r="B26" s="85">
        <v>7</v>
      </c>
      <c r="C26" s="86">
        <f>ROUND(C11*(1+7.80089%),2)</f>
        <v>6.72</v>
      </c>
      <c r="D26" s="86">
        <f t="shared" ref="D26:D27" si="4">C26*B26</f>
        <v>47.04</v>
      </c>
      <c r="E26" s="89">
        <v>7</v>
      </c>
      <c r="F26" s="90">
        <f>C26</f>
        <v>6.72</v>
      </c>
      <c r="G26" s="91">
        <f t="shared" si="3"/>
        <v>47.04</v>
      </c>
    </row>
    <row r="27" spans="1:7" x14ac:dyDescent="0.25">
      <c r="A27" s="263" t="s">
        <v>196</v>
      </c>
      <c r="B27" s="85">
        <v>7</v>
      </c>
      <c r="C27" s="86">
        <f>ROUND(C12*(1+7.80089%),2)</f>
        <v>22.08</v>
      </c>
      <c r="D27" s="86">
        <f t="shared" si="4"/>
        <v>154.56</v>
      </c>
      <c r="E27" s="89">
        <v>7</v>
      </c>
      <c r="F27" s="90">
        <f>C27</f>
        <v>22.08</v>
      </c>
      <c r="G27" s="91">
        <f t="shared" si="3"/>
        <v>154.56</v>
      </c>
    </row>
    <row r="28" spans="1:7" x14ac:dyDescent="0.25">
      <c r="A28" s="100" t="s">
        <v>197</v>
      </c>
      <c r="B28" s="101"/>
      <c r="C28" s="101"/>
      <c r="D28" s="102">
        <f>TRUNC(SUM(D21:D27),5)</f>
        <v>1739.85</v>
      </c>
      <c r="E28" s="103"/>
      <c r="F28" s="103"/>
      <c r="G28" s="104">
        <f>TRUNC(SUM(G22:G27),5)</f>
        <v>1138.55</v>
      </c>
    </row>
    <row r="29" spans="1:7" ht="15.75" thickBot="1" x14ac:dyDescent="0.3">
      <c r="A29" s="105" t="s">
        <v>198</v>
      </c>
      <c r="B29" s="106"/>
      <c r="C29" s="106"/>
      <c r="D29" s="107">
        <f>TRUNC(D28/30,5)</f>
        <v>57.994999999999997</v>
      </c>
      <c r="E29" s="108"/>
      <c r="F29" s="109"/>
      <c r="G29" s="110">
        <f>TRUNC(G28/30,5)</f>
        <v>37.951659999999997</v>
      </c>
    </row>
  </sheetData>
  <mergeCells count="12">
    <mergeCell ref="A16:G16"/>
    <mergeCell ref="A17:G17"/>
    <mergeCell ref="B18:D18"/>
    <mergeCell ref="E18:G18"/>
    <mergeCell ref="B19:D19"/>
    <mergeCell ref="E19:G19"/>
    <mergeCell ref="A1:G1"/>
    <mergeCell ref="A2:G2"/>
    <mergeCell ref="B3:D3"/>
    <mergeCell ref="E3:G3"/>
    <mergeCell ref="B4:D4"/>
    <mergeCell ref="E4:G4"/>
  </mergeCells>
  <pageMargins left="0.511811024" right="0.511811024" top="0.78740157499999996" bottom="0.78740157499999996" header="0.31496062000000002" footer="0.31496062000000002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648971A5D7DDE48981AD66762B34139" ma:contentTypeVersion="14" ma:contentTypeDescription="Crie um novo documento." ma:contentTypeScope="" ma:versionID="728874254ec963cf537fab8bce8db020">
  <xsd:schema xmlns:xsd="http://www.w3.org/2001/XMLSchema" xmlns:xs="http://www.w3.org/2001/XMLSchema" xmlns:p="http://schemas.microsoft.com/office/2006/metadata/properties" xmlns:ns2="9c8f05a2-670d-4648-a8d9-605b0f8e695f" xmlns:ns3="3049032a-44c5-447e-b08f-1bb44b283959" targetNamespace="http://schemas.microsoft.com/office/2006/metadata/properties" ma:root="true" ma:fieldsID="c9269849388aa5d1a66bd2a27baa8a10" ns2:_="" ns3:_="">
    <xsd:import namespace="9c8f05a2-670d-4648-a8d9-605b0f8e695f"/>
    <xsd:import namespace="3049032a-44c5-447e-b08f-1bb44b2839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f05a2-670d-4648-a8d9-605b0f8e69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Último Compartilhamento Por Usuá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o Compartilhamento Por Tempo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49032a-44c5-447e-b08f-1bb44b2839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7B76F7-F261-4432-9B1B-F75F5CF4B6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8f05a2-670d-4648-a8d9-605b0f8e695f"/>
    <ds:schemaRef ds:uri="3049032a-44c5-447e-b08f-1bb44b283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0B0344-B2FA-45E1-8D3B-1D4872B9F6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D3F4BF-2A73-44F9-82AD-FCC228B64E6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7</vt:i4>
      </vt:variant>
    </vt:vector>
  </HeadingPairs>
  <TitlesOfParts>
    <vt:vector size="15" baseType="lpstr">
      <vt:lpstr>Quadro-Resumo</vt:lpstr>
      <vt:lpstr>Garantia</vt:lpstr>
      <vt:lpstr>1</vt:lpstr>
      <vt:lpstr>2</vt:lpstr>
      <vt:lpstr>3</vt:lpstr>
      <vt:lpstr>4</vt:lpstr>
      <vt:lpstr>5</vt:lpstr>
      <vt:lpstr>Uniforme</vt:lpstr>
      <vt:lpstr>'1'!Area_de_impressao</vt:lpstr>
      <vt:lpstr>'2'!Area_de_impressao</vt:lpstr>
      <vt:lpstr>'3'!Area_de_impressao</vt:lpstr>
      <vt:lpstr>'4'!Area_de_impressao</vt:lpstr>
      <vt:lpstr>'5'!Area_de_impressao</vt:lpstr>
      <vt:lpstr>'Quadro-Resumo'!Area_de_impressao</vt:lpstr>
      <vt:lpstr>Uniforme!Area_de_impressao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Fontoura Campos da Silva</dc:creator>
  <cp:keywords/>
  <dc:description/>
  <cp:lastModifiedBy>Fernanda Mateus Kawano</cp:lastModifiedBy>
  <cp:revision/>
  <dcterms:created xsi:type="dcterms:W3CDTF">2019-04-29T17:44:08Z</dcterms:created>
  <dcterms:modified xsi:type="dcterms:W3CDTF">2024-05-24T18:50:10Z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0x010100E648971A5D7DDE48981AD66762B34139</vt:lpwstr>
  </property>
</Properties>
</file>