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/>
  <mc:AlternateContent xmlns:mc="http://schemas.openxmlformats.org/markup-compatibility/2006">
    <mc:Choice Requires="x15">
      <x15ac:absPath xmlns:x15ac="http://schemas.microsoft.com/office/spreadsheetml/2010/11/ac" url="W:\SUCOP\SELITA\CPL 2021\Licitações\000_Serviços Gerais 0001561-97.2021.4.90.8000\"/>
    </mc:Choice>
  </mc:AlternateContent>
  <bookViews>
    <workbookView xWindow="0" yWindow="0" windowWidth="14250" windowHeight="4905" tabRatio="927" firstSheet="1" activeTab="16"/>
  </bookViews>
  <sheets>
    <sheet name="ÁREAS CJF" sheetId="138" r:id="rId1"/>
    <sheet name="TABELA 1 - UNIFORMES" sheetId="156" r:id="rId2"/>
    <sheet name="TABELA 2 - EPIS" sheetId="100" r:id="rId3"/>
    <sheet name="ENCARREGADO DE MANUTENÇÃO" sheetId="106" r:id="rId4"/>
    <sheet name="Servente" sheetId="108" r:id="rId5"/>
    <sheet name="Mensageiro" sheetId="151" r:id="rId6"/>
    <sheet name="Operador" sheetId="152" r:id="rId7"/>
    <sheet name="Garçom" sheetId="153" r:id="rId8"/>
    <sheet name="Copeira" sheetId="154" r:id="rId9"/>
    <sheet name="Recepcionista" sheetId="155" r:id="rId10"/>
    <sheet name="Tec Secretariado" sheetId="157" r:id="rId11"/>
    <sheet name="Jauzeiro" sheetId="150" r:id="rId12"/>
    <sheet name="Notas" sheetId="159" r:id="rId13"/>
    <sheet name="Salários" sheetId="158" r:id="rId14"/>
    <sheet name="TABELA 8 - LUCRO REAL" sheetId="129" state="hidden" r:id="rId15"/>
    <sheet name="TABELA 9 - LUCRO PRESUMIDO" sheetId="131" state="hidden" r:id="rId16"/>
    <sheet name="TABELA 5 - PLANILHA DE FORM..." sheetId="124" r:id="rId17"/>
  </sheets>
  <externalReferences>
    <externalReference r:id="rId18"/>
  </externalReferences>
  <definedNames>
    <definedName name="_xlnm.Print_Area" localSheetId="8">Copeira!$A$1:$B$38</definedName>
    <definedName name="_xlnm.Print_Area" localSheetId="3">'ENCARREGADO DE MANUTENÇÃO'!$A$1:$B$38</definedName>
    <definedName name="_xlnm.Print_Area" localSheetId="7">Garçom!$A$1:$B$38</definedName>
    <definedName name="_xlnm.Print_Area" localSheetId="11">Jauzeiro!$A$1:$B$39</definedName>
    <definedName name="_xlnm.Print_Area" localSheetId="5">Mensageiro!$A$1:$B$38</definedName>
    <definedName name="_xlnm.Print_Area" localSheetId="12">Notas!$A$1:$B$11</definedName>
    <definedName name="_xlnm.Print_Area" localSheetId="6">Operador!$A$1:$B$38</definedName>
    <definedName name="_xlnm.Print_Area" localSheetId="9">Recepcionista!$A$1:$B$38</definedName>
    <definedName name="_xlnm.Print_Area" localSheetId="4">Servente!$A$1:$B$38</definedName>
    <definedName name="_xlnm.Print_Area" localSheetId="10">'Tec Secretariado'!$A$1:$B$38</definedName>
    <definedName name="Print_Area" localSheetId="8">Copeira!$A$1:$B$39</definedName>
    <definedName name="Print_Area" localSheetId="3">'ENCARREGADO DE MANUTENÇÃO'!$A$1:$B$40</definedName>
    <definedName name="Print_Area" localSheetId="7">Garçom!$A$1:$B$39</definedName>
    <definedName name="Print_Area" localSheetId="11">Jauzeiro!$A$1:$B$40</definedName>
    <definedName name="Print_Area" localSheetId="5">Mensageiro!$A$1:$B$39</definedName>
    <definedName name="Print_Area" localSheetId="12">Notas!$A$1:$B$11</definedName>
    <definedName name="Print_Area" localSheetId="6">Operador!$A$1:$B$39</definedName>
    <definedName name="Print_Area" localSheetId="9">Recepcionista!$A$1:$B$39</definedName>
    <definedName name="Print_Area" localSheetId="4">Servente!$A$1:$B$39</definedName>
    <definedName name="Print_Area" localSheetId="1">'TABELA 1 - UNIFORMES'!$A$1:$E$56</definedName>
    <definedName name="Print_Area" localSheetId="2">'TABELA 2 - EPIS'!$A$1:$E$1</definedName>
    <definedName name="Print_Area" localSheetId="10">'Tec Secretariado'!$A$1:$B$39</definedName>
  </definedNames>
  <calcPr calcId="171027" iterate="1"/>
</workbook>
</file>

<file path=xl/calcChain.xml><?xml version="1.0" encoding="utf-8"?>
<calcChain xmlns="http://schemas.openxmlformats.org/spreadsheetml/2006/main">
  <c r="H108" i="150" l="1"/>
  <c r="H107" i="150"/>
  <c r="H107" i="154"/>
  <c r="H107" i="153"/>
  <c r="H108" i="108"/>
  <c r="C15" i="108"/>
  <c r="H107" i="108"/>
  <c r="C14" i="108"/>
  <c r="M9" i="124"/>
  <c r="L9" i="124" s="1"/>
  <c r="M7" i="124"/>
  <c r="L7" i="124" s="1"/>
  <c r="M5" i="124"/>
  <c r="L5" i="124" s="1"/>
  <c r="M13" i="124"/>
  <c r="L13" i="124" s="1"/>
  <c r="N5" i="124" l="1"/>
  <c r="N7" i="124"/>
  <c r="G121" i="150" l="1"/>
  <c r="G120" i="150"/>
  <c r="G119" i="150" s="1"/>
  <c r="G124" i="150" s="1"/>
  <c r="H111" i="150"/>
  <c r="H134" i="150" s="1"/>
  <c r="G97" i="150"/>
  <c r="H102" i="150" s="1"/>
  <c r="G91" i="150"/>
  <c r="H52" i="150"/>
  <c r="G42" i="150"/>
  <c r="G73" i="150" s="1"/>
  <c r="G76" i="150" s="1"/>
  <c r="G27" i="150"/>
  <c r="G121" i="157"/>
  <c r="G120" i="157"/>
  <c r="G119" i="157" s="1"/>
  <c r="G124" i="157" s="1"/>
  <c r="H107" i="157"/>
  <c r="H111" i="157" s="1"/>
  <c r="H134" i="157" s="1"/>
  <c r="G97" i="157"/>
  <c r="H102" i="157" s="1"/>
  <c r="G91" i="157"/>
  <c r="H52" i="157"/>
  <c r="G42" i="157"/>
  <c r="G73" i="157" s="1"/>
  <c r="G76" i="157" s="1"/>
  <c r="G27" i="157"/>
  <c r="G121" i="155"/>
  <c r="G120" i="155"/>
  <c r="G119" i="155" s="1"/>
  <c r="G124" i="155" s="1"/>
  <c r="H107" i="155"/>
  <c r="H111" i="155" s="1"/>
  <c r="H134" i="155" s="1"/>
  <c r="G97" i="155"/>
  <c r="H102" i="155" s="1"/>
  <c r="G91" i="155"/>
  <c r="H52" i="155"/>
  <c r="G42" i="155"/>
  <c r="G73" i="155" s="1"/>
  <c r="G27" i="155"/>
  <c r="G121" i="154"/>
  <c r="G120" i="154"/>
  <c r="G119" i="154" s="1"/>
  <c r="G124" i="154" s="1"/>
  <c r="H111" i="154"/>
  <c r="H134" i="154" s="1"/>
  <c r="G97" i="154"/>
  <c r="H102" i="154" s="1"/>
  <c r="G91" i="154"/>
  <c r="H52" i="154"/>
  <c r="G42" i="154"/>
  <c r="G73" i="154" s="1"/>
  <c r="G27" i="154"/>
  <c r="G121" i="153"/>
  <c r="G120" i="153"/>
  <c r="G119" i="153" s="1"/>
  <c r="G124" i="153" s="1"/>
  <c r="H111" i="153"/>
  <c r="H134" i="153" s="1"/>
  <c r="G97" i="153"/>
  <c r="H102" i="153" s="1"/>
  <c r="G91" i="153"/>
  <c r="H52" i="153"/>
  <c r="G42" i="153"/>
  <c r="G73" i="153" s="1"/>
  <c r="G76" i="153" s="1"/>
  <c r="G27" i="153"/>
  <c r="G121" i="152"/>
  <c r="G120" i="152"/>
  <c r="G119" i="152" s="1"/>
  <c r="G124" i="152" s="1"/>
  <c r="H107" i="152"/>
  <c r="H111" i="152" s="1"/>
  <c r="H134" i="152" s="1"/>
  <c r="G97" i="152"/>
  <c r="H102" i="152" s="1"/>
  <c r="G91" i="152"/>
  <c r="H52" i="152"/>
  <c r="G42" i="152"/>
  <c r="G73" i="152" s="1"/>
  <c r="G27" i="152"/>
  <c r="G121" i="151"/>
  <c r="G120" i="151"/>
  <c r="G119" i="151" s="1"/>
  <c r="G124" i="151" s="1"/>
  <c r="H111" i="151"/>
  <c r="H134" i="151" s="1"/>
  <c r="H107" i="151"/>
  <c r="G97" i="151"/>
  <c r="H102" i="151" s="1"/>
  <c r="G91" i="151"/>
  <c r="H52" i="151"/>
  <c r="G42" i="151"/>
  <c r="G73" i="151" s="1"/>
  <c r="G27" i="151"/>
  <c r="G121" i="108"/>
  <c r="G120" i="108"/>
  <c r="G119" i="108" s="1"/>
  <c r="G124" i="108" s="1"/>
  <c r="H111" i="108"/>
  <c r="H134" i="108" s="1"/>
  <c r="G97" i="108"/>
  <c r="H102" i="108" s="1"/>
  <c r="G91" i="108"/>
  <c r="H52" i="108"/>
  <c r="G42" i="108"/>
  <c r="G73" i="108" s="1"/>
  <c r="G27" i="108"/>
  <c r="H107" i="106"/>
  <c r="C14" i="106"/>
  <c r="G121" i="106"/>
  <c r="G120" i="106"/>
  <c r="G119" i="106" s="1"/>
  <c r="G124" i="106" s="1"/>
  <c r="H111" i="106"/>
  <c r="H134" i="106" s="1"/>
  <c r="G97" i="106"/>
  <c r="H102" i="106" s="1"/>
  <c r="G91" i="106"/>
  <c r="G73" i="106"/>
  <c r="G76" i="106" s="1"/>
  <c r="H52" i="106"/>
  <c r="G42" i="106"/>
  <c r="G27" i="106"/>
  <c r="G76" i="155" l="1"/>
  <c r="G76" i="154"/>
  <c r="G76" i="152"/>
  <c r="G76" i="151"/>
  <c r="G76" i="108"/>
  <c r="G11" i="158" l="1"/>
  <c r="G4" i="158"/>
  <c r="F11" i="158"/>
  <c r="F5" i="158"/>
  <c r="F6" i="158"/>
  <c r="F7" i="158"/>
  <c r="F8" i="158"/>
  <c r="F9" i="158"/>
  <c r="F10" i="158"/>
  <c r="F4" i="158"/>
  <c r="G6" i="158"/>
  <c r="G7" i="158"/>
  <c r="G8" i="158"/>
  <c r="G9" i="158"/>
  <c r="G10" i="158"/>
  <c r="G5" i="158"/>
  <c r="D11" i="124" l="1"/>
  <c r="D4" i="158" l="1"/>
  <c r="D5" i="158"/>
  <c r="D6" i="158"/>
  <c r="D7" i="158"/>
  <c r="D8" i="158"/>
  <c r="D9" i="158"/>
  <c r="D10" i="158"/>
  <c r="D3" i="158"/>
  <c r="C14" i="157"/>
  <c r="C16" i="157" s="1"/>
  <c r="C32" i="157" s="1"/>
  <c r="C8" i="157"/>
  <c r="C16" i="150" l="1"/>
  <c r="C15" i="150"/>
  <c r="C14" i="155"/>
  <c r="C14" i="154"/>
  <c r="C14" i="153"/>
  <c r="C14" i="152"/>
  <c r="C14" i="151"/>
  <c r="C9" i="100"/>
  <c r="E9" i="100" s="1"/>
  <c r="C10" i="100"/>
  <c r="E10" i="100" s="1"/>
  <c r="C8" i="100"/>
  <c r="E8" i="100" s="1"/>
  <c r="C7" i="100"/>
  <c r="E7" i="100" s="1"/>
  <c r="C6" i="100"/>
  <c r="E6" i="100" s="1"/>
  <c r="C5" i="100"/>
  <c r="E5" i="100" s="1"/>
  <c r="C4" i="100"/>
  <c r="E4" i="100" s="1"/>
  <c r="E20" i="100"/>
  <c r="C17" i="100"/>
  <c r="E17" i="100" s="1"/>
  <c r="C18" i="100"/>
  <c r="E18" i="100" s="1"/>
  <c r="C19" i="100"/>
  <c r="E19" i="100" s="1"/>
  <c r="C20" i="100"/>
  <c r="C21" i="100"/>
  <c r="E21" i="100" s="1"/>
  <c r="C22" i="100"/>
  <c r="E22" i="100" s="1"/>
  <c r="C23" i="100"/>
  <c r="E23" i="100" s="1"/>
  <c r="C24" i="100"/>
  <c r="C25" i="100"/>
  <c r="E25" i="100" s="1"/>
  <c r="C26" i="100"/>
  <c r="E26" i="100" s="1"/>
  <c r="C16" i="100"/>
  <c r="E16" i="100" s="1"/>
  <c r="D24" i="100"/>
  <c r="C52" i="156"/>
  <c r="E52" i="156" s="1"/>
  <c r="C51" i="156"/>
  <c r="E51" i="156" s="1"/>
  <c r="C53" i="156"/>
  <c r="E53" i="156" s="1"/>
  <c r="C50" i="156"/>
  <c r="E50" i="156" s="1"/>
  <c r="C49" i="156"/>
  <c r="E49" i="156" s="1"/>
  <c r="C48" i="156"/>
  <c r="E48" i="156" s="1"/>
  <c r="C47" i="156"/>
  <c r="E47" i="156" s="1"/>
  <c r="C46" i="156"/>
  <c r="E46" i="156" s="1"/>
  <c r="C29" i="156"/>
  <c r="E29" i="156" s="1"/>
  <c r="C40" i="156"/>
  <c r="E40" i="156" s="1"/>
  <c r="C39" i="156"/>
  <c r="E39" i="156" s="1"/>
  <c r="C38" i="156"/>
  <c r="E38" i="156" s="1"/>
  <c r="C37" i="156"/>
  <c r="E37" i="156" s="1"/>
  <c r="C36" i="156"/>
  <c r="E36" i="156" s="1"/>
  <c r="C35" i="156"/>
  <c r="E35" i="156" s="1"/>
  <c r="C26" i="156"/>
  <c r="E26" i="156" s="1"/>
  <c r="C27" i="156"/>
  <c r="E27" i="156" s="1"/>
  <c r="C28" i="156"/>
  <c r="E28" i="156" s="1"/>
  <c r="C25" i="156"/>
  <c r="E25" i="156" s="1"/>
  <c r="C24" i="156"/>
  <c r="E24" i="156" s="1"/>
  <c r="C16" i="156"/>
  <c r="E16" i="156" s="1"/>
  <c r="C17" i="156"/>
  <c r="E17" i="156" s="1"/>
  <c r="C18" i="156"/>
  <c r="E18" i="156" s="1"/>
  <c r="C15" i="156"/>
  <c r="E15" i="156" s="1"/>
  <c r="C8" i="156"/>
  <c r="E8" i="156" s="1"/>
  <c r="C4" i="156"/>
  <c r="E4" i="156" s="1"/>
  <c r="C5" i="156"/>
  <c r="E5" i="156" s="1"/>
  <c r="C6" i="156"/>
  <c r="E6" i="156" s="1"/>
  <c r="C7" i="156"/>
  <c r="E7" i="156" s="1"/>
  <c r="C9" i="156"/>
  <c r="E9" i="156" s="1"/>
  <c r="E24" i="100" l="1"/>
  <c r="E11" i="100"/>
  <c r="E12" i="100" s="1"/>
  <c r="E27" i="100"/>
  <c r="E28" i="100" s="1"/>
  <c r="E41" i="156"/>
  <c r="E42" i="156" s="1"/>
  <c r="E19" i="156"/>
  <c r="E30" i="156"/>
  <c r="E54" i="156"/>
  <c r="E55" i="156" s="1"/>
  <c r="E10" i="156"/>
  <c r="E11" i="156" s="1"/>
  <c r="E20" i="156" l="1"/>
  <c r="E31" i="156"/>
  <c r="F21" i="138"/>
  <c r="E21" i="138"/>
  <c r="F20" i="138"/>
  <c r="E20" i="138"/>
  <c r="F19" i="138"/>
  <c r="E19" i="138"/>
  <c r="F18" i="138"/>
  <c r="E18" i="138"/>
  <c r="F17" i="138"/>
  <c r="E17" i="138"/>
  <c r="E5" i="138"/>
  <c r="E6" i="138"/>
  <c r="E7" i="138"/>
  <c r="E8" i="138"/>
  <c r="E9" i="138"/>
  <c r="E10" i="138"/>
  <c r="E11" i="138"/>
  <c r="E4" i="138"/>
  <c r="F5" i="138"/>
  <c r="F6" i="138"/>
  <c r="F7" i="138"/>
  <c r="F8" i="138"/>
  <c r="F9" i="138"/>
  <c r="F10" i="138"/>
  <c r="F11" i="138"/>
  <c r="F4" i="138"/>
  <c r="F12" i="138" l="1"/>
  <c r="F22" i="138"/>
  <c r="E22" i="138"/>
  <c r="E12" i="138"/>
  <c r="D12" i="124" l="1"/>
  <c r="D10" i="124"/>
  <c r="D9" i="124"/>
  <c r="D8" i="124"/>
  <c r="D7" i="124"/>
  <c r="D6" i="124"/>
  <c r="D5" i="124"/>
  <c r="D14" i="124" l="1"/>
  <c r="C16" i="155"/>
  <c r="C32" i="155" s="1"/>
  <c r="C8" i="155"/>
  <c r="C16" i="154"/>
  <c r="C32" i="154" s="1"/>
  <c r="C8" i="154"/>
  <c r="C16" i="153"/>
  <c r="C32" i="153" s="1"/>
  <c r="C8" i="153"/>
  <c r="C16" i="152"/>
  <c r="C32" i="152" s="1"/>
  <c r="C8" i="152"/>
  <c r="C16" i="151"/>
  <c r="C32" i="151" s="1"/>
  <c r="C8" i="151"/>
  <c r="C17" i="150"/>
  <c r="C33" i="150" s="1"/>
  <c r="C9" i="150"/>
  <c r="C8" i="106"/>
  <c r="C8" i="108"/>
  <c r="C21" i="131" l="1"/>
  <c r="L24" i="131"/>
  <c r="L23" i="131"/>
  <c r="L22" i="131"/>
  <c r="L22" i="129"/>
  <c r="L24" i="129"/>
  <c r="L23" i="129"/>
  <c r="C21" i="129" l="1"/>
  <c r="L29" i="131" l="1"/>
  <c r="L30" i="131" s="1"/>
  <c r="D11" i="131"/>
  <c r="L29" i="129"/>
  <c r="L30" i="129" s="1"/>
  <c r="D11" i="129"/>
  <c r="H6" i="131" l="1"/>
  <c r="H6" i="129" l="1"/>
  <c r="K27" i="131"/>
  <c r="L26" i="131" s="1"/>
  <c r="L28" i="131" s="1"/>
  <c r="K27" i="129"/>
  <c r="L26" i="129" s="1"/>
  <c r="L28" i="129" s="1"/>
  <c r="G6" i="129"/>
  <c r="G11" i="129" s="1"/>
  <c r="G6" i="131"/>
  <c r="G11" i="131" s="1"/>
  <c r="D7" i="131"/>
  <c r="D7" i="129"/>
  <c r="D8" i="131"/>
  <c r="D8" i="129"/>
  <c r="D9" i="131"/>
  <c r="D9" i="129"/>
  <c r="D10" i="129"/>
  <c r="D10" i="131"/>
  <c r="D12" i="129"/>
  <c r="D12" i="131"/>
  <c r="D13" i="131"/>
  <c r="D13" i="129"/>
  <c r="D14" i="129"/>
  <c r="D14" i="131"/>
  <c r="D15" i="129"/>
  <c r="D15" i="131"/>
  <c r="D16" i="131"/>
  <c r="D16" i="129"/>
  <c r="D17" i="131"/>
  <c r="D17" i="129"/>
  <c r="D18" i="131"/>
  <c r="D18" i="129"/>
  <c r="D19" i="129"/>
  <c r="D19" i="131"/>
  <c r="D20" i="131"/>
  <c r="D20" i="129"/>
  <c r="G7" i="131" l="1"/>
  <c r="G14" i="131"/>
  <c r="G12" i="131"/>
  <c r="G20" i="131"/>
  <c r="G10" i="131"/>
  <c r="G19" i="131"/>
  <c r="G15" i="131"/>
  <c r="G9" i="129"/>
  <c r="G16" i="131"/>
  <c r="G13" i="131"/>
  <c r="G18" i="131"/>
  <c r="G9" i="131"/>
  <c r="G17" i="129"/>
  <c r="G8" i="129"/>
  <c r="G17" i="131"/>
  <c r="G8" i="131"/>
  <c r="G18" i="129"/>
  <c r="G16" i="129"/>
  <c r="G13" i="129"/>
  <c r="G7" i="129"/>
  <c r="G14" i="129"/>
  <c r="G10" i="129"/>
  <c r="G20" i="129"/>
  <c r="G19" i="129"/>
  <c r="G15" i="129"/>
  <c r="G12" i="129"/>
  <c r="E17" i="131"/>
  <c r="E17" i="129"/>
  <c r="E18" i="129"/>
  <c r="E18" i="131"/>
  <c r="E13" i="131"/>
  <c r="E13" i="129"/>
  <c r="E9" i="129"/>
  <c r="E9" i="131"/>
  <c r="E11" i="131"/>
  <c r="E11" i="129"/>
  <c r="E7" i="131"/>
  <c r="E7" i="129"/>
  <c r="E12" i="129"/>
  <c r="E12" i="131"/>
  <c r="E15" i="129"/>
  <c r="E15" i="131"/>
  <c r="E19" i="129"/>
  <c r="E19" i="131"/>
  <c r="E10" i="129"/>
  <c r="E10" i="131"/>
  <c r="E14" i="129"/>
  <c r="E14" i="131"/>
  <c r="E16" i="129"/>
  <c r="E16" i="131"/>
  <c r="E8" i="131"/>
  <c r="E8" i="129"/>
  <c r="E20" i="131"/>
  <c r="E20" i="129"/>
  <c r="F14" i="129" l="1"/>
  <c r="H14" i="129" s="1"/>
  <c r="I14" i="129" s="1"/>
  <c r="C16" i="106"/>
  <c r="C16" i="108"/>
  <c r="F14" i="131" l="1"/>
  <c r="H14" i="131" s="1"/>
  <c r="I14" i="131" s="1"/>
  <c r="J14" i="131" s="1"/>
  <c r="K14" i="129"/>
  <c r="L14" i="129" s="1"/>
  <c r="J14" i="129"/>
  <c r="F13" i="129"/>
  <c r="H13" i="129" s="1"/>
  <c r="I13" i="129" s="1"/>
  <c r="F13" i="131"/>
  <c r="H13" i="131" s="1"/>
  <c r="I13" i="131" s="1"/>
  <c r="F18" i="131"/>
  <c r="H18" i="131" s="1"/>
  <c r="I18" i="131" s="1"/>
  <c r="F18" i="129"/>
  <c r="H18" i="129" s="1"/>
  <c r="I18" i="129" s="1"/>
  <c r="F20" i="131"/>
  <c r="H20" i="131" s="1"/>
  <c r="I20" i="131" s="1"/>
  <c r="F20" i="129"/>
  <c r="H20" i="129" s="1"/>
  <c r="I20" i="129" s="1"/>
  <c r="C32" i="108"/>
  <c r="F8" i="129"/>
  <c r="H8" i="129" s="1"/>
  <c r="I8" i="129" s="1"/>
  <c r="F8" i="131"/>
  <c r="H8" i="131" s="1"/>
  <c r="I8" i="131" s="1"/>
  <c r="F16" i="129"/>
  <c r="H16" i="129" s="1"/>
  <c r="I16" i="129" s="1"/>
  <c r="J16" i="129" s="1"/>
  <c r="F16" i="131"/>
  <c r="H16" i="131" s="1"/>
  <c r="I16" i="131" s="1"/>
  <c r="J16" i="131" s="1"/>
  <c r="F15" i="129"/>
  <c r="H15" i="129" s="1"/>
  <c r="I15" i="129" s="1"/>
  <c r="F15" i="131"/>
  <c r="H15" i="131" s="1"/>
  <c r="I15" i="131" s="1"/>
  <c r="F19" i="129"/>
  <c r="H19" i="129" s="1"/>
  <c r="I19" i="129" s="1"/>
  <c r="F19" i="131"/>
  <c r="H19" i="131" s="1"/>
  <c r="I19" i="131" s="1"/>
  <c r="F17" i="131"/>
  <c r="H17" i="131" s="1"/>
  <c r="I17" i="131" s="1"/>
  <c r="F17" i="129"/>
  <c r="H17" i="129" s="1"/>
  <c r="I17" i="129" s="1"/>
  <c r="F7" i="131"/>
  <c r="H7" i="131" s="1"/>
  <c r="I7" i="131" s="1"/>
  <c r="F7" i="129"/>
  <c r="H7" i="129" s="1"/>
  <c r="I7" i="129" s="1"/>
  <c r="F10" i="129"/>
  <c r="H10" i="129" s="1"/>
  <c r="I10" i="129" s="1"/>
  <c r="F10" i="131"/>
  <c r="H10" i="131" s="1"/>
  <c r="I10" i="131" s="1"/>
  <c r="F11" i="129"/>
  <c r="H11" i="129" s="1"/>
  <c r="I11" i="129" s="1"/>
  <c r="F11" i="131"/>
  <c r="H11" i="131" s="1"/>
  <c r="I11" i="131" s="1"/>
  <c r="F12" i="131"/>
  <c r="H12" i="131" s="1"/>
  <c r="I12" i="131" s="1"/>
  <c r="F12" i="129"/>
  <c r="H12" i="129" s="1"/>
  <c r="I12" i="129" s="1"/>
  <c r="F9" i="129"/>
  <c r="H9" i="129" s="1"/>
  <c r="I9" i="129" s="1"/>
  <c r="F9" i="131"/>
  <c r="H9" i="131" s="1"/>
  <c r="I9" i="131" s="1"/>
  <c r="K14" i="131" l="1"/>
  <c r="L14" i="131" s="1"/>
  <c r="K16" i="129"/>
  <c r="L16" i="129" s="1"/>
  <c r="K16" i="131"/>
  <c r="L16" i="131" s="1"/>
  <c r="J7" i="131"/>
  <c r="K7" i="131"/>
  <c r="J18" i="129"/>
  <c r="K18" i="129"/>
  <c r="L18" i="129" s="1"/>
  <c r="K11" i="129"/>
  <c r="L11" i="129" s="1"/>
  <c r="J11" i="129"/>
  <c r="J17" i="129"/>
  <c r="K17" i="129"/>
  <c r="L17" i="129" s="1"/>
  <c r="K15" i="131"/>
  <c r="L15" i="131" s="1"/>
  <c r="J15" i="131"/>
  <c r="K18" i="131"/>
  <c r="L18" i="131" s="1"/>
  <c r="J18" i="131"/>
  <c r="K11" i="131"/>
  <c r="L11" i="131" s="1"/>
  <c r="J11" i="131"/>
  <c r="K9" i="131"/>
  <c r="L9" i="131" s="1"/>
  <c r="J9" i="131"/>
  <c r="J9" i="129"/>
  <c r="K9" i="129"/>
  <c r="L9" i="129" s="1"/>
  <c r="K17" i="131"/>
  <c r="L17" i="131" s="1"/>
  <c r="J17" i="131"/>
  <c r="K19" i="131"/>
  <c r="L19" i="131" s="1"/>
  <c r="J19" i="131"/>
  <c r="K15" i="129"/>
  <c r="L15" i="129" s="1"/>
  <c r="J15" i="129"/>
  <c r="J20" i="129"/>
  <c r="K20" i="129"/>
  <c r="L20" i="129" s="1"/>
  <c r="K13" i="131"/>
  <c r="L13" i="131" s="1"/>
  <c r="J13" i="131"/>
  <c r="K12" i="129"/>
  <c r="L12" i="129" s="1"/>
  <c r="J12" i="129"/>
  <c r="K10" i="129"/>
  <c r="L10" i="129" s="1"/>
  <c r="J10" i="129"/>
  <c r="K8" i="129"/>
  <c r="L8" i="129" s="1"/>
  <c r="J8" i="129"/>
  <c r="J12" i="131"/>
  <c r="K12" i="131"/>
  <c r="L12" i="131" s="1"/>
  <c r="K10" i="131"/>
  <c r="L10" i="131" s="1"/>
  <c r="J10" i="131"/>
  <c r="K7" i="129"/>
  <c r="L7" i="129" s="1"/>
  <c r="J7" i="129"/>
  <c r="J19" i="129"/>
  <c r="K19" i="129"/>
  <c r="L19" i="129" s="1"/>
  <c r="J8" i="131"/>
  <c r="K8" i="131"/>
  <c r="L8" i="131" s="1"/>
  <c r="K20" i="131"/>
  <c r="L20" i="131" s="1"/>
  <c r="J20" i="131"/>
  <c r="K13" i="129"/>
  <c r="L13" i="129" s="1"/>
  <c r="J13" i="129"/>
  <c r="K21" i="129" l="1"/>
  <c r="L21" i="129"/>
  <c r="L25" i="129" s="1"/>
  <c r="L31" i="129" s="1"/>
  <c r="L7" i="131"/>
  <c r="L21" i="131" s="1"/>
  <c r="L25" i="131" s="1"/>
  <c r="L31" i="131" s="1"/>
  <c r="K21" i="131"/>
  <c r="E11" i="158"/>
  <c r="H13" i="157" l="1"/>
  <c r="C4" i="157"/>
  <c r="C7" i="157" s="1"/>
  <c r="C12" i="157" s="1"/>
  <c r="C31" i="157" s="1"/>
  <c r="E7" i="158"/>
  <c r="C5" i="157" l="1"/>
  <c r="C30" i="157" s="1"/>
  <c r="C4" i="152"/>
  <c r="H51" i="157"/>
  <c r="H56" i="157" s="1"/>
  <c r="H64" i="157" s="1"/>
  <c r="H19" i="157"/>
  <c r="H13" i="152"/>
  <c r="H51" i="152" s="1"/>
  <c r="H56" i="152" s="1"/>
  <c r="H64" i="152" s="1"/>
  <c r="E9" i="158"/>
  <c r="C19" i="157" l="1"/>
  <c r="C33" i="157" s="1"/>
  <c r="C34" i="157" s="1"/>
  <c r="H13" i="150"/>
  <c r="H19" i="152"/>
  <c r="H130" i="157"/>
  <c r="H26" i="157"/>
  <c r="H25" i="157"/>
  <c r="C7" i="152"/>
  <c r="C12" i="152" s="1"/>
  <c r="C31" i="152" s="1"/>
  <c r="C5" i="152"/>
  <c r="C4" i="150"/>
  <c r="C8" i="150" s="1"/>
  <c r="C13" i="150" s="1"/>
  <c r="C32" i="150" s="1"/>
  <c r="E10" i="158"/>
  <c r="C11" i="159" l="1"/>
  <c r="C21" i="157"/>
  <c r="C22" i="157" s="1"/>
  <c r="C25" i="157" s="1"/>
  <c r="C6" i="150"/>
  <c r="C31" i="150" s="1"/>
  <c r="H27" i="157"/>
  <c r="H86" i="157" s="1"/>
  <c r="H13" i="155"/>
  <c r="H26" i="152"/>
  <c r="H25" i="152"/>
  <c r="H130" i="152"/>
  <c r="H38" i="157"/>
  <c r="H72" i="157"/>
  <c r="C19" i="152"/>
  <c r="C33" i="152" s="1"/>
  <c r="C30" i="152"/>
  <c r="H51" i="150"/>
  <c r="H56" i="150" s="1"/>
  <c r="H64" i="150" s="1"/>
  <c r="H14" i="150"/>
  <c r="H19" i="150" s="1"/>
  <c r="C4" i="155"/>
  <c r="C7" i="155" s="1"/>
  <c r="C12" i="155" s="1"/>
  <c r="C31" i="155" s="1"/>
  <c r="E4" i="158"/>
  <c r="C10" i="159" l="1"/>
  <c r="C4" i="159"/>
  <c r="H69" i="157"/>
  <c r="H36" i="157"/>
  <c r="H37" i="157"/>
  <c r="H90" i="157"/>
  <c r="H71" i="157"/>
  <c r="H85" i="157"/>
  <c r="H75" i="157"/>
  <c r="C20" i="150"/>
  <c r="C34" i="150" s="1"/>
  <c r="C35" i="150" s="1"/>
  <c r="H27" i="152"/>
  <c r="H35" i="152" s="1"/>
  <c r="C21" i="152"/>
  <c r="C22" i="152" s="1"/>
  <c r="C34" i="152"/>
  <c r="H62" i="157"/>
  <c r="H74" i="157"/>
  <c r="H40" i="157"/>
  <c r="H87" i="157"/>
  <c r="H73" i="157"/>
  <c r="H41" i="157"/>
  <c r="H89" i="157"/>
  <c r="H88" i="157"/>
  <c r="H34" i="157"/>
  <c r="H70" i="157"/>
  <c r="H35" i="157"/>
  <c r="H39" i="157"/>
  <c r="A1" i="153"/>
  <c r="H13" i="153"/>
  <c r="H26" i="150"/>
  <c r="H25" i="150"/>
  <c r="H130" i="150"/>
  <c r="C26" i="157"/>
  <c r="C24" i="157"/>
  <c r="C5" i="155"/>
  <c r="C27" i="157"/>
  <c r="H51" i="155"/>
  <c r="H56" i="155" s="1"/>
  <c r="H64" i="155" s="1"/>
  <c r="H19" i="155"/>
  <c r="C4" i="153"/>
  <c r="C7" i="153" s="1"/>
  <c r="C12" i="153" s="1"/>
  <c r="C31" i="153" s="1"/>
  <c r="E5" i="158"/>
  <c r="C6" i="159" l="1"/>
  <c r="H40" i="152"/>
  <c r="H72" i="152"/>
  <c r="H73" i="152"/>
  <c r="H34" i="152"/>
  <c r="H75" i="152"/>
  <c r="H69" i="152"/>
  <c r="H27" i="150"/>
  <c r="H62" i="150" s="1"/>
  <c r="H87" i="152"/>
  <c r="H39" i="152"/>
  <c r="H85" i="152"/>
  <c r="H88" i="152"/>
  <c r="H90" i="152"/>
  <c r="H37" i="152"/>
  <c r="H70" i="152"/>
  <c r="H41" i="152"/>
  <c r="H89" i="152"/>
  <c r="H38" i="152"/>
  <c r="H76" i="157"/>
  <c r="H132" i="157" s="1"/>
  <c r="C22" i="150"/>
  <c r="C23" i="150" s="1"/>
  <c r="C26" i="150" s="1"/>
  <c r="C27" i="152"/>
  <c r="C25" i="152"/>
  <c r="H62" i="152"/>
  <c r="H36" i="152"/>
  <c r="H86" i="152"/>
  <c r="H71" i="152"/>
  <c r="H74" i="152"/>
  <c r="C5" i="153"/>
  <c r="C30" i="153" s="1"/>
  <c r="C26" i="152"/>
  <c r="H42" i="157"/>
  <c r="H63" i="157" s="1"/>
  <c r="H65" i="157" s="1"/>
  <c r="H131" i="157" s="1"/>
  <c r="H91" i="157"/>
  <c r="H101" i="157" s="1"/>
  <c r="H103" i="157" s="1"/>
  <c r="H133" i="157" s="1"/>
  <c r="C4" i="154"/>
  <c r="C23" i="157"/>
  <c r="C28" i="157" s="1"/>
  <c r="C35" i="157" s="1"/>
  <c r="C36" i="157" s="1"/>
  <c r="C38" i="157" s="1"/>
  <c r="C24" i="152"/>
  <c r="C19" i="155"/>
  <c r="C33" i="155" s="1"/>
  <c r="C30" i="155"/>
  <c r="H19" i="153"/>
  <c r="H51" i="153"/>
  <c r="H56" i="153" s="1"/>
  <c r="H64" i="153" s="1"/>
  <c r="H25" i="155"/>
  <c r="H26" i="155"/>
  <c r="H130" i="155"/>
  <c r="H13" i="154"/>
  <c r="H51" i="154" s="1"/>
  <c r="H56" i="154" s="1"/>
  <c r="H64" i="154" s="1"/>
  <c r="E8" i="158"/>
  <c r="C7" i="159" l="1"/>
  <c r="H90" i="150"/>
  <c r="H69" i="150"/>
  <c r="H70" i="150"/>
  <c r="H39" i="150"/>
  <c r="H38" i="150"/>
  <c r="H72" i="150"/>
  <c r="H35" i="150"/>
  <c r="H36" i="150"/>
  <c r="H41" i="150"/>
  <c r="H37" i="150"/>
  <c r="H75" i="150"/>
  <c r="H86" i="150"/>
  <c r="H87" i="150"/>
  <c r="H85" i="150"/>
  <c r="H73" i="150"/>
  <c r="H34" i="150"/>
  <c r="H89" i="150"/>
  <c r="H88" i="150"/>
  <c r="H74" i="150"/>
  <c r="H40" i="150"/>
  <c r="H71" i="150"/>
  <c r="H42" i="152"/>
  <c r="H63" i="152" s="1"/>
  <c r="H65" i="152" s="1"/>
  <c r="H131" i="152" s="1"/>
  <c r="H91" i="152"/>
  <c r="H101" i="152" s="1"/>
  <c r="H103" i="152" s="1"/>
  <c r="H133" i="152" s="1"/>
  <c r="C19" i="153"/>
  <c r="C33" i="153" s="1"/>
  <c r="C34" i="153" s="1"/>
  <c r="C23" i="152"/>
  <c r="C28" i="152" s="1"/>
  <c r="C35" i="152" s="1"/>
  <c r="C36" i="152" s="1"/>
  <c r="C38" i="152" s="1"/>
  <c r="H76" i="152"/>
  <c r="H132" i="152" s="1"/>
  <c r="H19" i="154"/>
  <c r="H130" i="154" s="1"/>
  <c r="C21" i="155"/>
  <c r="C22" i="155" s="1"/>
  <c r="C25" i="155" s="1"/>
  <c r="C34" i="155"/>
  <c r="H135" i="157"/>
  <c r="H13" i="151"/>
  <c r="H27" i="155"/>
  <c r="H26" i="153"/>
  <c r="H25" i="153"/>
  <c r="H130" i="153"/>
  <c r="C28" i="150"/>
  <c r="C25" i="150"/>
  <c r="C27" i="150"/>
  <c r="C7" i="154"/>
  <c r="C12" i="154" s="1"/>
  <c r="C31" i="154" s="1"/>
  <c r="C5" i="154"/>
  <c r="C4" i="151"/>
  <c r="C7" i="151" s="1"/>
  <c r="C12" i="151" s="1"/>
  <c r="C31" i="151" s="1"/>
  <c r="E6" i="158"/>
  <c r="H26" i="154" l="1"/>
  <c r="C8" i="159"/>
  <c r="H42" i="150"/>
  <c r="H63" i="150" s="1"/>
  <c r="H65" i="150" s="1"/>
  <c r="H131" i="150" s="1"/>
  <c r="H135" i="152"/>
  <c r="H118" i="152" s="1"/>
  <c r="H76" i="150"/>
  <c r="H132" i="150" s="1"/>
  <c r="H91" i="150"/>
  <c r="H101" i="150" s="1"/>
  <c r="H103" i="150" s="1"/>
  <c r="H133" i="150" s="1"/>
  <c r="H25" i="154"/>
  <c r="C21" i="153"/>
  <c r="C22" i="153" s="1"/>
  <c r="C25" i="153" s="1"/>
  <c r="H27" i="153"/>
  <c r="H62" i="153" s="1"/>
  <c r="C5" i="151"/>
  <c r="C30" i="151" s="1"/>
  <c r="H117" i="157"/>
  <c r="H118" i="157"/>
  <c r="C4" i="108"/>
  <c r="H62" i="155"/>
  <c r="H40" i="155"/>
  <c r="H75" i="155"/>
  <c r="H87" i="155"/>
  <c r="H34" i="155"/>
  <c r="H71" i="155"/>
  <c r="H37" i="155"/>
  <c r="H73" i="155"/>
  <c r="H39" i="155"/>
  <c r="H36" i="155"/>
  <c r="H35" i="155"/>
  <c r="H86" i="155"/>
  <c r="H41" i="155"/>
  <c r="H69" i="155"/>
  <c r="H74" i="155"/>
  <c r="H38" i="155"/>
  <c r="H85" i="155"/>
  <c r="H89" i="155"/>
  <c r="H72" i="155"/>
  <c r="H70" i="155"/>
  <c r="H90" i="155"/>
  <c r="H88" i="155"/>
  <c r="C24" i="150"/>
  <c r="C29" i="150" s="1"/>
  <c r="C36" i="150" s="1"/>
  <c r="C37" i="150" s="1"/>
  <c r="C19" i="154"/>
  <c r="C33" i="154" s="1"/>
  <c r="C30" i="154"/>
  <c r="C24" i="155"/>
  <c r="C26" i="155"/>
  <c r="C27" i="155"/>
  <c r="H51" i="151"/>
  <c r="H56" i="151" s="1"/>
  <c r="H64" i="151" s="1"/>
  <c r="H19" i="151"/>
  <c r="H13" i="108"/>
  <c r="H51" i="108" s="1"/>
  <c r="H56" i="108" s="1"/>
  <c r="H64" i="108" s="1"/>
  <c r="E3" i="158"/>
  <c r="H27" i="154" l="1"/>
  <c r="H70" i="154" s="1"/>
  <c r="H13" i="106"/>
  <c r="H117" i="152"/>
  <c r="H119" i="152" s="1"/>
  <c r="H124" i="152" s="1"/>
  <c r="H136" i="152" s="1"/>
  <c r="H137" i="152" s="1"/>
  <c r="C8" i="124" s="1"/>
  <c r="E8" i="124" s="1"/>
  <c r="F8" i="124" s="1"/>
  <c r="H135" i="150"/>
  <c r="H117" i="150" s="1"/>
  <c r="H72" i="153"/>
  <c r="H38" i="153"/>
  <c r="H123" i="152"/>
  <c r="H88" i="153"/>
  <c r="C27" i="153"/>
  <c r="C24" i="153"/>
  <c r="C26" i="153"/>
  <c r="H35" i="153"/>
  <c r="H85" i="153"/>
  <c r="H73" i="153"/>
  <c r="H86" i="153"/>
  <c r="H87" i="153"/>
  <c r="H90" i="153"/>
  <c r="H40" i="153"/>
  <c r="H71" i="153"/>
  <c r="H75" i="153"/>
  <c r="H39" i="153"/>
  <c r="H89" i="153"/>
  <c r="H69" i="153"/>
  <c r="H74" i="153"/>
  <c r="H70" i="153"/>
  <c r="H34" i="153"/>
  <c r="H37" i="153"/>
  <c r="H41" i="153"/>
  <c r="H36" i="153"/>
  <c r="H19" i="108"/>
  <c r="H26" i="108" s="1"/>
  <c r="C19" i="151"/>
  <c r="C33" i="151" s="1"/>
  <c r="C34" i="151" s="1"/>
  <c r="H118" i="150"/>
  <c r="H123" i="150" s="1"/>
  <c r="H119" i="157"/>
  <c r="H124" i="157" s="1"/>
  <c r="H136" i="157" s="1"/>
  <c r="H137" i="157" s="1"/>
  <c r="C13" i="124" s="1"/>
  <c r="E13" i="124" s="1"/>
  <c r="F13" i="124" s="1"/>
  <c r="H123" i="157"/>
  <c r="C34" i="154"/>
  <c r="C4" i="106"/>
  <c r="C39" i="150"/>
  <c r="H91" i="155"/>
  <c r="H101" i="155" s="1"/>
  <c r="H103" i="155" s="1"/>
  <c r="H133" i="155" s="1"/>
  <c r="H42" i="155"/>
  <c r="H63" i="155" s="1"/>
  <c r="H65" i="155" s="1"/>
  <c r="H131" i="155" s="1"/>
  <c r="H76" i="155"/>
  <c r="H132" i="155" s="1"/>
  <c r="H26" i="151"/>
  <c r="H25" i="151"/>
  <c r="H130" i="151"/>
  <c r="C23" i="155"/>
  <c r="C28" i="155" s="1"/>
  <c r="C35" i="155" s="1"/>
  <c r="C36" i="155" s="1"/>
  <c r="C38" i="155" s="1"/>
  <c r="C21" i="154"/>
  <c r="C7" i="108"/>
  <c r="C12" i="108" s="1"/>
  <c r="C31" i="108" s="1"/>
  <c r="C5" i="108"/>
  <c r="H51" i="106"/>
  <c r="H56" i="106" s="1"/>
  <c r="H64" i="106" s="1"/>
  <c r="H35" i="154" l="1"/>
  <c r="H39" i="154"/>
  <c r="H74" i="154"/>
  <c r="H37" i="154"/>
  <c r="H88" i="154"/>
  <c r="H40" i="154"/>
  <c r="H73" i="154"/>
  <c r="H90" i="154"/>
  <c r="H62" i="154"/>
  <c r="H75" i="154"/>
  <c r="H41" i="154"/>
  <c r="H89" i="154"/>
  <c r="H72" i="154"/>
  <c r="H85" i="154"/>
  <c r="H91" i="154" s="1"/>
  <c r="H101" i="154" s="1"/>
  <c r="H103" i="154" s="1"/>
  <c r="H133" i="154" s="1"/>
  <c r="H71" i="154"/>
  <c r="H34" i="154"/>
  <c r="H42" i="154" s="1"/>
  <c r="H63" i="154" s="1"/>
  <c r="H65" i="154" s="1"/>
  <c r="H131" i="154" s="1"/>
  <c r="H69" i="154"/>
  <c r="H86" i="154"/>
  <c r="H36" i="154"/>
  <c r="H38" i="154"/>
  <c r="H87" i="154"/>
  <c r="H91" i="153"/>
  <c r="H101" i="153" s="1"/>
  <c r="H103" i="153" s="1"/>
  <c r="H133" i="153" s="1"/>
  <c r="C23" i="153"/>
  <c r="C28" i="153" s="1"/>
  <c r="C35" i="153" s="1"/>
  <c r="C36" i="153" s="1"/>
  <c r="C38" i="153" s="1"/>
  <c r="H42" i="153"/>
  <c r="H63" i="153" s="1"/>
  <c r="H65" i="153" s="1"/>
  <c r="H131" i="153" s="1"/>
  <c r="H76" i="153"/>
  <c r="H132" i="153" s="1"/>
  <c r="H130" i="108"/>
  <c r="H25" i="108"/>
  <c r="H19" i="106"/>
  <c r="H130" i="106" s="1"/>
  <c r="C21" i="151"/>
  <c r="C22" i="151" s="1"/>
  <c r="C27" i="151" s="1"/>
  <c r="H119" i="150"/>
  <c r="H124" i="150" s="1"/>
  <c r="H136" i="150" s="1"/>
  <c r="H137" i="150" s="1"/>
  <c r="C12" i="124" s="1"/>
  <c r="E12" i="124" s="1"/>
  <c r="F12" i="124" s="1"/>
  <c r="H135" i="155"/>
  <c r="H118" i="155" s="1"/>
  <c r="H27" i="108"/>
  <c r="H36" i="108" s="1"/>
  <c r="C19" i="108"/>
  <c r="C33" i="108" s="1"/>
  <c r="C30" i="108"/>
  <c r="H27" i="151"/>
  <c r="C22" i="154"/>
  <c r="C7" i="106"/>
  <c r="C12" i="106" s="1"/>
  <c r="C31" i="106" s="1"/>
  <c r="C5" i="106"/>
  <c r="H76" i="154" l="1"/>
  <c r="H132" i="154" s="1"/>
  <c r="H135" i="154" s="1"/>
  <c r="H117" i="154" s="1"/>
  <c r="H26" i="106"/>
  <c r="H25" i="106"/>
  <c r="H87" i="108"/>
  <c r="H89" i="108"/>
  <c r="H135" i="153"/>
  <c r="H117" i="153" s="1"/>
  <c r="H90" i="108"/>
  <c r="H40" i="108"/>
  <c r="H41" i="108"/>
  <c r="C24" i="151"/>
  <c r="H74" i="108"/>
  <c r="H70" i="108"/>
  <c r="H39" i="108"/>
  <c r="H35" i="108"/>
  <c r="H117" i="155"/>
  <c r="H123" i="155" s="1"/>
  <c r="C25" i="151"/>
  <c r="C26" i="151"/>
  <c r="H72" i="108"/>
  <c r="H86" i="108"/>
  <c r="H73" i="108"/>
  <c r="H88" i="108"/>
  <c r="H85" i="108"/>
  <c r="H69" i="108"/>
  <c r="H71" i="108"/>
  <c r="C21" i="108"/>
  <c r="C22" i="108" s="1"/>
  <c r="C25" i="108" s="1"/>
  <c r="H62" i="108"/>
  <c r="H75" i="108"/>
  <c r="H38" i="108"/>
  <c r="H37" i="108"/>
  <c r="H34" i="108"/>
  <c r="C19" i="106"/>
  <c r="C33" i="106" s="1"/>
  <c r="C30" i="106"/>
  <c r="C26" i="154"/>
  <c r="C25" i="154"/>
  <c r="C24" i="154"/>
  <c r="H62" i="151"/>
  <c r="H39" i="151"/>
  <c r="H75" i="151"/>
  <c r="H69" i="151"/>
  <c r="H73" i="151"/>
  <c r="H71" i="151"/>
  <c r="H89" i="151"/>
  <c r="H74" i="151"/>
  <c r="H85" i="151"/>
  <c r="H37" i="151"/>
  <c r="H86" i="151"/>
  <c r="H88" i="151"/>
  <c r="H90" i="151"/>
  <c r="H38" i="151"/>
  <c r="H70" i="151"/>
  <c r="H40" i="151"/>
  <c r="H35" i="151"/>
  <c r="H34" i="151"/>
  <c r="H87" i="151"/>
  <c r="H36" i="151"/>
  <c r="H72" i="151"/>
  <c r="H41" i="151"/>
  <c r="C34" i="108"/>
  <c r="C27" i="154"/>
  <c r="H27" i="106" l="1"/>
  <c r="H40" i="106" s="1"/>
  <c r="H118" i="153"/>
  <c r="H119" i="155"/>
  <c r="H124" i="155" s="1"/>
  <c r="H136" i="155" s="1"/>
  <c r="H137" i="155" s="1"/>
  <c r="C11" i="124" s="1"/>
  <c r="E11" i="124" s="1"/>
  <c r="F11" i="124" s="1"/>
  <c r="H91" i="108"/>
  <c r="H101" i="108" s="1"/>
  <c r="H103" i="108" s="1"/>
  <c r="H133" i="108" s="1"/>
  <c r="C23" i="151"/>
  <c r="C28" i="151" s="1"/>
  <c r="C35" i="151" s="1"/>
  <c r="C36" i="151" s="1"/>
  <c r="C38" i="151" s="1"/>
  <c r="H76" i="108"/>
  <c r="H132" i="108" s="1"/>
  <c r="H42" i="108"/>
  <c r="H63" i="108" s="1"/>
  <c r="H65" i="108" s="1"/>
  <c r="H131" i="108" s="1"/>
  <c r="H118" i="154"/>
  <c r="H119" i="154" s="1"/>
  <c r="H124" i="154" s="1"/>
  <c r="H136" i="154" s="1"/>
  <c r="H137" i="154" s="1"/>
  <c r="C10" i="124" s="1"/>
  <c r="E10" i="124" s="1"/>
  <c r="F10" i="124" s="1"/>
  <c r="C34" i="106"/>
  <c r="C23" i="154"/>
  <c r="C28" i="154" s="1"/>
  <c r="C35" i="154" s="1"/>
  <c r="C36" i="154" s="1"/>
  <c r="C38" i="154" s="1"/>
  <c r="C24" i="108"/>
  <c r="H91" i="151"/>
  <c r="H101" i="151" s="1"/>
  <c r="H103" i="151" s="1"/>
  <c r="H133" i="151" s="1"/>
  <c r="H76" i="151"/>
  <c r="H132" i="151" s="1"/>
  <c r="H42" i="151"/>
  <c r="H63" i="151" s="1"/>
  <c r="H65" i="151" s="1"/>
  <c r="H131" i="151" s="1"/>
  <c r="C26" i="108"/>
  <c r="C21" i="106"/>
  <c r="C27" i="108"/>
  <c r="H86" i="106" l="1"/>
  <c r="H62" i="106"/>
  <c r="H35" i="106"/>
  <c r="H41" i="106"/>
  <c r="H39" i="106"/>
  <c r="H73" i="106"/>
  <c r="H72" i="106"/>
  <c r="H74" i="106"/>
  <c r="H34" i="106"/>
  <c r="H88" i="106"/>
  <c r="H75" i="106"/>
  <c r="H70" i="106"/>
  <c r="H71" i="106"/>
  <c r="H87" i="106"/>
  <c r="H37" i="106"/>
  <c r="H90" i="106"/>
  <c r="H36" i="106"/>
  <c r="H85" i="106"/>
  <c r="H69" i="106"/>
  <c r="H38" i="106"/>
  <c r="H89" i="106"/>
  <c r="H123" i="154"/>
  <c r="H119" i="153"/>
  <c r="H124" i="153" s="1"/>
  <c r="H136" i="153" s="1"/>
  <c r="H137" i="153" s="1"/>
  <c r="C9" i="124" s="1"/>
  <c r="E9" i="124" s="1"/>
  <c r="F9" i="124" s="1"/>
  <c r="H123" i="153"/>
  <c r="H135" i="108"/>
  <c r="H117" i="108" s="1"/>
  <c r="H135" i="151"/>
  <c r="H117" i="151" s="1"/>
  <c r="C23" i="108"/>
  <c r="C28" i="108" s="1"/>
  <c r="C35" i="108" s="1"/>
  <c r="C36" i="108" s="1"/>
  <c r="C38" i="108" s="1"/>
  <c r="C22" i="106"/>
  <c r="C24" i="106" s="1"/>
  <c r="H76" i="106" l="1"/>
  <c r="H132" i="106" s="1"/>
  <c r="H91" i="106"/>
  <c r="H101" i="106" s="1"/>
  <c r="H103" i="106" s="1"/>
  <c r="H133" i="106" s="1"/>
  <c r="H42" i="106"/>
  <c r="H63" i="106" s="1"/>
  <c r="H65" i="106" s="1"/>
  <c r="H131" i="106" s="1"/>
  <c r="H118" i="151"/>
  <c r="H119" i="151" s="1"/>
  <c r="H124" i="151" s="1"/>
  <c r="H136" i="151" s="1"/>
  <c r="H137" i="151" s="1"/>
  <c r="C7" i="124" s="1"/>
  <c r="E7" i="124" s="1"/>
  <c r="F7" i="124" s="1"/>
  <c r="H118" i="108"/>
  <c r="C27" i="106"/>
  <c r="C25" i="106"/>
  <c r="C26" i="106"/>
  <c r="H135" i="106" l="1"/>
  <c r="H118" i="106" s="1"/>
  <c r="H123" i="151"/>
  <c r="H119" i="108"/>
  <c r="H124" i="108" s="1"/>
  <c r="H136" i="108" s="1"/>
  <c r="H137" i="108" s="1"/>
  <c r="C6" i="124" s="1"/>
  <c r="E6" i="124" s="1"/>
  <c r="F6" i="124" s="1"/>
  <c r="H123" i="108"/>
  <c r="C23" i="106"/>
  <c r="C28" i="106" s="1"/>
  <c r="C35" i="106" s="1"/>
  <c r="C36" i="106" s="1"/>
  <c r="C38" i="106" s="1"/>
  <c r="H117" i="106" l="1"/>
  <c r="H123" i="106" s="1"/>
  <c r="H119" i="106" l="1"/>
  <c r="H124" i="106" s="1"/>
  <c r="H136" i="106" s="1"/>
  <c r="H137" i="106" s="1"/>
  <c r="C5" i="124" s="1"/>
  <c r="C14" i="124" s="1"/>
  <c r="E5" i="124" l="1"/>
  <c r="E14" i="124" s="1"/>
  <c r="E19" i="124" s="1"/>
  <c r="E20" i="124" l="1"/>
  <c r="F5" i="124"/>
  <c r="F14" i="124" s="1"/>
  <c r="F20" i="124" s="1"/>
</calcChain>
</file>

<file path=xl/sharedStrings.xml><?xml version="1.0" encoding="utf-8"?>
<sst xmlns="http://schemas.openxmlformats.org/spreadsheetml/2006/main" count="2774" uniqueCount="395">
  <si>
    <t>Custos Indiretos</t>
  </si>
  <si>
    <t>Lucro</t>
  </si>
  <si>
    <t>Módulo 1 - Composição da Remuneração</t>
  </si>
  <si>
    <t>Módulo 2 - Benefícios Mensais e Diários</t>
  </si>
  <si>
    <t>Módulo 3 - Insumos Diversos</t>
  </si>
  <si>
    <t>Salário-base</t>
  </si>
  <si>
    <t>ISS</t>
  </si>
  <si>
    <t>PIS</t>
  </si>
  <si>
    <t>Valor</t>
  </si>
  <si>
    <t>4.1</t>
  </si>
  <si>
    <t>A</t>
  </si>
  <si>
    <t>INSS</t>
  </si>
  <si>
    <t>B</t>
  </si>
  <si>
    <t>C</t>
  </si>
  <si>
    <t>D</t>
  </si>
  <si>
    <t>INCRA</t>
  </si>
  <si>
    <t>E</t>
  </si>
  <si>
    <t>F</t>
  </si>
  <si>
    <t>FGTS</t>
  </si>
  <si>
    <t>G</t>
  </si>
  <si>
    <t>H</t>
  </si>
  <si>
    <t>SEBRAE</t>
  </si>
  <si>
    <t>4.2</t>
  </si>
  <si>
    <t>COFINS</t>
  </si>
  <si>
    <t>Valor Unitário</t>
  </si>
  <si>
    <t xml:space="preserve">Auxílio Alimentação </t>
  </si>
  <si>
    <t>Total</t>
  </si>
  <si>
    <t>Provisão para Rescisão</t>
  </si>
  <si>
    <t>Tributos</t>
  </si>
  <si>
    <t>Uniformes</t>
  </si>
  <si>
    <t>Valor Anual</t>
  </si>
  <si>
    <t>Total da Remuneração</t>
  </si>
  <si>
    <t xml:space="preserve">Transporte </t>
  </si>
  <si>
    <t>Total Benefícios Mensais e Diários</t>
  </si>
  <si>
    <t>Módulo 4 - Encargos Sociais e Trabalhistas</t>
  </si>
  <si>
    <t>Encargos</t>
  </si>
  <si>
    <t>Total Encargos Sociais e Trabalhistas</t>
  </si>
  <si>
    <t>Módulo 5 - Custos Indiretos, Tributos e Lucro</t>
  </si>
  <si>
    <t>CPRB*</t>
  </si>
  <si>
    <t>Total Custos Indiretos, Tributos e Lucro</t>
  </si>
  <si>
    <t>Quadro Resumo do Custo por Posto de Trabalho</t>
  </si>
  <si>
    <t>Subtotal  (1+2+3+4)</t>
  </si>
  <si>
    <t>Valor do posto</t>
  </si>
  <si>
    <t xml:space="preserve">Quantidade de postos </t>
  </si>
  <si>
    <t>Total Insumos Diversos</t>
  </si>
  <si>
    <t>Total da  Remuneração</t>
  </si>
  <si>
    <t>Total mensal posto Jardineiro</t>
  </si>
  <si>
    <t>Encarregado manutenção</t>
  </si>
  <si>
    <t>Estoquista/Ferramenteiro</t>
  </si>
  <si>
    <t>Jardineiro</t>
  </si>
  <si>
    <t>Lavador</t>
  </si>
  <si>
    <t>Marceneiro</t>
  </si>
  <si>
    <t>Pedreiro</t>
  </si>
  <si>
    <t>Pintor/Gesseiro</t>
  </si>
  <si>
    <t>Serralheiro</t>
  </si>
  <si>
    <t>Técnico em telefonia/Cabista</t>
  </si>
  <si>
    <t>BONÉ ÁRABE – Com aba longa para proteger contra ação do sol sobre pescoço, cabeça e ombro.</t>
  </si>
  <si>
    <t>Total mensal</t>
  </si>
  <si>
    <t xml:space="preserve">Total </t>
  </si>
  <si>
    <t>Item</t>
  </si>
  <si>
    <t xml:space="preserve">Valor </t>
  </si>
  <si>
    <t>Bombeiro Hidráulico</t>
  </si>
  <si>
    <t>Engenheiro</t>
  </si>
  <si>
    <t>Eletricista</t>
  </si>
  <si>
    <t>Ajudante Geral de Manutenção
 e Reparos</t>
  </si>
  <si>
    <t>PARES DE MEIAS – 100% algodão, preta.</t>
  </si>
  <si>
    <t>CINTO SOCIAL –  em couro legítimo cor preta</t>
  </si>
  <si>
    <t>Descrição</t>
  </si>
  <si>
    <t>1.1</t>
  </si>
  <si>
    <t>1.2</t>
  </si>
  <si>
    <t>1.3</t>
  </si>
  <si>
    <t>1.4</t>
  </si>
  <si>
    <t>1.5</t>
  </si>
  <si>
    <t>1.6</t>
  </si>
  <si>
    <t>1.7</t>
  </si>
  <si>
    <t>1.8</t>
  </si>
  <si>
    <t>Módulo 2 – Os itens devem ser ofertados conforme CCT do sindicato</t>
  </si>
  <si>
    <t>Módulo 3 – Valores ofertados conforme rateio dos custos</t>
  </si>
  <si>
    <t>Oficial Mecânico de Refrigeração</t>
  </si>
  <si>
    <t>Custo Mensal</t>
  </si>
  <si>
    <t>Custo Anual</t>
  </si>
  <si>
    <t>Total mensal posto Encarregado de Manutenção</t>
  </si>
  <si>
    <t>Módulo 1 - Os valores dos salários base deverão ser mantidos, observando-se os adicionais indicados</t>
  </si>
  <si>
    <t>Módulo 5 – Considerar os tributos indicados e ofertar porcentagem dos demais itens</t>
  </si>
  <si>
    <t xml:space="preserve">Módulo 4 – </t>
  </si>
  <si>
    <t>OBSERVAÇÕES</t>
  </si>
  <si>
    <t>Conforme Instrução Normativa n. 01/2016-CJF</t>
  </si>
  <si>
    <t>Óculos de segurança transparente contra impacto e antirriscos, com lente única em policarbonato que possibilitam uma excelente cobertura frontal e lateral aos olhos do usuário</t>
  </si>
  <si>
    <t>Tipo de EPI</t>
  </si>
  <si>
    <t>Par de luvas de látex, espessura mínima 0,62mm. Marca de referência Mucambo, Promat ou equivalente</t>
  </si>
  <si>
    <t>Par de botas de PVC pretas, cano médio, sem forro</t>
  </si>
  <si>
    <t>Avental impermeável 1,20x0,70m</t>
  </si>
  <si>
    <t>Par de luvas de segurança com palma pigmentada</t>
  </si>
  <si>
    <t>Trava quedas em aço para corda de 12mm, extensor de 25 x 300mm, com mosquetão tipo gancho trava dupla</t>
  </si>
  <si>
    <t>EPIS</t>
  </si>
  <si>
    <r>
      <t xml:space="preserve">Convenção Coletiva </t>
    </r>
    <r>
      <rPr>
        <sz val="10"/>
        <rFont val="Calibri"/>
        <family val="2"/>
        <scheme val="minor"/>
      </rPr>
      <t xml:space="preserve">- MTE: DF000038/2021 </t>
    </r>
  </si>
  <si>
    <t>Assistência Odontológica</t>
  </si>
  <si>
    <t>Auxílio Saúde</t>
  </si>
  <si>
    <t>Seguro de Vida e Funeral</t>
  </si>
  <si>
    <t>MANUTENÇÃO PREDIAL</t>
  </si>
  <si>
    <t>PLANILHA RESUMO (LUCRO REAL) - VIGENTE A PARTIR DE 10 DE MARÇO DE 2020</t>
  </si>
  <si>
    <t>Posto de Trabalho</t>
  </si>
  <si>
    <t>Carga horária semanal</t>
  </si>
  <si>
    <t>Qtde de Postos</t>
  </si>
  <si>
    <t>MOD1
Remuneração</t>
  </si>
  <si>
    <t>MOD2
Benefícios</t>
  </si>
  <si>
    <t>MOD3
Insumos</t>
  </si>
  <si>
    <t>MOD4
Encargos</t>
  </si>
  <si>
    <t>MOD5
BDI</t>
  </si>
  <si>
    <t>VUM - Valor unitário Mensal</t>
  </si>
  <si>
    <t>VUA - Valor unitário anual</t>
  </si>
  <si>
    <t>VTM - Valor total mensal</t>
  </si>
  <si>
    <t>VTA - Valor total anual</t>
  </si>
  <si>
    <t>Total de Postos de Trabalho</t>
  </si>
  <si>
    <t>IV - Serviços de manutenção especializada (elevadores, chillers, tratamento da água de condensação, no-break, grupo gerador, controle de acesso, CFTV, sistema fotovoltaico, detecção e alarme de incêndio)</t>
  </si>
  <si>
    <t>QTDE</t>
  </si>
  <si>
    <t>UNIDADE</t>
  </si>
  <si>
    <t>UNITÁRIO</t>
  </si>
  <si>
    <t>mês</t>
  </si>
  <si>
    <t>Subtotal 2 - Manutenção especializada</t>
  </si>
  <si>
    <t>V - Fornecimento de materiais, peças e serviços eventuais de engenharia sob demanda (anual)</t>
  </si>
  <si>
    <t>Subtotal 3 - Materiais, peças e serviços eventuais</t>
  </si>
  <si>
    <t>T O T A L - Somatório Subtotal 1, 2 e 3</t>
  </si>
  <si>
    <t>Observações:</t>
  </si>
  <si>
    <t>VHS - Valor da Hora de Serviço resultante da divisão do valor unitário total dos postos de trabalho pelo total de horas úteis anual, considerando os valores estimados atuais e o período de 10 de março de 2020 a 9 de março de 2021, conforme Anexo VI deste Termo de Referência.</t>
  </si>
  <si>
    <t xml:space="preserve"> Para fins de previsão do valor global estimado para horas extras considerou-se a incidência do percentual de 5% sobre o valor anual estimado do contrato.</t>
  </si>
  <si>
    <t>O valor anual estimado para ressarcimento de benefícios indiretos corresponde ao valor do benefício previsto na convenção coletiva de trabalho, multiplicado pela quantidade de postos de trabalho e pelo número de meses de vigência do contrato.</t>
  </si>
  <si>
    <t>ANEXO "D IX"  CONTRATO N. ___/______,  PARA PRESTAÇÃO DE SERVIÇOS contínuos de operação e manutenção predial preventiva, corretiva e preditiva, por meio de postos de trabalhos do Conselho da Justiça Federal em Brasília – DF, E A _____________________________________. (Pregão Eletrônico CJF n. ____/_____ - Processo Administrativo SEI n.XXXXX).</t>
  </si>
  <si>
    <t>III - Valor estimado para Auxílio Seguro de Vida e Funeral³ -  RESSARCIMENTO - Não poderá ser alterado pela Licitante</t>
  </si>
  <si>
    <r>
      <t xml:space="preserve">Os serviços de manutenção relativos à mão-de-obra residente serão pagos por mês de execução em função da quantidade de </t>
    </r>
    <r>
      <rPr>
        <b/>
        <sz val="10"/>
        <rFont val="Calibri"/>
        <family val="2"/>
        <scheme val="minor"/>
      </rPr>
      <t>horas</t>
    </r>
    <r>
      <rPr>
        <sz val="10"/>
        <rFont val="Calibri"/>
        <family val="2"/>
        <scheme val="minor"/>
      </rPr>
      <t xml:space="preserve"> </t>
    </r>
    <r>
      <rPr>
        <b/>
        <sz val="10"/>
        <rFont val="Calibri"/>
        <family val="2"/>
        <scheme val="minor"/>
      </rPr>
      <t>efetivamente</t>
    </r>
    <r>
      <rPr>
        <sz val="10"/>
        <rFont val="Calibri"/>
        <family val="2"/>
        <scheme val="minor"/>
      </rPr>
      <t xml:space="preserve"> prestadas, atestadas por meio do sistema eletrônico SGPT (Sistema de Gestão de Postos de Trabalho), obedecido o limite de quantidade de horas mensais estipulado no Anexo D - VI deste Termo de Referência</t>
    </r>
  </si>
  <si>
    <r>
      <t>I - Valor estimado para Assistência Odontológica</t>
    </r>
    <r>
      <rPr>
        <b/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- RESSARCIMENTO - Não poderá ser alterado pela Licitante</t>
    </r>
  </si>
  <si>
    <r>
      <t>II - Valor estimado para Auxílio Saúde</t>
    </r>
    <r>
      <rPr>
        <b/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- RESSARCIMENTO - Não poderá ser alterado pela Licitante</t>
    </r>
  </si>
  <si>
    <r>
      <t>Subtotal 1 - Postos de trabalho</t>
    </r>
    <r>
      <rPr>
        <b/>
        <vertAlign val="superscript"/>
        <sz val="10"/>
        <rFont val="Calibri"/>
        <family val="2"/>
        <scheme val="minor"/>
      </rPr>
      <t>4</t>
    </r>
  </si>
  <si>
    <t>Termo de Referência XXXXXXXX
TABELA 8 - LUCRO REAL</t>
  </si>
  <si>
    <r>
      <t>IV - Serviços de manutenção especializada (grupo gerador, elevadores, chaveiro, UPS (</t>
    </r>
    <r>
      <rPr>
        <i/>
        <sz val="10"/>
        <rFont val="Calibri"/>
        <family val="2"/>
        <scheme val="minor"/>
      </rPr>
      <t>Uninterruptible Power Supply</t>
    </r>
    <r>
      <rPr>
        <sz val="10"/>
        <rFont val="Calibri"/>
        <family val="2"/>
        <scheme val="minor"/>
      </rPr>
      <t>), alarme de incêndio, serviço de remoção, transporte e destinação final de entulho/resíduo de construção civil)</t>
    </r>
  </si>
  <si>
    <t>PLANILHA RESUMO (PRESUMIDO) - VIGENTE A PARTIR DE 10 DE MARÇO DE 2020</t>
  </si>
  <si>
    <t>Termo de Referência XXXXXXXX
TABELA 9 - LUCRO PRESUMIDO</t>
  </si>
  <si>
    <t xml:space="preserve">TOTAL </t>
  </si>
  <si>
    <t>Sindicato - Sindiserviços</t>
  </si>
  <si>
    <t>Subitem</t>
  </si>
  <si>
    <t>Observação:</t>
  </si>
  <si>
    <t>Respirador descartável de meia peça facial, com nível de proteção PFF2 sem válvula</t>
  </si>
  <si>
    <t>Protetor auditivo tipo concha, atenuação 21 dB</t>
  </si>
  <si>
    <t>Par de luvas de Látex antiderrapante, forro C/PO, punho médio, proteção química</t>
  </si>
  <si>
    <t>Protetor auricular de inserção, tipo plug, em silicone, com atenuação de no mínimo 18 (dezoito) decibéis</t>
  </si>
  <si>
    <t>Item e Subitens que compõe a contratação</t>
  </si>
  <si>
    <t>UNIFORMES</t>
  </si>
  <si>
    <t>Tipo de Uniforme</t>
  </si>
  <si>
    <t>Cinturão de segurança tipo paraquedista, fivela em aço, ajuste no suspensório, cintura e pernas</t>
  </si>
  <si>
    <t>CATEGORIA PROFISSIONAL: ENCARREGADO</t>
  </si>
  <si>
    <t>EPI's</t>
  </si>
  <si>
    <t>CATEGORIA PROFISSIONAL: Servente</t>
  </si>
  <si>
    <t>Adincional de periculosidade</t>
  </si>
  <si>
    <t>CATEGORIA PROFISSIONAL: Mensageiro</t>
  </si>
  <si>
    <t>CATEGORIA PROFISSIONAL: Jauzeiro</t>
  </si>
  <si>
    <t>CATEGORIA PROFISSIONAL: Operador de máquina reprográfica</t>
  </si>
  <si>
    <t>CATEGORIA PROFISSIONAL: Copeira</t>
  </si>
  <si>
    <t>CATEGORIA PROFISSIONAL: Recepcionista</t>
  </si>
  <si>
    <t>POSTO: COPEIRA</t>
  </si>
  <si>
    <t>POSTO: GARÇOM</t>
  </si>
  <si>
    <t>EPIs SERVENTE</t>
  </si>
  <si>
    <t>EPIs JAUZEIRO</t>
  </si>
  <si>
    <t>PLANILHA DE FORMAÇÃO DE PREÇOS PARA A EXECUÇÃO DOS SERVIÇOS GERAIS</t>
  </si>
  <si>
    <t>Quant Postos</t>
  </si>
  <si>
    <t>Custo por Posto</t>
  </si>
  <si>
    <t>Encarregado</t>
  </si>
  <si>
    <t>Servente</t>
  </si>
  <si>
    <t>Mensageiro</t>
  </si>
  <si>
    <t>Operador de máquina reprográfica</t>
  </si>
  <si>
    <t>Garçom</t>
  </si>
  <si>
    <t>Copeira</t>
  </si>
  <si>
    <t>Recepcionista</t>
  </si>
  <si>
    <t>Jauzeiro</t>
  </si>
  <si>
    <t>POSTO: SERVENTE</t>
  </si>
  <si>
    <t>CAMISETA - 100% algodão – manga curta.</t>
  </si>
  <si>
    <t>CAMISETA - 100% algodão – manga longa.</t>
  </si>
  <si>
    <t>PAR DE BOTINA - Calçado de segurança, confeccionado em couro vacum curtido ao cromo, no modelo em elástico, com palmilha de montagem em couro no sistema strobel, solado poliuretano monodensidade e bidensidade injetado diretamente no cabedal e baqueado. Referência: Botina de segurança Marluvas Vulcaflex ou similar.</t>
  </si>
  <si>
    <t>ÁREAS EDIFÍCIO SEDE DO CJF</t>
  </si>
  <si>
    <t>Áreas internas</t>
  </si>
  <si>
    <t>Pisos acarpetados</t>
  </si>
  <si>
    <t>Pisos frios</t>
  </si>
  <si>
    <t>Almoxarifados/galpões</t>
  </si>
  <si>
    <t>Oficinas</t>
  </si>
  <si>
    <t>Áreas com espaços livres (saguão, hall e salão)</t>
  </si>
  <si>
    <t>Banheiros</t>
  </si>
  <si>
    <t>Fachadas envidraçadas</t>
  </si>
  <si>
    <t>Áreas hospitalares e assemelhadas</t>
  </si>
  <si>
    <t>máx.</t>
  </si>
  <si>
    <t>mín.</t>
  </si>
  <si>
    <t>CJF (m²)</t>
  </si>
  <si>
    <t>Ref. IN 5 (m²)</t>
  </si>
  <si>
    <t>Quant. Postos</t>
  </si>
  <si>
    <t>Total de postos</t>
  </si>
  <si>
    <t>ÁREAS EDIFÍCIO GRÁFICA (SAAN)</t>
  </si>
  <si>
    <t>Laboratórios</t>
  </si>
  <si>
    <t>Contratação de empresa para a prestação de serviços contínuos de limpeza, copeiragem, recepção, mensageria de reprografia, nas instalações físicas da sede do Conselho da Justiça Federal situado no SCES, Trecho III, Polo 08, Lote 09 e do prédio da Gráfica localizado no endereço SAAN Quadra 01 Lotes 10/70, ambos em Brasília - DF.</t>
  </si>
  <si>
    <t>CALÇA –Armação Sarja 2/1 Largura (m): 1.60; Peso (g/m2) 185; composição tecido 33% Poliéster 67% Algodão. Padrão santista ou similar.</t>
  </si>
  <si>
    <t>Qtd. Semestral</t>
  </si>
  <si>
    <t>Qtd. Total</t>
  </si>
  <si>
    <t>Valor Total</t>
  </si>
  <si>
    <t>PAR DE MEIAS – 100% algodão, preta.</t>
  </si>
  <si>
    <t>TERNO COMPLETO (paletó/blazer e calça/saia) em tecido de micro-fibra, externo e interno 100% poliéster preferencialmente na cor preta, sendo o paletó forrado internamente, inclusive manga em tecido tipo cetim, e calça social com dois bolsos na frente tipo faca e dois bolsos traseiros.</t>
  </si>
  <si>
    <t>CAMISA SOCIAL –  em tecido, gola com intertela, 100% algodão preferencialmente na cor branca</t>
  </si>
  <si>
    <t>GRAVATA –  em tecido 100% poliéster</t>
  </si>
  <si>
    <t>PAR DE SAPATOS –  Modelo social, em couro, cor preta, provida de palmilha acolchoada, com solado antiderrapante</t>
  </si>
  <si>
    <t>CAMISA  – modelo utilizado por garçom ( peito em pique de 1º qualidade) 69% Algodão Penteado, 31%Poliéster</t>
  </si>
  <si>
    <t>GRAVATA –  modelo borboleta em tecido 100% poliéster</t>
  </si>
  <si>
    <t>POSTO: JAUZEIRO</t>
  </si>
  <si>
    <t>CALÇA ou SAIA - em tecido de micro-fibra, preferencialmente na cor preta</t>
  </si>
  <si>
    <t>CAMISA SOCIAL –  confeccionada em tecido tricoline misto, na cor
branca, com gola, abertura frontal, com bolso do lado
esquerdo.</t>
  </si>
  <si>
    <t>MEIO AVENTAL –  em tecido garbadine na cor branca</t>
  </si>
  <si>
    <t>AVENTAL –  em napa na cor branca</t>
  </si>
  <si>
    <t>TOUCA – Confeccionada em filó, com detalhe em lese , na cor branca</t>
  </si>
  <si>
    <t>PAR DE MEIAS – 100% algodão, preta. Ou modelo meia calça, em tecido liso 84% poliamida e 16% elastano</t>
  </si>
  <si>
    <t>Capacete de segurança aba frontal, com suspensão de polietileno com jugular</t>
  </si>
  <si>
    <t>Talabarte de segurança, 2 mosquetões trava dupla 53 mm de abertura, com absorvedor de energia</t>
  </si>
  <si>
    <t>Corda de Nylon com alma central 12MM Rolo com 25m (deve atender às normas NR18 e NR35)</t>
  </si>
  <si>
    <t>1.9</t>
  </si>
  <si>
    <t>TABELA COMPARATIVA DE PREÇOS DO STJ E CJF</t>
  </si>
  <si>
    <t>CATEGORIA</t>
  </si>
  <si>
    <t>STJ</t>
  </si>
  <si>
    <t>CJF</t>
  </si>
  <si>
    <t>Encarregado Geral</t>
  </si>
  <si>
    <t>Operador de Máquina</t>
  </si>
  <si>
    <t>CONTRATOS VIGENTES DO STJ</t>
  </si>
  <si>
    <t>SALÁRIOS</t>
  </si>
  <si>
    <t>CONTRATO</t>
  </si>
  <si>
    <t>TERMO ADITIVO</t>
  </si>
  <si>
    <t xml:space="preserve">VIGÊNCIA </t>
  </si>
  <si>
    <t>CONTRATADA</t>
  </si>
  <si>
    <t>OBJETO</t>
  </si>
  <si>
    <t>026/2016</t>
  </si>
  <si>
    <t>8º  T.A.</t>
  </si>
  <si>
    <t>20/06/2016 a 19/06/2022</t>
  </si>
  <si>
    <t>REAL JG FACILITIES EIRELI</t>
  </si>
  <si>
    <t>Prestação de serviços de limpeza, higienização e conservação de bens móveis e imóveis com o fornecimento de equipamentos necessários à realização dos serviços nas dependências do STJ.</t>
  </si>
  <si>
    <t>066/2020</t>
  </si>
  <si>
    <t>AP nº 02</t>
  </si>
  <si>
    <t>01/09/2020 a 30/04/2020</t>
  </si>
  <si>
    <t>Contratação de serviço terceirizado de garçom, copeiro e cozinheiro, a ser prestado nas dependências do Superior Tribunal de Justiça-STJ, com fornecimento de insumos.</t>
  </si>
  <si>
    <t>02/2018</t>
  </si>
  <si>
    <t>6º  T.A.</t>
  </si>
  <si>
    <t>01/02/2018 a 31/01/2023</t>
  </si>
  <si>
    <t>RS CONSULTORIA E SERVIÇOS DE GESTÃO EMPRESARIAL LTDA</t>
  </si>
  <si>
    <t>Prestação de serviços continuados de apoio administrativo de Mensageiria e de Auxiliar de Serviços Gerais.</t>
  </si>
  <si>
    <t>Jauzeiro           (operador de Balacim)</t>
  </si>
  <si>
    <t>03/2018</t>
  </si>
  <si>
    <t>01/06/2021 a 31/01/2023</t>
  </si>
  <si>
    <t>Adcon Administração e Serviços Eireli</t>
  </si>
  <si>
    <t>Prestação de serviços continuados de Apoio Administrativo, especificamente serviços de Recepção e Supervisão</t>
  </si>
  <si>
    <t>DIFERENÇA</t>
  </si>
  <si>
    <t>PROPOSTA</t>
  </si>
  <si>
    <t>Técnico em Secretariado</t>
  </si>
  <si>
    <t>Proposta V01 SUMAG</t>
  </si>
  <si>
    <t>Correção: Encarregado</t>
  </si>
  <si>
    <t>Correção: Garçom e Téc Secretariado</t>
  </si>
  <si>
    <t>Supervisor</t>
  </si>
  <si>
    <t>PLANILHA DE CUSTOS E FORMAÇÃO DE PREÇOS</t>
  </si>
  <si>
    <t>Dados para composição dos custos referentes a mão de obra</t>
  </si>
  <si>
    <t>Tipo de Serviço (mesmo serviço com características distintas)</t>
  </si>
  <si>
    <t>Classificação Brasileira de Ocupações (CBO)</t>
  </si>
  <si>
    <t>Salário da Categoria Profissional</t>
  </si>
  <si>
    <t>Sindicato da Categoria Profissional (vinculada à execução contratual)</t>
  </si>
  <si>
    <t>Sindicato dos Emp de Asseio, Conservação, Trabalho Temporário, Prest Serviços e Serviços
Terceirizáveis do DF - SINDISERVICOS/DF,</t>
  </si>
  <si>
    <t>Data-Base da Categoria (dia/mês/ano)</t>
  </si>
  <si>
    <t>1º/1/2021</t>
  </si>
  <si>
    <t>Nº da Convenção Coletiva de trabalho (CCT)</t>
  </si>
  <si>
    <t>CCT DF 000038/2021</t>
  </si>
  <si>
    <t>Composição da Remuneração</t>
  </si>
  <si>
    <t>Valor (R$)</t>
  </si>
  <si>
    <t>Salário-Base</t>
  </si>
  <si>
    <t>Adicional de Periculosidade</t>
  </si>
  <si>
    <t>-</t>
  </si>
  <si>
    <t>Adicional de Insalubridade (40% sobre o salário categoria "aux serv gerais")</t>
  </si>
  <si>
    <t>Adicional Noturno</t>
  </si>
  <si>
    <t>Adicional de Hora Noturna Reduzida</t>
  </si>
  <si>
    <t>Outros (especificar)</t>
  </si>
  <si>
    <t>Nota 1: O Módulo 1 refere-se ao valor mensal devido ao empregado pela prestação do serviço no período de 12 meses.</t>
  </si>
  <si>
    <t>Módulo 2 - Encargos e Benefícios Anuais, Mensais e Diários</t>
  </si>
  <si>
    <t> Submódulo 2.1 - 13º (décimo terceiro) Salário, Férias e Adicional de Férias</t>
  </si>
  <si>
    <t>2.1</t>
  </si>
  <si>
    <t>13º (décimo terceiro) Salário, Férias e Adicional de Férias</t>
  </si>
  <si>
    <t>Percentual (%)</t>
  </si>
  <si>
    <t>13º (décimo terceiro) Salário</t>
  </si>
  <si>
    <t>Férias e Adicional de Férias</t>
  </si>
  <si>
    <t>Nota 1: Como a planilha de custos e formação de preços é calculada mensalmente, provisiona-se proporcionalmente 1/11 (um onze avos) dos valores referentes a gratificação natalina, férias e adicional de férias. (Redação dada pela Instrução Normativa CJF nº 1, de 2016)</t>
  </si>
  <si>
    <t>Nota 2: O adicional de férias contido no Submódulo 2.1 corresponde a 1/3 (um terço) da remuneração que por sua vez é divido por 11 (onze) conforme Nota 1 acima.</t>
  </si>
  <si>
    <t>Nota 3: Levando em consideração a vigência contratual prevista no art. 57 da Lei nº 8.666, de 23 de junho de 1993, a rubrica férias tem como objetivo principal suprir a necessidade do pagamento das férias remuneradas ao final do contrato de 12 meses.</t>
  </si>
  <si>
    <t>Submódulo 2.2 - Encargos Previdenciários (GPS), Fundo de Garantia por Tempo de Serviço (FGTS) e outras contribuições.</t>
  </si>
  <si>
    <t>2.2</t>
  </si>
  <si>
    <t>GPS, FGTS e outras contribuições</t>
  </si>
  <si>
    <t>Salário Educação</t>
  </si>
  <si>
    <t>RATAjustado (RAT x FAP)</t>
  </si>
  <si>
    <t>SESC ou SESI</t>
  </si>
  <si>
    <t>SENAI - SENAC</t>
  </si>
  <si>
    <t>Nota 1: O percentual do INSS poderá sofrer alteração de acordo com a "Desoneração da Folha de Pagamento" (Lei 12.546/2011).</t>
  </si>
  <si>
    <t>Nota 2: Os percentuais dos encargos previdenciários, do FGTS e demais contribuições são aqueles estabelecidos pela legislação vigente.</t>
  </si>
  <si>
    <t>Nota 3: O RAT a depender do grau de risco do serviço irá variar entre 1%, para risco leve, de 2%, para risco médio, e de 3% de risco grave. Deverá ser ajustado ao fator acidentário previdenciário (FAP).</t>
  </si>
  <si>
    <t>Nota 4: Esses percentuais incidem sobre o Módulo 1, o Submódulo 2.1.</t>
  </si>
  <si>
    <t>Nota 5: Os percentuais do Submódulo 2.2 já incidem sobre remuneração, 13º salário, férias e adicional de férias.</t>
  </si>
  <si>
    <t>Submódulo 2.3 - Benefícios Mensais e Diários.</t>
  </si>
  <si>
    <t>2.3</t>
  </si>
  <si>
    <t>Benefícios Mensais e Diários</t>
  </si>
  <si>
    <t>Dias úteis</t>
  </si>
  <si>
    <t>Transporte (2 de 3,80 + 2 de 5,50)</t>
  </si>
  <si>
    <t>Auxílio-Refeição/Alimentação (R$35,00 por dia)</t>
  </si>
  <si>
    <t>Assistência Médica e Familiar</t>
  </si>
  <si>
    <t>Assistência Funeral</t>
  </si>
  <si>
    <t>Nota 1: O valor informado deverá ser o custo real do benefício (descontado o valor eventualmente pago pelo empregado).</t>
  </si>
  <si>
    <t>Nota 2: Observar a previsão dos benefícios contidos em Acordos, Convenções e Dissídios Coletivos de Trabalho..</t>
  </si>
  <si>
    <t>Quadro-Resumo do Módulo 2 - Encargos e Benefícios anuais, mensais e diários</t>
  </si>
  <si>
    <t>Encargos e Benefícios Anuais, Mensais e Diários</t>
  </si>
  <si>
    <t>Módulo 3 - 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</si>
  <si>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</si>
  <si>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</si>
  <si>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</si>
  <si>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</si>
  <si>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</si>
  <si>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</si>
  <si>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Multa do FGTS</t>
  </si>
  <si>
    <t>Nota 1: O percentual de 1,94% indicado no Aviso Prévio Trabalhado torna-se custo não renovável decorridos 12 meses.</t>
  </si>
  <si>
    <t>Nota 2: Os percentuais do Módulo 3 já incidem sobre remuneração, 13º salário, férias e adicional de férias.</t>
  </si>
  <si>
    <t>Módulo 4 - Custo de Reposição do Profissional Ausente</t>
  </si>
  <si>
    <t>Nota 1: Os itens que contemplam o módulo 4 se referem ao custo dos dias trabalhados pelo repositor/substituto, quando o empregado alocado na prestação de serviço estiver ausente, conforme as previsões estabelecidas na legislação.</t>
  </si>
  <si>
    <t>Submódulo 4.1 - Substituto nas Ausências Legais</t>
  </si>
  <si>
    <t>Substituto nas Ausências Legais</t>
  </si>
  <si>
    <t>Substituto na cobertura de Férias</t>
  </si>
  <si>
    <t>Substituto na cobertura de Ausências Legais</t>
  </si>
  <si>
    <t>Substituto na cobertura de Licença-Paternidade</t>
  </si>
  <si>
    <t>Substituto na cobertura de Ausência por acidente de trabalho</t>
  </si>
  <si>
    <t>Substituto na cobertura de Afastamento Maternidade</t>
  </si>
  <si>
    <t>Substituto na cobertura de outras ausências (licença por doença)</t>
  </si>
  <si>
    <t>Nota 1: Os percentuais do Submódulo 4.1 já incidem sobre remuneração, 13º salário, férias e adicional de férias.</t>
  </si>
  <si>
    <t>Submódulo 4.2 - Substituto na Intrajornada</t>
  </si>
  <si>
    <t>Substituto na Intrajornada </t>
  </si>
  <si>
    <t>Substituto na cobertura de Intervalo para repouso ou alimentação</t>
  </si>
  <si>
    <t>Quadro-Resumo do Módulo 4 - Custo de Reposição do Profissional Ausente</t>
  </si>
  <si>
    <t>Custo de Reposição do Profissional Ausente</t>
  </si>
  <si>
    <t>Substituto na Intrajornada</t>
  </si>
  <si>
    <t>Módulo 5 - Insumos Diversos</t>
  </si>
  <si>
    <t>Insumos Diversos</t>
  </si>
  <si>
    <t>Materiais (EPIs + Ferramental)</t>
  </si>
  <si>
    <t>Equipamentos</t>
  </si>
  <si>
    <t>Nota: Valores mensais por empregado.</t>
  </si>
  <si>
    <t>Módulo 6 - Custos Indiretos, Tributos e Lucro</t>
  </si>
  <si>
    <t>Regime de tributação:</t>
  </si>
  <si>
    <t>Lucro presumido</t>
  </si>
  <si>
    <t>Custos Indiretos, Tributos e Lucro</t>
  </si>
  <si>
    <t>Tributos (C.1 + C.2 + C.3)</t>
  </si>
  <si>
    <t xml:space="preserve">C.1. </t>
  </si>
  <si>
    <t>Tributos Federais (PIS)</t>
  </si>
  <si>
    <t>C.2.</t>
  </si>
  <si>
    <t>Tributos Federais (COFINS)</t>
  </si>
  <si>
    <t>C.3.</t>
  </si>
  <si>
    <t>Tributos Estaduais/Municipais (ISS)</t>
  </si>
  <si>
    <t>Contribuição Previdenciária sobre a Receita Bruta - CPRB</t>
  </si>
  <si>
    <t>Nota 1: Custos Indiretos, Tributos e Lucro por empregado.</t>
  </si>
  <si>
    <t>Nota 2: A empresa que indicar "desoneração" do Submódulo 2.2 deverá incluir uma rubrica para tributação da Contribuição Previdenciária sobre a Receita Bruta - CPRB.</t>
  </si>
  <si>
    <t>QUADRO-RESUMO DO CUSTO POR EMPREGADO</t>
  </si>
  <si>
    <t>Mão de obra vinculada à execução contratual (valor por empregado)</t>
  </si>
  <si>
    <t>Valor(R$)</t>
  </si>
  <si>
    <t>Subtotal (A + B +C+ D+E)</t>
  </si>
  <si>
    <t>Valor Total por Empregado/posto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</si>
  <si>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 xml:space="preserve">:
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. Os valores desta simulação referente à remuneração, auxílio-alimentação e percentual de adicionais (periculosidade/noturno) foram incluídos com base da Convenção Coletiva da Categoria.
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. Os percentuais dos Módulo 2 - Submódulo 1 (13º salário e adicional de férias), Submódulo 2 (encargos previdenciários, FGTS e outras contribuições), Submódulo 3 (Benefícios Mensais E Diários), Módulo 3 - Provisão para rescisão e Módulo 4- Custo de Reposição do Profissional Ausente utilizados foram com base nas orientações da Planilha de Custo e Formação de Preços da IN 5/2017-MPOG e Nota Técnica n. 1/2013-CJF
</t>
    </r>
    <r>
      <rPr>
        <b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. Os percentuais dos valores do Módulo 6 – custos indiretos, lucro e tributos - foram extraídos da Nota Técnica n. 1/2013-CJF.
</t>
    </r>
    <r>
      <rPr>
        <b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. O valor da remuneração usada foi com base na indicação da unidade requisitante, constante no termo de ferência.</t>
    </r>
  </si>
  <si>
    <t>ENCARREGADO</t>
  </si>
  <si>
    <t>4101-05</t>
  </si>
  <si>
    <t>5143-20</t>
  </si>
  <si>
    <t>SERVENTE</t>
  </si>
  <si>
    <t>MENSAGEIRO</t>
  </si>
  <si>
    <t>4122-05</t>
  </si>
  <si>
    <t>OPERADOR DE MÁQUINA REPROGRÁFICA</t>
  </si>
  <si>
    <t>4151-30</t>
  </si>
  <si>
    <t>GARÇOM</t>
  </si>
  <si>
    <t>5134-05</t>
  </si>
  <si>
    <t>COPEIRA</t>
  </si>
  <si>
    <t>5134-25</t>
  </si>
  <si>
    <t>RECEPCIONISTA</t>
  </si>
  <si>
    <t>4221-05</t>
  </si>
  <si>
    <t>TÉCNICO EM SECRETARIADO</t>
  </si>
  <si>
    <t>5143-15</t>
  </si>
  <si>
    <t>Estudo de Mercado</t>
  </si>
  <si>
    <t>Anual</t>
  </si>
  <si>
    <t>Diferença</t>
  </si>
  <si>
    <t>Referência</t>
  </si>
  <si>
    <t>Média mercado sem Téc. Sec.</t>
  </si>
  <si>
    <t>A-B</t>
  </si>
  <si>
    <t>B-C</t>
  </si>
  <si>
    <t>3515-05</t>
  </si>
  <si>
    <t>CCT DF 000041/2021</t>
  </si>
  <si>
    <t>Sindicato dos Emp de Asseio, Conservação, Trabalho Temporário, Prest Serviços e Serviços
Terceirizáveis do DF - SINDISERVICOS/DF e SIS/DF</t>
  </si>
  <si>
    <t>POSTO</t>
  </si>
  <si>
    <t>POSTO: ENCARREGADO, RECEPCIONISTA, TÉCNICO EM SECRETARIADO, MENSAGEIRO E OPREADOR DE MÁQUINA REPROGRÁFICA</t>
  </si>
  <si>
    <t>JAUZEIRO</t>
  </si>
  <si>
    <t>NOTAS</t>
  </si>
  <si>
    <t>Sindicato dos Emp de Asseio, Conservação, Trabalho Temporário, Prest Serviços e Serviços
Terceirizáveis do DF - SINDISERVICOS/DF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</si>
</sst>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[$R$-416]\ * #,##0.00_-;\-[$R$-416]\ * #,##0.00_-;_-[$R$-416]\ * &quot;-&quot;??_-;_-@_-"/>
    <numFmt numFmtId="168" formatCode="0.0"/>
    <numFmt numFmtId="169" formatCode="_-[$R$-416]* #,##0.00_-;\-[$R$-416]* #,##0.00_-;_-[$R$-416]* &quot;-&quot;??_-;_-@_-"/>
    <numFmt numFmtId="170" formatCode="0.0000%"/>
    <numFmt numFmtId="171" formatCode="&quot;R$&quot;\ #,##0.00"/>
  </numFmts>
  <fonts count="42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 Black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color rgb="FF000000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3" fillId="0" borderId="0" applyFont="0" applyFill="0" applyBorder="0" applyAlignment="0" applyProtection="0"/>
    <xf numFmtId="0" fontId="5" fillId="0" borderId="0"/>
    <xf numFmtId="166" fontId="6" fillId="0" borderId="0" applyFill="0" applyBorder="0" applyAlignment="0" applyProtection="0"/>
    <xf numFmtId="0" fontId="1" fillId="0" borderId="0"/>
    <xf numFmtId="9" fontId="5" fillId="0" borderId="0" applyFill="0" applyBorder="0" applyAlignment="0" applyProtection="0"/>
    <xf numFmtId="166" fontId="5" fillId="0" borderId="0" applyFill="0" applyBorder="0" applyAlignment="0" applyProtection="0"/>
    <xf numFmtId="44" fontId="7" fillId="0" borderId="0" applyFont="0" applyFill="0" applyBorder="0" applyAlignment="0" applyProtection="0"/>
    <xf numFmtId="0" fontId="8" fillId="0" borderId="0"/>
    <xf numFmtId="0" fontId="5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19">
    <xf numFmtId="0" fontId="0" fillId="0" borderId="0" xfId="0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4" fontId="10" fillId="0" borderId="0" xfId="16" applyFont="1" applyAlignment="1">
      <alignment vertical="center" wrapText="1"/>
    </xf>
    <xf numFmtId="0" fontId="15" fillId="0" borderId="0" xfId="0" applyFont="1" applyFill="1" applyAlignment="1">
      <alignment vertical="center" wrapText="1"/>
    </xf>
    <xf numFmtId="164" fontId="10" fillId="0" borderId="4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 wrapText="1"/>
    </xf>
    <xf numFmtId="164" fontId="12" fillId="3" borderId="4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10" fontId="15" fillId="0" borderId="3" xfId="0" applyNumberFormat="1" applyFont="1" applyFill="1" applyBorder="1" applyAlignment="1">
      <alignment horizontal="center" vertical="center" wrapText="1"/>
    </xf>
    <xf numFmtId="166" fontId="15" fillId="0" borderId="4" xfId="0" applyNumberFormat="1" applyFont="1" applyFill="1" applyBorder="1" applyAlignment="1">
      <alignment horizontal="center" vertical="center" wrapText="1"/>
    </xf>
    <xf numFmtId="165" fontId="12" fillId="3" borderId="4" xfId="0" applyNumberFormat="1" applyFont="1" applyFill="1" applyBorder="1" applyAlignment="1">
      <alignment horizontal="center" vertical="center" wrapText="1"/>
    </xf>
    <xf numFmtId="10" fontId="12" fillId="0" borderId="4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10" fontId="12" fillId="3" borderId="4" xfId="0" applyNumberFormat="1" applyFont="1" applyFill="1" applyBorder="1" applyAlignment="1">
      <alignment vertical="center" wrapText="1"/>
    </xf>
    <xf numFmtId="10" fontId="15" fillId="0" borderId="4" xfId="0" applyNumberFormat="1" applyFont="1" applyFill="1" applyBorder="1" applyAlignment="1">
      <alignment vertical="center" wrapText="1"/>
    </xf>
    <xf numFmtId="166" fontId="12" fillId="3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vertical="center" wrapText="1"/>
    </xf>
    <xf numFmtId="166" fontId="10" fillId="0" borderId="0" xfId="0" applyNumberFormat="1" applyFont="1" applyFill="1" applyAlignment="1">
      <alignment vertical="center" wrapText="1"/>
    </xf>
    <xf numFmtId="0" fontId="10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 wrapText="1"/>
    </xf>
    <xf numFmtId="10" fontId="10" fillId="0" borderId="0" xfId="0" applyNumberFormat="1" applyFont="1" applyFill="1" applyAlignment="1">
      <alignment vertical="center" wrapText="1"/>
    </xf>
    <xf numFmtId="0" fontId="0" fillId="0" borderId="0" xfId="0" applyFont="1"/>
    <xf numFmtId="44" fontId="9" fillId="0" borderId="4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/>
    </xf>
    <xf numFmtId="44" fontId="0" fillId="0" borderId="0" xfId="0" applyNumberFormat="1" applyFont="1"/>
    <xf numFmtId="0" fontId="0" fillId="0" borderId="4" xfId="0" applyFont="1" applyBorder="1" applyAlignment="1">
      <alignment horizontal="center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2" fillId="0" borderId="0" xfId="0" applyFont="1" applyAlignment="1">
      <alignment horizontal="justify" vertical="justify" wrapText="1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0" fillId="2" borderId="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0" fontId="18" fillId="0" borderId="0" xfId="0" applyFont="1"/>
    <xf numFmtId="0" fontId="15" fillId="0" borderId="0" xfId="0" applyFont="1" applyAlignment="1">
      <alignment vertical="top" wrapText="1"/>
    </xf>
    <xf numFmtId="2" fontId="12" fillId="8" borderId="4" xfId="0" applyNumberFormat="1" applyFont="1" applyFill="1" applyBorder="1" applyAlignment="1">
      <alignment vertical="center" wrapText="1"/>
    </xf>
    <xf numFmtId="10" fontId="13" fillId="8" borderId="4" xfId="0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2" fillId="7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 wrapText="1"/>
    </xf>
    <xf numFmtId="165" fontId="15" fillId="2" borderId="4" xfId="0" applyNumberFormat="1" applyFont="1" applyFill="1" applyBorder="1" applyAlignment="1">
      <alignment horizontal="right" vertical="center" wrapText="1"/>
    </xf>
    <xf numFmtId="165" fontId="15" fillId="0" borderId="4" xfId="0" applyNumberFormat="1" applyFont="1" applyBorder="1" applyAlignment="1">
      <alignment horizontal="right" vertical="center" wrapText="1"/>
    </xf>
    <xf numFmtId="4" fontId="15" fillId="2" borderId="4" xfId="0" applyNumberFormat="1" applyFont="1" applyFill="1" applyBorder="1" applyAlignment="1">
      <alignment horizontal="right" vertical="center" wrapText="1"/>
    </xf>
    <xf numFmtId="4" fontId="15" fillId="2" borderId="4" xfId="0" applyNumberFormat="1" applyFont="1" applyFill="1" applyBorder="1" applyAlignment="1">
      <alignment vertical="center" wrapText="1"/>
    </xf>
    <xf numFmtId="0" fontId="10" fillId="2" borderId="4" xfId="0" applyFont="1" applyFill="1" applyBorder="1" applyAlignment="1">
      <alignment vertical="center" wrapText="1"/>
    </xf>
    <xf numFmtId="0" fontId="12" fillId="7" borderId="11" xfId="0" applyFont="1" applyFill="1" applyBorder="1" applyAlignment="1">
      <alignment horizontal="center" vertical="center" wrapText="1"/>
    </xf>
    <xf numFmtId="4" fontId="12" fillId="2" borderId="4" xfId="0" applyNumberFormat="1" applyFont="1" applyFill="1" applyBorder="1" applyAlignment="1">
      <alignment horizontal="right" vertical="center"/>
    </xf>
    <xf numFmtId="4" fontId="12" fillId="2" borderId="4" xfId="0" applyNumberFormat="1" applyFont="1" applyFill="1" applyBorder="1" applyAlignment="1">
      <alignment vertical="center"/>
    </xf>
    <xf numFmtId="4" fontId="15" fillId="0" borderId="4" xfId="0" applyNumberFormat="1" applyFont="1" applyBorder="1" applyAlignment="1">
      <alignment vertical="center" wrapText="1"/>
    </xf>
    <xf numFmtId="4" fontId="15" fillId="0" borderId="4" xfId="0" applyNumberFormat="1" applyFont="1" applyFill="1" applyBorder="1" applyAlignment="1">
      <alignment vertical="center"/>
    </xf>
    <xf numFmtId="4" fontId="15" fillId="0" borderId="5" xfId="0" applyNumberFormat="1" applyFont="1" applyFill="1" applyBorder="1" applyAlignment="1">
      <alignment vertical="center"/>
    </xf>
    <xf numFmtId="43" fontId="10" fillId="0" borderId="0" xfId="19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" fontId="15" fillId="0" borderId="8" xfId="0" applyNumberFormat="1" applyFont="1" applyBorder="1" applyAlignment="1">
      <alignment horizontal="right" vertical="center" wrapText="1"/>
    </xf>
    <xf numFmtId="0" fontId="10" fillId="0" borderId="0" xfId="0" applyFont="1" applyBorder="1"/>
    <xf numFmtId="4" fontId="15" fillId="0" borderId="0" xfId="0" applyNumberFormat="1" applyFont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0" fontId="15" fillId="0" borderId="0" xfId="0" applyFont="1" applyAlignment="1">
      <alignment wrapText="1"/>
    </xf>
    <xf numFmtId="0" fontId="12" fillId="7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2" fillId="7" borderId="1" xfId="0" applyFont="1" applyFill="1" applyBorder="1" applyAlignment="1">
      <alignment vertical="center" wrapText="1"/>
    </xf>
    <xf numFmtId="0" fontId="12" fillId="7" borderId="2" xfId="0" applyFont="1" applyFill="1" applyBorder="1" applyAlignment="1">
      <alignment vertical="center" wrapText="1"/>
    </xf>
    <xf numFmtId="0" fontId="15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4" fontId="12" fillId="3" borderId="4" xfId="0" applyNumberFormat="1" applyFont="1" applyFill="1" applyBorder="1" applyAlignment="1">
      <alignment vertical="center"/>
    </xf>
    <xf numFmtId="0" fontId="15" fillId="0" borderId="4" xfId="0" applyFont="1" applyBorder="1" applyAlignment="1">
      <alignment horizontal="center"/>
    </xf>
    <xf numFmtId="4" fontId="12" fillId="0" borderId="4" xfId="0" applyNumberFormat="1" applyFont="1" applyBorder="1" applyAlignment="1">
      <alignment horizontal="right" vertical="center" wrapText="1"/>
    </xf>
    <xf numFmtId="4" fontId="12" fillId="4" borderId="4" xfId="0" applyNumberFormat="1" applyFont="1" applyFill="1" applyBorder="1" applyAlignment="1">
      <alignment vertical="center"/>
    </xf>
    <xf numFmtId="4" fontId="12" fillId="3" borderId="8" xfId="0" applyNumberFormat="1" applyFont="1" applyFill="1" applyBorder="1" applyAlignment="1">
      <alignment horizontal="right" vertical="center" wrapText="1"/>
    </xf>
    <xf numFmtId="44" fontId="0" fillId="2" borderId="4" xfId="0" applyNumberFormat="1" applyFont="1" applyFill="1" applyBorder="1" applyAlignment="1">
      <alignment vertical="center"/>
    </xf>
    <xf numFmtId="44" fontId="0" fillId="2" borderId="4" xfId="0" applyNumberFormat="1" applyFont="1" applyFill="1" applyBorder="1" applyAlignment="1">
      <alignment horizontal="right" vertical="center"/>
    </xf>
    <xf numFmtId="44" fontId="9" fillId="3" borderId="8" xfId="0" applyNumberFormat="1" applyFont="1" applyFill="1" applyBorder="1" applyAlignment="1">
      <alignment vertical="center"/>
    </xf>
    <xf numFmtId="0" fontId="20" fillId="0" borderId="4" xfId="0" applyFont="1" applyBorder="1" applyAlignment="1">
      <alignment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6" fontId="12" fillId="3" borderId="4" xfId="1" applyNumberFormat="1" applyFont="1" applyFill="1" applyBorder="1" applyAlignment="1">
      <alignment horizontal="center" vertical="center" wrapText="1"/>
    </xf>
    <xf numFmtId="166" fontId="15" fillId="0" borderId="4" xfId="1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67" fontId="12" fillId="3" borderId="4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6" fillId="9" borderId="4" xfId="0" applyFont="1" applyFill="1" applyBorder="1" applyAlignment="1">
      <alignment horizontal="center" vertical="center" wrapText="1"/>
    </xf>
    <xf numFmtId="8" fontId="26" fillId="9" borderId="4" xfId="0" applyNumberFormat="1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5" fillId="12" borderId="4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justify" vertical="center" wrapText="1"/>
    </xf>
    <xf numFmtId="8" fontId="26" fillId="0" borderId="4" xfId="0" applyNumberFormat="1" applyFont="1" applyBorder="1" applyAlignment="1">
      <alignment horizontal="center" vertical="center" wrapText="1"/>
    </xf>
    <xf numFmtId="8" fontId="25" fillId="10" borderId="4" xfId="0" applyNumberFormat="1" applyFont="1" applyFill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justify" vertical="center" wrapText="1"/>
    </xf>
    <xf numFmtId="0" fontId="26" fillId="9" borderId="4" xfId="0" applyFont="1" applyFill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8" fontId="26" fillId="0" borderId="4" xfId="0" applyNumberFormat="1" applyFont="1" applyBorder="1" applyAlignment="1">
      <alignment horizontal="right" vertical="center" wrapText="1"/>
    </xf>
    <xf numFmtId="0" fontId="27" fillId="1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1" fontId="15" fillId="0" borderId="3" xfId="0" applyNumberFormat="1" applyFont="1" applyFill="1" applyBorder="1" applyAlignment="1">
      <alignment horizontal="center" vertical="center" wrapText="1"/>
    </xf>
    <xf numFmtId="44" fontId="9" fillId="0" borderId="4" xfId="0" applyNumberFormat="1" applyFont="1" applyBorder="1" applyAlignment="1">
      <alignment horizontal="center" vertical="center" wrapText="1"/>
    </xf>
    <xf numFmtId="1" fontId="9" fillId="3" borderId="8" xfId="0" applyNumberFormat="1" applyFont="1" applyFill="1" applyBorder="1" applyAlignment="1">
      <alignment horizontal="center" vertical="center"/>
    </xf>
    <xf numFmtId="1" fontId="0" fillId="0" borderId="4" xfId="0" applyNumberFormat="1" applyFont="1" applyBorder="1" applyAlignment="1">
      <alignment horizontal="center" vertical="center"/>
    </xf>
    <xf numFmtId="1" fontId="0" fillId="2" borderId="4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168" fontId="28" fillId="0" borderId="4" xfId="0" applyNumberFormat="1" applyFont="1" applyBorder="1" applyAlignment="1">
      <alignment horizontal="center" vertical="center"/>
    </xf>
    <xf numFmtId="168" fontId="28" fillId="0" borderId="4" xfId="0" applyNumberFormat="1" applyFont="1" applyFill="1" applyBorder="1" applyAlignment="1">
      <alignment horizontal="center" vertical="center"/>
    </xf>
    <xf numFmtId="0" fontId="27" fillId="11" borderId="3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vertical="center"/>
    </xf>
    <xf numFmtId="0" fontId="27" fillId="11" borderId="3" xfId="0" applyFont="1" applyFill="1" applyBorder="1" applyAlignment="1">
      <alignment vertical="center"/>
    </xf>
    <xf numFmtId="0" fontId="27" fillId="0" borderId="3" xfId="0" applyFont="1" applyBorder="1" applyAlignment="1">
      <alignment vertical="center" wrapText="1"/>
    </xf>
    <xf numFmtId="0" fontId="28" fillId="0" borderId="4" xfId="0" applyFont="1" applyBorder="1" applyAlignment="1">
      <alignment horizontal="right" vertical="center"/>
    </xf>
    <xf numFmtId="0" fontId="27" fillId="0" borderId="2" xfId="0" applyFont="1" applyBorder="1" applyAlignment="1">
      <alignment vertical="center" wrapText="1"/>
    </xf>
    <xf numFmtId="0" fontId="28" fillId="0" borderId="3" xfId="0" applyFont="1" applyBorder="1" applyAlignment="1">
      <alignment horizontal="right" vertical="center"/>
    </xf>
    <xf numFmtId="8" fontId="25" fillId="10" borderId="5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0" fontId="25" fillId="12" borderId="4" xfId="0" applyFont="1" applyFill="1" applyBorder="1" applyAlignment="1">
      <alignment horizontal="right" vertical="center" wrapText="1"/>
    </xf>
    <xf numFmtId="8" fontId="26" fillId="9" borderId="4" xfId="0" applyNumberFormat="1" applyFont="1" applyFill="1" applyBorder="1" applyAlignment="1">
      <alignment horizontal="right" vertical="center" wrapText="1"/>
    </xf>
    <xf numFmtId="8" fontId="25" fillId="10" borderId="4" xfId="0" applyNumberFormat="1" applyFont="1" applyFill="1" applyBorder="1" applyAlignment="1">
      <alignment horizontal="right" vertical="center" wrapText="1"/>
    </xf>
    <xf numFmtId="44" fontId="10" fillId="0" borderId="0" xfId="16" applyFont="1" applyAlignment="1">
      <alignment horizontal="right" vertical="center" wrapText="1"/>
    </xf>
    <xf numFmtId="8" fontId="25" fillId="10" borderId="5" xfId="0" applyNumberFormat="1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right" vertical="center" wrapText="1"/>
    </xf>
    <xf numFmtId="44" fontId="10" fillId="0" borderId="0" xfId="0" applyNumberFormat="1" applyFont="1" applyAlignment="1">
      <alignment vertical="center" wrapText="1"/>
    </xf>
    <xf numFmtId="44" fontId="0" fillId="2" borderId="8" xfId="0" applyNumberFormat="1" applyFont="1" applyFill="1" applyBorder="1" applyAlignment="1">
      <alignment vertical="center"/>
    </xf>
    <xf numFmtId="1" fontId="0" fillId="2" borderId="8" xfId="0" applyNumberFormat="1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/>
    </xf>
    <xf numFmtId="167" fontId="33" fillId="0" borderId="4" xfId="0" applyNumberFormat="1" applyFont="1" applyBorder="1" applyAlignment="1">
      <alignment horizontal="center" vertical="center"/>
    </xf>
    <xf numFmtId="167" fontId="32" fillId="0" borderId="4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49" fontId="33" fillId="0" borderId="4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vertical="center" wrapText="1"/>
    </xf>
    <xf numFmtId="49" fontId="33" fillId="0" borderId="4" xfId="19" applyNumberFormat="1" applyFont="1" applyBorder="1" applyAlignment="1">
      <alignment horizontal="center" vertical="center" wrapText="1"/>
    </xf>
    <xf numFmtId="0" fontId="33" fillId="0" borderId="4" xfId="0" applyNumberFormat="1" applyFont="1" applyBorder="1" applyAlignment="1">
      <alignment horizontal="center" vertical="center" wrapText="1"/>
    </xf>
    <xf numFmtId="0" fontId="0" fillId="0" borderId="3" xfId="0" applyFont="1" applyBorder="1"/>
    <xf numFmtId="0" fontId="38" fillId="0" borderId="0" xfId="0" applyFont="1"/>
    <xf numFmtId="0" fontId="38" fillId="0" borderId="0" xfId="0" applyFont="1" applyAlignment="1">
      <alignment vertical="center"/>
    </xf>
    <xf numFmtId="0" fontId="35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vertical="center" wrapText="1"/>
    </xf>
    <xf numFmtId="0" fontId="35" fillId="3" borderId="4" xfId="0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 vertical="center"/>
    </xf>
    <xf numFmtId="0" fontId="35" fillId="0" borderId="4" xfId="0" applyFont="1" applyBorder="1" applyAlignment="1">
      <alignment horizontal="center"/>
    </xf>
    <xf numFmtId="43" fontId="35" fillId="14" borderId="4" xfId="19" applyFont="1" applyFill="1" applyBorder="1" applyAlignment="1">
      <alignment horizontal="center" vertical="center"/>
    </xf>
    <xf numFmtId="169" fontId="38" fillId="14" borderId="4" xfId="19" applyNumberFormat="1" applyFont="1" applyFill="1" applyBorder="1" applyAlignment="1">
      <alignment horizontal="center" vertical="center"/>
    </xf>
    <xf numFmtId="43" fontId="35" fillId="3" borderId="4" xfId="19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center" vertical="center" wrapText="1"/>
    </xf>
    <xf numFmtId="0" fontId="38" fillId="0" borderId="4" xfId="0" applyFont="1" applyBorder="1" applyAlignment="1">
      <alignment vertical="center"/>
    </xf>
    <xf numFmtId="10" fontId="38" fillId="0" borderId="4" xfId="20" applyNumberFormat="1" applyFont="1" applyBorder="1" applyAlignment="1">
      <alignment vertical="center"/>
    </xf>
    <xf numFmtId="43" fontId="38" fillId="14" borderId="4" xfId="19" applyFont="1" applyFill="1" applyBorder="1" applyAlignment="1">
      <alignment vertical="center"/>
    </xf>
    <xf numFmtId="10" fontId="35" fillId="3" borderId="4" xfId="20" applyNumberFormat="1" applyFont="1" applyFill="1" applyBorder="1" applyAlignment="1">
      <alignment vertical="center"/>
    </xf>
    <xf numFmtId="43" fontId="35" fillId="3" borderId="4" xfId="19" applyFont="1" applyFill="1" applyBorder="1" applyAlignment="1">
      <alignment vertical="center"/>
    </xf>
    <xf numFmtId="10" fontId="38" fillId="0" borderId="4" xfId="0" applyNumberFormat="1" applyFont="1" applyBorder="1" applyAlignment="1">
      <alignment vertical="center"/>
    </xf>
    <xf numFmtId="43" fontId="38" fillId="14" borderId="4" xfId="19" applyFont="1" applyFill="1" applyBorder="1"/>
    <xf numFmtId="10" fontId="35" fillId="3" borderId="4" xfId="0" applyNumberFormat="1" applyFont="1" applyFill="1" applyBorder="1" applyAlignment="1">
      <alignment vertical="center"/>
    </xf>
    <xf numFmtId="43" fontId="35" fillId="3" borderId="4" xfId="19" applyFont="1" applyFill="1" applyBorder="1"/>
    <xf numFmtId="0" fontId="35" fillId="14" borderId="4" xfId="0" applyFont="1" applyFill="1" applyBorder="1" applyAlignment="1">
      <alignment horizontal="center"/>
    </xf>
    <xf numFmtId="0" fontId="38" fillId="2" borderId="4" xfId="0" applyFont="1" applyFill="1" applyBorder="1" applyAlignment="1">
      <alignment horizontal="center"/>
    </xf>
    <xf numFmtId="43" fontId="35" fillId="14" borderId="4" xfId="19" applyFont="1" applyFill="1" applyBorder="1" applyAlignment="1">
      <alignment vertical="center"/>
    </xf>
    <xf numFmtId="170" fontId="38" fillId="0" borderId="4" xfId="0" applyNumberFormat="1" applyFont="1" applyBorder="1" applyAlignment="1">
      <alignment vertical="center"/>
    </xf>
    <xf numFmtId="10" fontId="38" fillId="0" borderId="4" xfId="0" applyNumberFormat="1" applyFont="1" applyBorder="1" applyAlignment="1">
      <alignment horizontal="right" vertical="center"/>
    </xf>
    <xf numFmtId="0" fontId="38" fillId="0" borderId="3" xfId="0" applyFont="1" applyBorder="1" applyAlignment="1">
      <alignment vertical="center" wrapText="1"/>
    </xf>
    <xf numFmtId="44" fontId="35" fillId="3" borderId="4" xfId="19" applyNumberFormat="1" applyFont="1" applyFill="1" applyBorder="1" applyAlignment="1">
      <alignment vertical="center"/>
    </xf>
    <xf numFmtId="43" fontId="38" fillId="0" borderId="4" xfId="19" applyFont="1" applyBorder="1" applyAlignment="1">
      <alignment vertical="center"/>
    </xf>
    <xf numFmtId="0" fontId="38" fillId="14" borderId="4" xfId="0" applyFont="1" applyFill="1" applyBorder="1"/>
    <xf numFmtId="8" fontId="38" fillId="14" borderId="4" xfId="19" applyNumberFormat="1" applyFont="1" applyFill="1" applyBorder="1" applyAlignment="1">
      <alignment vertical="center"/>
    </xf>
    <xf numFmtId="10" fontId="38" fillId="14" borderId="4" xfId="0" applyNumberFormat="1" applyFont="1" applyFill="1" applyBorder="1" applyAlignment="1">
      <alignment vertical="center"/>
    </xf>
    <xf numFmtId="43" fontId="38" fillId="14" borderId="4" xfId="19" applyFont="1" applyFill="1" applyBorder="1" applyAlignment="1">
      <alignment horizontal="center"/>
    </xf>
    <xf numFmtId="10" fontId="38" fillId="2" borderId="4" xfId="0" applyNumberFormat="1" applyFont="1" applyFill="1" applyBorder="1" applyAlignment="1">
      <alignment vertical="center"/>
    </xf>
    <xf numFmtId="43" fontId="38" fillId="2" borderId="4" xfId="19" applyFont="1" applyFill="1" applyBorder="1" applyAlignment="1">
      <alignment horizontal="center" vertical="center"/>
    </xf>
    <xf numFmtId="44" fontId="37" fillId="13" borderId="4" xfId="19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4" xfId="0" applyBorder="1"/>
    <xf numFmtId="0" fontId="40" fillId="0" borderId="4" xfId="0" applyFont="1" applyBorder="1" applyAlignment="1">
      <alignment horizontal="center" vertical="center" wrapText="1"/>
    </xf>
    <xf numFmtId="171" fontId="0" fillId="0" borderId="4" xfId="0" applyNumberFormat="1" applyFont="1" applyBorder="1"/>
    <xf numFmtId="10" fontId="0" fillId="0" borderId="4" xfId="20" applyNumberFormat="1" applyFont="1" applyBorder="1"/>
    <xf numFmtId="0" fontId="0" fillId="0" borderId="1" xfId="0" applyFont="1" applyBorder="1"/>
    <xf numFmtId="10" fontId="0" fillId="0" borderId="2" xfId="0" applyNumberFormat="1" applyFont="1" applyBorder="1"/>
    <xf numFmtId="171" fontId="0" fillId="0" borderId="3" xfId="0" applyNumberFormat="1" applyFont="1" applyBorder="1"/>
    <xf numFmtId="0" fontId="0" fillId="0" borderId="2" xfId="0" applyFont="1" applyBorder="1"/>
    <xf numFmtId="0" fontId="0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right" vertical="center"/>
    </xf>
    <xf numFmtId="0" fontId="35" fillId="3" borderId="4" xfId="0" applyFont="1" applyFill="1" applyBorder="1" applyAlignment="1">
      <alignment horizontal="center"/>
    </xf>
    <xf numFmtId="0" fontId="35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11" borderId="4" xfId="0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/>
    </xf>
    <xf numFmtId="0" fontId="27" fillId="11" borderId="3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 vertical="center"/>
    </xf>
    <xf numFmtId="0" fontId="25" fillId="10" borderId="4" xfId="0" applyFont="1" applyFill="1" applyBorder="1" applyAlignment="1">
      <alignment horizontal="center" vertical="center" wrapText="1"/>
    </xf>
    <xf numFmtId="0" fontId="29" fillId="11" borderId="4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10" borderId="8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30" fillId="11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right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righ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left" wrapText="1"/>
    </xf>
    <xf numFmtId="0" fontId="38" fillId="0" borderId="3" xfId="0" applyFont="1" applyBorder="1" applyAlignment="1">
      <alignment horizontal="left"/>
    </xf>
    <xf numFmtId="14" fontId="38" fillId="0" borderId="4" xfId="0" applyNumberFormat="1" applyFont="1" applyBorder="1" applyAlignment="1">
      <alignment horizontal="right" vertical="center"/>
    </xf>
    <xf numFmtId="0" fontId="38" fillId="0" borderId="4" xfId="0" applyFont="1" applyBorder="1" applyAlignment="1">
      <alignment horizontal="right" vertical="center"/>
    </xf>
    <xf numFmtId="0" fontId="37" fillId="13" borderId="0" xfId="0" applyFont="1" applyFill="1" applyAlignment="1">
      <alignment horizontal="center" vertical="center"/>
    </xf>
    <xf numFmtId="0" fontId="39" fillId="3" borderId="4" xfId="0" applyFont="1" applyFill="1" applyBorder="1" applyAlignment="1">
      <alignment horizontal="center"/>
    </xf>
    <xf numFmtId="0" fontId="37" fillId="13" borderId="0" xfId="0" applyFont="1" applyFill="1" applyAlignment="1">
      <alignment horizontal="center"/>
    </xf>
    <xf numFmtId="0" fontId="35" fillId="14" borderId="4" xfId="0" applyFont="1" applyFill="1" applyBorder="1" applyAlignment="1">
      <alignment horizontal="center" vertical="center" wrapText="1"/>
    </xf>
    <xf numFmtId="166" fontId="38" fillId="0" borderId="4" xfId="1" applyFont="1" applyBorder="1" applyAlignment="1">
      <alignment horizontal="right" vertical="center"/>
    </xf>
    <xf numFmtId="0" fontId="38" fillId="0" borderId="4" xfId="0" applyFont="1" applyBorder="1" applyAlignment="1">
      <alignment horizontal="left" vertical="center"/>
    </xf>
    <xf numFmtId="0" fontId="35" fillId="3" borderId="4" xfId="0" applyFont="1" applyFill="1" applyBorder="1" applyAlignment="1">
      <alignment horizontal="center"/>
    </xf>
    <xf numFmtId="0" fontId="38" fillId="0" borderId="13" xfId="0" applyFont="1" applyBorder="1" applyAlignment="1">
      <alignment horizontal="left" vertical="top" wrapText="1"/>
    </xf>
    <xf numFmtId="0" fontId="38" fillId="0" borderId="1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0" fontId="35" fillId="3" borderId="1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38" fillId="0" borderId="0" xfId="0" applyFont="1" applyBorder="1" applyAlignment="1">
      <alignment horizontal="left" vertical="top" wrapText="1"/>
    </xf>
    <xf numFmtId="0" fontId="35" fillId="3" borderId="4" xfId="0" applyFont="1" applyFill="1" applyBorder="1" applyAlignment="1">
      <alignment horizontal="center" vertical="top" wrapText="1"/>
    </xf>
    <xf numFmtId="0" fontId="35" fillId="3" borderId="4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left" vertical="center" wrapText="1"/>
    </xf>
    <xf numFmtId="0" fontId="35" fillId="14" borderId="4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top" wrapText="1"/>
    </xf>
    <xf numFmtId="0" fontId="35" fillId="3" borderId="2" xfId="0" applyFont="1" applyFill="1" applyBorder="1" applyAlignment="1">
      <alignment horizontal="center"/>
    </xf>
    <xf numFmtId="0" fontId="35" fillId="14" borderId="4" xfId="0" applyFont="1" applyFill="1" applyBorder="1" applyAlignment="1">
      <alignment horizontal="center" vertical="center"/>
    </xf>
    <xf numFmtId="0" fontId="35" fillId="14" borderId="1" xfId="0" applyFont="1" applyFill="1" applyBorder="1" applyAlignment="1">
      <alignment horizontal="center"/>
    </xf>
    <xf numFmtId="0" fontId="35" fillId="14" borderId="3" xfId="0" applyFont="1" applyFill="1" applyBorder="1" applyAlignment="1">
      <alignment horizontal="center"/>
    </xf>
    <xf numFmtId="0" fontId="35" fillId="2" borderId="4" xfId="0" applyFont="1" applyFill="1" applyBorder="1" applyAlignment="1">
      <alignment horizontal="left" wrapText="1"/>
    </xf>
    <xf numFmtId="0" fontId="35" fillId="2" borderId="4" xfId="0" applyFont="1" applyFill="1" applyBorder="1" applyAlignment="1">
      <alignment horizontal="center" wrapText="1"/>
    </xf>
    <xf numFmtId="0" fontId="38" fillId="0" borderId="0" xfId="0" applyFont="1" applyAlignment="1">
      <alignment horizontal="left" vertical="top" wrapText="1"/>
    </xf>
    <xf numFmtId="0" fontId="35" fillId="14" borderId="2" xfId="0" applyFont="1" applyFill="1" applyBorder="1" applyAlignment="1">
      <alignment horizontal="center"/>
    </xf>
    <xf numFmtId="0" fontId="34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0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43" fontId="12" fillId="0" borderId="2" xfId="0" applyNumberFormat="1" applyFont="1" applyBorder="1" applyAlignment="1">
      <alignment horizontal="center" vertical="center" wrapText="1"/>
    </xf>
    <xf numFmtId="43" fontId="12" fillId="0" borderId="3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5" fillId="0" borderId="12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2" fillId="7" borderId="1" xfId="0" applyFont="1" applyFill="1" applyBorder="1" applyAlignment="1">
      <alignment horizontal="left" vertical="center" wrapText="1"/>
    </xf>
    <xf numFmtId="0" fontId="12" fillId="7" borderId="2" xfId="0" applyFont="1" applyFill="1" applyBorder="1" applyAlignment="1">
      <alignment horizontal="left" vertical="center" wrapText="1"/>
    </xf>
    <xf numFmtId="0" fontId="12" fillId="7" borderId="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4" fontId="12" fillId="0" borderId="4" xfId="0" applyNumberFormat="1" applyFont="1" applyBorder="1" applyAlignment="1">
      <alignment horizontal="right" vertical="center" wrapText="1"/>
    </xf>
    <xf numFmtId="43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0" xfId="0" applyFont="1" applyAlignment="1">
      <alignment horizontal="center"/>
    </xf>
    <xf numFmtId="0" fontId="12" fillId="0" borderId="7" xfId="0" applyFont="1" applyBorder="1" applyAlignment="1">
      <alignment horizontal="center"/>
    </xf>
    <xf numFmtId="4" fontId="12" fillId="0" borderId="5" xfId="0" applyNumberFormat="1" applyFont="1" applyBorder="1" applyAlignment="1">
      <alignment horizontal="right" vertical="center" wrapText="1"/>
    </xf>
    <xf numFmtId="4" fontId="12" fillId="0" borderId="8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0" fontId="0" fillId="0" borderId="1" xfId="20" applyNumberFormat="1" applyFont="1" applyBorder="1" applyAlignment="1">
      <alignment horizontal="center"/>
    </xf>
    <xf numFmtId="10" fontId="0" fillId="0" borderId="3" xfId="20" applyNumberFormat="1" applyFont="1" applyBorder="1" applyAlignment="1">
      <alignment horizontal="center"/>
    </xf>
    <xf numFmtId="0" fontId="24" fillId="0" borderId="4" xfId="0" applyFont="1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justify" vertical="center" wrapText="1"/>
    </xf>
    <xf numFmtId="0" fontId="23" fillId="0" borderId="4" xfId="0" applyFont="1" applyBorder="1" applyAlignment="1">
      <alignment horizontal="left" vertical="center"/>
    </xf>
    <xf numFmtId="2" fontId="0" fillId="0" borderId="0" xfId="0" applyNumberFormat="1" applyFont="1"/>
  </cellXfs>
  <cellStyles count="21">
    <cellStyle name="Moeda" xfId="1" builtinId="4"/>
    <cellStyle name="Moeda 2" xfId="2"/>
    <cellStyle name="Moeda 2 2" xfId="15"/>
    <cellStyle name="Moeda 3" xfId="12"/>
    <cellStyle name="Moeda 4" xfId="16"/>
    <cellStyle name="Normal" xfId="0" builtinId="0"/>
    <cellStyle name="Normal 2" xfId="3"/>
    <cellStyle name="Normal 2 2" xfId="4"/>
    <cellStyle name="Normal 3" xfId="5"/>
    <cellStyle name="Normal 3 2" xfId="6"/>
    <cellStyle name="Normal 3 2 2" xfId="18"/>
    <cellStyle name="Normal 3 3" xfId="7"/>
    <cellStyle name="Normal 4" xfId="8"/>
    <cellStyle name="Normal 4 2" xfId="13"/>
    <cellStyle name="Normal 5" xfId="9"/>
    <cellStyle name="Normal 6" xfId="11"/>
    <cellStyle name="Normal 7" xfId="17"/>
    <cellStyle name="Porcentagem" xfId="20" builtinId="5"/>
    <cellStyle name="Porcentagem 2" xfId="14"/>
    <cellStyle name="Separador de milhares 2" xfId="10"/>
    <cellStyle name="Vírgula" xfId="19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firstButton="1" fmlaLink="Salários!$G$2" noThreeD="1"/>
</file>

<file path=xl/ctrlProps/ctrlProp2.xml><?xml version="1.0" encoding="utf-8"?>
<formControlPr xmlns="http://schemas.microsoft.com/office/spreadsheetml/2009/9/main" objectType="Radio" noThreeD="1"/>
</file>

<file path=xl/ctrlProps/ctrlProp3.xml><?xml version="1.0" encoding="utf-8"?>
<formControlPr xmlns="http://schemas.microsoft.com/office/spreadsheetml/2009/9/main" objectType="Radio" checked="Checked" noThreeD="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57150</xdr:rowOff>
        </xdr:from>
        <xdr:to>
          <xdr:col>8</xdr:col>
          <xdr:colOff>485775</xdr:colOff>
          <xdr:row>5</xdr:row>
          <xdr:rowOff>95250</xdr:rowOff>
        </xdr:to>
        <xdr:sp macro="" textlink="">
          <xdr:nvSpPr>
            <xdr:cNvPr id="17412" name="Botão de opção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Aumento encarregado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57150</xdr:rowOff>
        </xdr:from>
        <xdr:to>
          <xdr:col>8</xdr:col>
          <xdr:colOff>38100</xdr:colOff>
          <xdr:row>7</xdr:row>
          <xdr:rowOff>76200</xdr:rowOff>
        </xdr:to>
        <xdr:sp macro="" textlink="">
          <xdr:nvSpPr>
            <xdr:cNvPr id="17413" name="Botão de opção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Redução Garçom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57150</xdr:rowOff>
        </xdr:from>
        <xdr:to>
          <xdr:col>8</xdr:col>
          <xdr:colOff>38100</xdr:colOff>
          <xdr:row>9</xdr:row>
          <xdr:rowOff>76200</xdr:rowOff>
        </xdr:to>
        <xdr:sp macro="" textlink="">
          <xdr:nvSpPr>
            <xdr:cNvPr id="17414" name="Botão de opção 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0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Média mercado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MAG/SEMANP/TERMOS%20DE%20REFER&#202;NCIA/TR%20-%20Manuten&#231;&#227;o%20Predial/Anexos%20-%20TR%20Manuten&#231;&#227;o%20CN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D-I-MÓDULOS 1, 2 e 3"/>
      <sheetName val="Anexo D-II-UNIFORMES E EPI's"/>
      <sheetName val="Anexo D-III-FERRAMENTAS"/>
      <sheetName val="Anexo D-IV-MÓDULOS 4 - Encargos"/>
      <sheetName val="Anexo D-V-MÓDULO 5 - BDI"/>
      <sheetName val="Anexo D-VI-Horas anual"/>
      <sheetName val="Anexo D-VII-Manut Especializada"/>
      <sheetName val="Anexo D-VIII-Eventuais"/>
      <sheetName val="Anexo D-IX-LUCRO REAL"/>
      <sheetName val="Anexo D-IX-LUCRO PRESUMIDO"/>
      <sheetName val="PLANILHA RESUMO (SN)"/>
    </sheetNames>
    <sheetDataSet>
      <sheetData sheetId="0">
        <row r="9">
          <cell r="G9">
            <v>1985.5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7">
          <cell r="F17">
            <v>340079.62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workbookViewId="0">
      <selection activeCell="I22" sqref="I22"/>
    </sheetView>
  </sheetViews>
  <sheetFormatPr defaultRowHeight="15" x14ac:dyDescent="0.25"/>
  <cols>
    <col min="1" max="1" width="43.140625" style="97" customWidth="1"/>
    <col min="2" max="2" width="9.140625" customWidth="1"/>
    <col min="3" max="6" width="7.140625" customWidth="1"/>
  </cols>
  <sheetData>
    <row r="1" spans="1:6" ht="15" customHeight="1" x14ac:dyDescent="0.25">
      <c r="A1" s="208" t="s">
        <v>177</v>
      </c>
      <c r="B1" s="208"/>
      <c r="C1" s="124"/>
      <c r="D1" s="124"/>
      <c r="E1" s="124"/>
      <c r="F1" s="122"/>
    </row>
    <row r="2" spans="1:6" ht="15" customHeight="1" x14ac:dyDescent="0.25">
      <c r="A2" s="209" t="s">
        <v>178</v>
      </c>
      <c r="B2" s="209" t="s">
        <v>189</v>
      </c>
      <c r="C2" s="210" t="s">
        <v>190</v>
      </c>
      <c r="D2" s="211"/>
      <c r="E2" s="212" t="s">
        <v>191</v>
      </c>
      <c r="F2" s="211"/>
    </row>
    <row r="3" spans="1:6" x14ac:dyDescent="0.25">
      <c r="A3" s="209"/>
      <c r="B3" s="209"/>
      <c r="C3" s="119" t="s">
        <v>188</v>
      </c>
      <c r="D3" s="106" t="s">
        <v>187</v>
      </c>
      <c r="E3" s="106" t="s">
        <v>188</v>
      </c>
      <c r="F3" s="106" t="s">
        <v>187</v>
      </c>
    </row>
    <row r="4" spans="1:6" x14ac:dyDescent="0.25">
      <c r="A4" s="107" t="s">
        <v>179</v>
      </c>
      <c r="B4" s="123">
        <v>6576</v>
      </c>
      <c r="C4" s="125">
        <v>800</v>
      </c>
      <c r="D4" s="123">
        <v>1200</v>
      </c>
      <c r="E4" s="117">
        <f>B4/D4</f>
        <v>5.48</v>
      </c>
      <c r="F4" s="117">
        <f>B4/C4</f>
        <v>8.2200000000000006</v>
      </c>
    </row>
    <row r="5" spans="1:6" x14ac:dyDescent="0.25">
      <c r="A5" s="107" t="s">
        <v>180</v>
      </c>
      <c r="B5" s="123">
        <v>9022</v>
      </c>
      <c r="C5" s="125">
        <v>800</v>
      </c>
      <c r="D5" s="123">
        <v>1200</v>
      </c>
      <c r="E5" s="117">
        <f t="shared" ref="E5:E11" si="0">B5/D5</f>
        <v>7.5183333333333335</v>
      </c>
      <c r="F5" s="117">
        <f t="shared" ref="F5:F11" si="1">B5/C5</f>
        <v>11.2775</v>
      </c>
    </row>
    <row r="6" spans="1:6" x14ac:dyDescent="0.25">
      <c r="A6" s="107" t="s">
        <v>181</v>
      </c>
      <c r="B6" s="123">
        <v>276</v>
      </c>
      <c r="C6" s="125">
        <v>1500</v>
      </c>
      <c r="D6" s="123">
        <v>2500</v>
      </c>
      <c r="E6" s="117">
        <f t="shared" si="0"/>
        <v>0.1104</v>
      </c>
      <c r="F6" s="117">
        <f t="shared" si="1"/>
        <v>0.184</v>
      </c>
    </row>
    <row r="7" spans="1:6" x14ac:dyDescent="0.25">
      <c r="A7" s="107" t="s">
        <v>182</v>
      </c>
      <c r="B7" s="123">
        <v>147</v>
      </c>
      <c r="C7" s="125">
        <v>1200</v>
      </c>
      <c r="D7" s="123">
        <v>1800</v>
      </c>
      <c r="E7" s="117">
        <f t="shared" si="0"/>
        <v>8.1666666666666665E-2</v>
      </c>
      <c r="F7" s="117">
        <f t="shared" si="1"/>
        <v>0.1225</v>
      </c>
    </row>
    <row r="8" spans="1:6" x14ac:dyDescent="0.25">
      <c r="A8" s="107" t="s">
        <v>183</v>
      </c>
      <c r="B8" s="123">
        <v>330</v>
      </c>
      <c r="C8" s="125">
        <v>1000</v>
      </c>
      <c r="D8" s="123">
        <v>1500</v>
      </c>
      <c r="E8" s="117">
        <f t="shared" si="0"/>
        <v>0.22</v>
      </c>
      <c r="F8" s="117">
        <f t="shared" si="1"/>
        <v>0.33</v>
      </c>
    </row>
    <row r="9" spans="1:6" x14ac:dyDescent="0.25">
      <c r="A9" s="107" t="s">
        <v>184</v>
      </c>
      <c r="B9" s="123">
        <v>623</v>
      </c>
      <c r="C9" s="125">
        <v>200</v>
      </c>
      <c r="D9" s="123">
        <v>300</v>
      </c>
      <c r="E9" s="117">
        <f t="shared" si="0"/>
        <v>2.0766666666666667</v>
      </c>
      <c r="F9" s="117">
        <f t="shared" si="1"/>
        <v>3.1150000000000002</v>
      </c>
    </row>
    <row r="10" spans="1:6" x14ac:dyDescent="0.25">
      <c r="A10" s="107" t="s">
        <v>185</v>
      </c>
      <c r="B10" s="123">
        <v>4482</v>
      </c>
      <c r="C10" s="125">
        <v>130</v>
      </c>
      <c r="D10" s="123">
        <v>160</v>
      </c>
      <c r="E10" s="117">
        <f t="shared" si="0"/>
        <v>28.012499999999999</v>
      </c>
      <c r="F10" s="117">
        <f t="shared" si="1"/>
        <v>34.476923076923079</v>
      </c>
    </row>
    <row r="11" spans="1:6" x14ac:dyDescent="0.25">
      <c r="A11" s="107" t="s">
        <v>186</v>
      </c>
      <c r="B11" s="123">
        <v>144</v>
      </c>
      <c r="C11" s="125">
        <v>360</v>
      </c>
      <c r="D11" s="123">
        <v>450</v>
      </c>
      <c r="E11" s="117">
        <f t="shared" si="0"/>
        <v>0.32</v>
      </c>
      <c r="F11" s="117">
        <f t="shared" si="1"/>
        <v>0.4</v>
      </c>
    </row>
    <row r="12" spans="1:6" x14ac:dyDescent="0.25">
      <c r="B12" s="97"/>
      <c r="C12" s="120" t="s">
        <v>192</v>
      </c>
      <c r="D12" s="121"/>
      <c r="E12" s="118">
        <f>SUM(E4:E11)</f>
        <v>43.819566666666667</v>
      </c>
      <c r="F12" s="118">
        <f>SUM(F4:F11)</f>
        <v>58.12592307692308</v>
      </c>
    </row>
    <row r="14" spans="1:6" ht="15" customHeight="1" x14ac:dyDescent="0.25">
      <c r="A14" s="208" t="s">
        <v>193</v>
      </c>
      <c r="B14" s="208"/>
      <c r="C14" s="124"/>
      <c r="D14" s="124"/>
      <c r="E14" s="124"/>
      <c r="F14" s="122"/>
    </row>
    <row r="15" spans="1:6" x14ac:dyDescent="0.25">
      <c r="A15" s="209" t="s">
        <v>178</v>
      </c>
      <c r="B15" s="209" t="s">
        <v>189</v>
      </c>
      <c r="C15" s="210" t="s">
        <v>190</v>
      </c>
      <c r="D15" s="211"/>
      <c r="E15" s="212" t="s">
        <v>191</v>
      </c>
      <c r="F15" s="211"/>
    </row>
    <row r="16" spans="1:6" x14ac:dyDescent="0.25">
      <c r="A16" s="209"/>
      <c r="B16" s="209"/>
      <c r="C16" s="119" t="s">
        <v>188</v>
      </c>
      <c r="D16" s="106" t="s">
        <v>187</v>
      </c>
      <c r="E16" s="106" t="s">
        <v>188</v>
      </c>
      <c r="F16" s="106" t="s">
        <v>187</v>
      </c>
    </row>
    <row r="17" spans="1:6" x14ac:dyDescent="0.25">
      <c r="A17" s="107" t="s">
        <v>180</v>
      </c>
      <c r="B17" s="123">
        <v>2526</v>
      </c>
      <c r="C17" s="125">
        <v>800</v>
      </c>
      <c r="D17" s="123">
        <v>1200</v>
      </c>
      <c r="E17" s="117">
        <f>B17/D17</f>
        <v>2.105</v>
      </c>
      <c r="F17" s="117">
        <f>B17/C17</f>
        <v>3.1575000000000002</v>
      </c>
    </row>
    <row r="18" spans="1:6" x14ac:dyDescent="0.25">
      <c r="A18" s="107" t="s">
        <v>194</v>
      </c>
      <c r="B18" s="123">
        <v>44</v>
      </c>
      <c r="C18" s="125">
        <v>360</v>
      </c>
      <c r="D18" s="123">
        <v>450</v>
      </c>
      <c r="E18" s="117">
        <f>B18/D18</f>
        <v>9.7777777777777783E-2</v>
      </c>
      <c r="F18" s="117">
        <f>B18/C18</f>
        <v>0.12222222222222222</v>
      </c>
    </row>
    <row r="19" spans="1:6" x14ac:dyDescent="0.25">
      <c r="A19" s="107" t="s">
        <v>181</v>
      </c>
      <c r="B19" s="123">
        <v>1295</v>
      </c>
      <c r="C19" s="125">
        <v>1500</v>
      </c>
      <c r="D19" s="123">
        <v>2500</v>
      </c>
      <c r="E19" s="117">
        <f>B19/D19</f>
        <v>0.51800000000000002</v>
      </c>
      <c r="F19" s="117">
        <f>B19/C19</f>
        <v>0.86333333333333329</v>
      </c>
    </row>
    <row r="20" spans="1:6" x14ac:dyDescent="0.25">
      <c r="A20" s="107" t="s">
        <v>182</v>
      </c>
      <c r="B20" s="123">
        <v>455</v>
      </c>
      <c r="C20" s="125">
        <v>1200</v>
      </c>
      <c r="D20" s="123">
        <v>1800</v>
      </c>
      <c r="E20" s="117">
        <f>B20/D20</f>
        <v>0.25277777777777777</v>
      </c>
      <c r="F20" s="117">
        <f>B20/C20</f>
        <v>0.37916666666666665</v>
      </c>
    </row>
    <row r="21" spans="1:6" x14ac:dyDescent="0.25">
      <c r="A21" s="107" t="s">
        <v>184</v>
      </c>
      <c r="B21" s="123">
        <v>37</v>
      </c>
      <c r="C21" s="125">
        <v>200</v>
      </c>
      <c r="D21" s="123">
        <v>300</v>
      </c>
      <c r="E21" s="117">
        <f>B21/D21</f>
        <v>0.12333333333333334</v>
      </c>
      <c r="F21" s="117">
        <f>B21/C21</f>
        <v>0.185</v>
      </c>
    </row>
    <row r="22" spans="1:6" x14ac:dyDescent="0.25">
      <c r="B22" s="97"/>
      <c r="C22" s="120" t="s">
        <v>192</v>
      </c>
      <c r="D22" s="121"/>
      <c r="E22" s="118">
        <f>SUM(E17:E21)</f>
        <v>3.0968888888888895</v>
      </c>
      <c r="F22" s="118">
        <f>SUM(F17:F21)</f>
        <v>4.7072222222222218</v>
      </c>
    </row>
  </sheetData>
  <mergeCells count="10">
    <mergeCell ref="A2:A3"/>
    <mergeCell ref="A1:B1"/>
    <mergeCell ref="C2:D2"/>
    <mergeCell ref="E2:F2"/>
    <mergeCell ref="B2:B3"/>
    <mergeCell ref="A14:B14"/>
    <mergeCell ref="A15:A16"/>
    <mergeCell ref="B15:B16"/>
    <mergeCell ref="C15:D15"/>
    <mergeCell ref="E15:F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16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157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Salários!E10</f>
        <v>2473.75</v>
      </c>
      <c r="E4" s="204">
        <v>1</v>
      </c>
      <c r="F4" s="157" t="s">
        <v>259</v>
      </c>
      <c r="G4" s="242" t="s">
        <v>376</v>
      </c>
      <c r="H4" s="242"/>
    </row>
    <row r="5" spans="1:10" ht="15" customHeight="1" x14ac:dyDescent="0.25">
      <c r="A5" s="219" t="s">
        <v>45</v>
      </c>
      <c r="B5" s="219"/>
      <c r="C5" s="17">
        <f ca="1">C4</f>
        <v>2473.75</v>
      </c>
      <c r="E5" s="158">
        <v>2</v>
      </c>
      <c r="F5" s="159" t="s">
        <v>260</v>
      </c>
      <c r="G5" s="238" t="s">
        <v>377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1901.53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93.58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1006.22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Salários!E10</f>
        <v>2473.75</v>
      </c>
    </row>
    <row r="14" spans="1:10" ht="15" customHeight="1" x14ac:dyDescent="0.2">
      <c r="A14" s="108" t="s">
        <v>29</v>
      </c>
      <c r="B14" s="10"/>
      <c r="C14" s="88">
        <f>'TABELA 1 - UNIFORMES'!E11</f>
        <v>75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75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1899.35</v>
      </c>
      <c r="E19" s="245" t="s">
        <v>26</v>
      </c>
      <c r="F19" s="245"/>
      <c r="G19" s="245"/>
      <c r="H19" s="165">
        <f ca="1">SUM(H13:H18)</f>
        <v>2473.75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327.26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392.57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614.92999999999995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46.21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213.27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224.86387499999998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355.45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299.81850000000003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524.68237499999998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1334.76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2473.75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1006.22</v>
      </c>
    </row>
    <row r="32" spans="1:10" ht="15" customHeight="1" x14ac:dyDescent="0.25">
      <c r="A32" s="229" t="s">
        <v>4</v>
      </c>
      <c r="B32" s="229"/>
      <c r="C32" s="11">
        <f>C16</f>
        <v>75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1899.35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5454.32</v>
      </c>
      <c r="E34" s="162" t="s">
        <v>10</v>
      </c>
      <c r="F34" s="167" t="s">
        <v>11</v>
      </c>
      <c r="G34" s="172">
        <v>0.2</v>
      </c>
      <c r="H34" s="173">
        <f ca="1">G34*($H$19+$H$27)</f>
        <v>599.68647499999997</v>
      </c>
    </row>
    <row r="35" spans="1:8" ht="15" customHeight="1" x14ac:dyDescent="0.2">
      <c r="A35" s="229" t="s">
        <v>37</v>
      </c>
      <c r="B35" s="229"/>
      <c r="C35" s="11">
        <f ca="1">C28</f>
        <v>1334.76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74.960809374999997</v>
      </c>
    </row>
    <row r="36" spans="1:8" ht="15" customHeight="1" x14ac:dyDescent="0.2">
      <c r="A36" s="219" t="s">
        <v>42</v>
      </c>
      <c r="B36" s="219"/>
      <c r="C36" s="17">
        <f ca="1">ROUND(SUM(C34:C35),2)</f>
        <v>6789.08</v>
      </c>
      <c r="E36" s="162" t="s">
        <v>13</v>
      </c>
      <c r="F36" s="167" t="s">
        <v>292</v>
      </c>
      <c r="G36" s="172">
        <v>0.03</v>
      </c>
      <c r="H36" s="173">
        <f t="shared" ca="1" si="0"/>
        <v>89.95297124999999</v>
      </c>
    </row>
    <row r="37" spans="1:8" ht="15" customHeight="1" x14ac:dyDescent="0.2">
      <c r="A37" s="232" t="s">
        <v>43</v>
      </c>
      <c r="B37" s="232"/>
      <c r="C37" s="89">
        <v>19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44.976485624999995</v>
      </c>
    </row>
    <row r="38" spans="1:8" ht="15" customHeight="1" x14ac:dyDescent="0.2">
      <c r="A38" s="219" t="s">
        <v>46</v>
      </c>
      <c r="B38" s="219"/>
      <c r="C38" s="17">
        <f ca="1">ROUND((C36*C37),2)</f>
        <v>128992.52</v>
      </c>
      <c r="E38" s="162" t="s">
        <v>16</v>
      </c>
      <c r="F38" s="167" t="s">
        <v>294</v>
      </c>
      <c r="G38" s="172">
        <v>0.01</v>
      </c>
      <c r="H38" s="173">
        <f t="shared" ca="1" si="0"/>
        <v>29.984323749999998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17.990594250000001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5.9968647500000003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239.87458999999998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1103.4231139999999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260.77500000000009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1203.7750000000001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524.68237499999998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1103.4231139999999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1203.7750000000001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2831.8804890000001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12.593415974999999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0.89952971249999991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2.9984323749999999E-3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58.169588075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21.406408411600001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0.29984323750000003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104.6452898875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198.01707373147499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22.78808605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24.587145475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0.59968647500000005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0.89952971249999991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8.6954538874999994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49.773977424999998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107.34387902500001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107.34387902500001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107.34387902500001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UNIFORMES'!E11</f>
        <v>75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75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341.15948650538849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386.07881889526465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606.60948401212863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1333.8477894127818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2473.75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2831.8804890000001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198.01707373147499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107.34387902500001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75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5685.9914417564751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1333.8477894127818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7019.8392311692569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06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157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Salários!E11</f>
        <v>3480.03</v>
      </c>
      <c r="E4" s="204">
        <v>1</v>
      </c>
      <c r="F4" s="157" t="s">
        <v>259</v>
      </c>
      <c r="G4" s="242" t="s">
        <v>378</v>
      </c>
      <c r="H4" s="242"/>
    </row>
    <row r="5" spans="1:10" ht="15" customHeight="1" x14ac:dyDescent="0.25">
      <c r="A5" s="219" t="s">
        <v>45</v>
      </c>
      <c r="B5" s="219"/>
      <c r="C5" s="17">
        <f ca="1">C4</f>
        <v>3480.03</v>
      </c>
      <c r="E5" s="158">
        <v>2</v>
      </c>
      <c r="F5" s="159" t="s">
        <v>260</v>
      </c>
      <c r="G5" s="238" t="s">
        <v>387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2311.02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33.200000000000003</v>
      </c>
      <c r="E7" s="158">
        <v>4</v>
      </c>
      <c r="F7" s="159" t="s">
        <v>262</v>
      </c>
      <c r="G7" s="235" t="s">
        <v>389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388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945.84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Salários!E11</f>
        <v>3480.03</v>
      </c>
    </row>
    <row r="14" spans="1:10" ht="15" customHeight="1" x14ac:dyDescent="0.2">
      <c r="A14" s="108" t="s">
        <v>29</v>
      </c>
      <c r="B14" s="10"/>
      <c r="C14" s="88">
        <f>'TABELA 1 - UNIFORMES'!E11</f>
        <v>75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75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2671.97</v>
      </c>
      <c r="E19" s="245" t="s">
        <v>26</v>
      </c>
      <c r="F19" s="245"/>
      <c r="G19" s="245"/>
      <c r="H19" s="165">
        <f ca="1">SUM(H13:H18)</f>
        <v>3480.03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430.37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516.26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808.68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60.77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280.47000000000003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316.33472699999999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467.44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421.77963600000004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738.11436300000003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1755.31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3480.03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945.84</v>
      </c>
    </row>
    <row r="32" spans="1:10" ht="15" customHeight="1" x14ac:dyDescent="0.25">
      <c r="A32" s="229" t="s">
        <v>4</v>
      </c>
      <c r="B32" s="229"/>
      <c r="C32" s="11">
        <f>C16</f>
        <v>75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2671.97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7172.84</v>
      </c>
      <c r="E34" s="162" t="s">
        <v>10</v>
      </c>
      <c r="F34" s="167" t="s">
        <v>11</v>
      </c>
      <c r="G34" s="172">
        <v>0.2</v>
      </c>
      <c r="H34" s="173">
        <f ca="1">G34*($H$19+$H$27)</f>
        <v>843.62887260000014</v>
      </c>
    </row>
    <row r="35" spans="1:8" ht="15" customHeight="1" x14ac:dyDescent="0.2">
      <c r="A35" s="229" t="s">
        <v>37</v>
      </c>
      <c r="B35" s="229"/>
      <c r="C35" s="11">
        <f ca="1">C28</f>
        <v>1755.31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105.45360907500002</v>
      </c>
    </row>
    <row r="36" spans="1:8" ht="15" customHeight="1" x14ac:dyDescent="0.2">
      <c r="A36" s="219" t="s">
        <v>42</v>
      </c>
      <c r="B36" s="219"/>
      <c r="C36" s="17">
        <f ca="1">ROUND(SUM(C34:C35),2)</f>
        <v>8928.15</v>
      </c>
      <c r="E36" s="162" t="s">
        <v>13</v>
      </c>
      <c r="F36" s="167" t="s">
        <v>292</v>
      </c>
      <c r="G36" s="172">
        <v>0.03</v>
      </c>
      <c r="H36" s="173">
        <f t="shared" ca="1" si="0"/>
        <v>126.54433089000001</v>
      </c>
    </row>
    <row r="37" spans="1:8" ht="15" customHeight="1" x14ac:dyDescent="0.2">
      <c r="A37" s="232" t="s">
        <v>43</v>
      </c>
      <c r="B37" s="232"/>
      <c r="C37" s="89">
        <v>19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63.272165445000006</v>
      </c>
    </row>
    <row r="38" spans="1:8" ht="15" customHeight="1" x14ac:dyDescent="0.2">
      <c r="A38" s="219" t="s">
        <v>46</v>
      </c>
      <c r="B38" s="219"/>
      <c r="C38" s="17">
        <f ca="1">ROUND((C36*C37),2)</f>
        <v>169634.85</v>
      </c>
      <c r="E38" s="162" t="s">
        <v>16</v>
      </c>
      <c r="F38" s="167" t="s">
        <v>294</v>
      </c>
      <c r="G38" s="172">
        <v>0.01</v>
      </c>
      <c r="H38" s="173">
        <f t="shared" ca="1" si="0"/>
        <v>42.181443630000004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25.308866178000002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8.4362887260000008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337.45154904000003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1552.2771255840003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200.39820000000003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1143.3982000000001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738.11436300000003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1552.2771255840003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1143.3982000000001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3433.7896885840005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17.716206324600002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1.2654433088999999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4.2181443629999999E-3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81.832000642200015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30.114176236329605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0.42181443630000004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147.21323826870002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278.56709736139265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32.057897158800003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34.588783776600003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0.84362887260000008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1.2654433088999999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12.232618652699999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70.021196425799999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151.00956819539999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151.00956819539999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151.00956819539999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UNIFORMES'!E11</f>
        <v>75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75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445.10378124844755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503.70911244615985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791.43094580400452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1740.243839498612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3480.03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3433.7896885840005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278.56709736139265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151.00956819539999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75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7418.3963541407929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1740.243839498612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9158.640193639405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5" zoomScaleNormal="100" workbookViewId="0">
      <selection activeCell="C15" sqref="A1:C1048576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154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Salários!E9</f>
        <v>1527.03</v>
      </c>
      <c r="E4" s="204">
        <v>1</v>
      </c>
      <c r="F4" s="157" t="s">
        <v>259</v>
      </c>
      <c r="G4" s="242" t="s">
        <v>392</v>
      </c>
      <c r="H4" s="242"/>
    </row>
    <row r="5" spans="1:10" ht="15" customHeight="1" x14ac:dyDescent="0.25">
      <c r="A5" s="219" t="s">
        <v>152</v>
      </c>
      <c r="B5" s="219"/>
      <c r="C5" s="17">
        <v>494.41</v>
      </c>
      <c r="E5" s="158">
        <v>2</v>
      </c>
      <c r="F5" s="159" t="s">
        <v>260</v>
      </c>
      <c r="G5" s="238" t="s">
        <v>379</v>
      </c>
      <c r="H5" s="238"/>
    </row>
    <row r="6" spans="1:10" ht="19.899999999999999" customHeight="1" x14ac:dyDescent="0.25">
      <c r="A6" s="220" t="s">
        <v>45</v>
      </c>
      <c r="B6" s="220"/>
      <c r="C6" s="12">
        <f ca="1">SUM(C4:C5)</f>
        <v>2021.44</v>
      </c>
      <c r="E6" s="158">
        <v>3</v>
      </c>
      <c r="F6" s="159" t="s">
        <v>261</v>
      </c>
      <c r="G6" s="243">
        <v>1648.04</v>
      </c>
      <c r="H6" s="243"/>
    </row>
    <row r="7" spans="1:10" ht="67.5" customHeight="1" x14ac:dyDescent="0.2">
      <c r="A7" s="108" t="s">
        <v>3</v>
      </c>
      <c r="B7" s="111"/>
      <c r="C7" s="88" t="s">
        <v>8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32</v>
      </c>
      <c r="B8" s="111">
        <v>22</v>
      </c>
      <c r="C8" s="88">
        <f ca="1">ROUND((B8*11-C4*6%),2)</f>
        <v>150.38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25</v>
      </c>
      <c r="B9" s="10">
        <v>22</v>
      </c>
      <c r="C9" s="88">
        <f>B9*33.62</f>
        <v>739.64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97</v>
      </c>
      <c r="B10" s="10"/>
      <c r="C10" s="88">
        <v>160.07</v>
      </c>
    </row>
    <row r="11" spans="1:10" ht="15" customHeight="1" x14ac:dyDescent="0.25">
      <c r="A11" s="108" t="s">
        <v>96</v>
      </c>
      <c r="B11" s="10"/>
      <c r="C11" s="88">
        <v>10.63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98</v>
      </c>
      <c r="B12" s="219"/>
      <c r="C12" s="87">
        <v>2.2999999999999998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33</v>
      </c>
      <c r="B13" s="220"/>
      <c r="C13" s="12">
        <f ca="1">ROUND(SUM(C8:C12),2)</f>
        <v>1063.02</v>
      </c>
      <c r="E13" s="162" t="s">
        <v>10</v>
      </c>
      <c r="F13" s="244" t="s">
        <v>270</v>
      </c>
      <c r="G13" s="244"/>
      <c r="H13" s="163">
        <f ca="1">Salários!E9</f>
        <v>1527.03</v>
      </c>
    </row>
    <row r="14" spans="1:10" ht="15" customHeight="1" x14ac:dyDescent="0.2">
      <c r="A14" s="108" t="s">
        <v>4</v>
      </c>
      <c r="B14" s="10"/>
      <c r="C14" s="88" t="s">
        <v>8</v>
      </c>
      <c r="E14" s="162" t="s">
        <v>12</v>
      </c>
      <c r="F14" s="247" t="s">
        <v>271</v>
      </c>
      <c r="G14" s="248"/>
      <c r="H14" s="164">
        <f ca="1">0.3*H13</f>
        <v>458.10899999999998</v>
      </c>
    </row>
    <row r="15" spans="1:10" ht="15" customHeight="1" x14ac:dyDescent="0.2">
      <c r="A15" s="108" t="s">
        <v>29</v>
      </c>
      <c r="B15" s="10"/>
      <c r="C15" s="86">
        <f>'TABELA 1 - UNIFORMES'!E31</f>
        <v>44.166666666666664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150</v>
      </c>
      <c r="B16" s="219"/>
      <c r="C16" s="87">
        <f>'TABELA 2 - EPIS'!E28</f>
        <v>180.61333333333332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44</v>
      </c>
      <c r="B17" s="220"/>
      <c r="C17" s="12">
        <f>SUM(C15:C16)</f>
        <v>224.77999999999997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 t="s">
        <v>34</v>
      </c>
      <c r="B18" s="220"/>
      <c r="C18" s="13" t="s">
        <v>35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/>
      <c r="B19" s="219"/>
      <c r="C19" s="87">
        <v>0.76780000000000004</v>
      </c>
      <c r="E19" s="245" t="s">
        <v>26</v>
      </c>
      <c r="F19" s="245"/>
      <c r="G19" s="245"/>
      <c r="H19" s="165">
        <f ca="1">SUM(H13:H18)</f>
        <v>1985.1389999999999</v>
      </c>
    </row>
    <row r="20" spans="1:10" ht="30" hidden="1" customHeight="1" x14ac:dyDescent="0.25">
      <c r="A20" s="230" t="s">
        <v>36</v>
      </c>
      <c r="B20" s="231"/>
      <c r="C20" s="12">
        <f ca="1">ROUND((C6*C19),2)</f>
        <v>1552.06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37</v>
      </c>
      <c r="B21" s="15"/>
      <c r="C21" s="91" t="s">
        <v>8</v>
      </c>
    </row>
    <row r="22" spans="1:10" ht="15" customHeight="1" x14ac:dyDescent="0.25">
      <c r="A22" s="14" t="s">
        <v>0</v>
      </c>
      <c r="B22" s="15">
        <v>0.06</v>
      </c>
      <c r="C22" s="87">
        <f ca="1">ROUND(((C6+C13+C17+C20)*$B$22),2)</f>
        <v>291.68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1</v>
      </c>
      <c r="B23" s="15">
        <v>6.7900000000000002E-2</v>
      </c>
      <c r="C23" s="87">
        <f ca="1">ROUND(((C6+C13+C17+C20+C22)*$B$23),2)</f>
        <v>349.89</v>
      </c>
      <c r="E23" s="245" t="s">
        <v>279</v>
      </c>
      <c r="F23" s="245"/>
      <c r="G23" s="245"/>
      <c r="H23" s="245"/>
    </row>
    <row r="24" spans="1:10" ht="25.5" x14ac:dyDescent="0.25">
      <c r="A24" s="18" t="s">
        <v>28</v>
      </c>
      <c r="B24" s="16">
        <v>0.13150000000000001</v>
      </c>
      <c r="C24" s="88">
        <f ca="1">ROUND((C25+C26+C27+C28),2)</f>
        <v>548.05999999999995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7</v>
      </c>
      <c r="B25" s="16">
        <v>6.4999999999999997E-3</v>
      </c>
      <c r="C25" s="88">
        <f ca="1">ROUND(((C6+C13+C17+C20+C22+C23)/0.8685*$B$25),2)</f>
        <v>41.18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180.44913509999998</v>
      </c>
    </row>
    <row r="26" spans="1:10" ht="15" customHeight="1" x14ac:dyDescent="0.2">
      <c r="A26" s="18" t="s">
        <v>23</v>
      </c>
      <c r="B26" s="16">
        <v>0.03</v>
      </c>
      <c r="C26" s="88">
        <f ca="1">ROUND(((C6+C13+C17+C20+C22+C23)/0.8685*$B$26),2)</f>
        <v>190.08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240.59884679999999</v>
      </c>
    </row>
    <row r="27" spans="1:10" ht="15" customHeight="1" x14ac:dyDescent="0.2">
      <c r="A27" s="18" t="s">
        <v>6</v>
      </c>
      <c r="B27" s="16">
        <v>0.05</v>
      </c>
      <c r="C27" s="88">
        <f ca="1">ROUND(((C6+C13+C17+C20+C22+C23)/0.8685*$B$27),2)</f>
        <v>316.8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421.04798189999997</v>
      </c>
    </row>
    <row r="28" spans="1:10" ht="41.25" hidden="1" customHeight="1" x14ac:dyDescent="0.25">
      <c r="A28" s="219" t="s">
        <v>38</v>
      </c>
      <c r="B28" s="219">
        <v>0</v>
      </c>
      <c r="C28" s="17">
        <f ca="1">ROUND(((C6+C13+C17+C20+C22+C23)/0.8685*$B$28),2)</f>
        <v>0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39</v>
      </c>
      <c r="B29" s="226"/>
      <c r="C29" s="8">
        <f ca="1">ROUND((C22+C23+C24),2)</f>
        <v>1189.6300000000001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40</v>
      </c>
      <c r="B30" s="229"/>
      <c r="C30" s="11" t="s">
        <v>8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2</v>
      </c>
      <c r="B31" s="229"/>
      <c r="C31" s="11">
        <f ca="1">C6</f>
        <v>2021.44</v>
      </c>
    </row>
    <row r="32" spans="1:10" ht="15" customHeight="1" x14ac:dyDescent="0.25">
      <c r="A32" s="229" t="s">
        <v>3</v>
      </c>
      <c r="B32" s="229"/>
      <c r="C32" s="11">
        <f ca="1">C13</f>
        <v>1063.02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4</v>
      </c>
      <c r="B33" s="229"/>
      <c r="C33" s="11">
        <f>C17</f>
        <v>224.77999999999997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34</v>
      </c>
      <c r="B34" s="220"/>
      <c r="C34" s="17">
        <f ca="1">C20</f>
        <v>1552.06</v>
      </c>
      <c r="E34" s="162" t="s">
        <v>10</v>
      </c>
      <c r="F34" s="167" t="s">
        <v>11</v>
      </c>
      <c r="G34" s="172">
        <v>0.2</v>
      </c>
      <c r="H34" s="173">
        <f ca="1">G34*($H$19+$H$27)</f>
        <v>481.23739638000001</v>
      </c>
    </row>
    <row r="35" spans="1:8" ht="15" customHeight="1" x14ac:dyDescent="0.2">
      <c r="A35" s="229" t="s">
        <v>41</v>
      </c>
      <c r="B35" s="229"/>
      <c r="C35" s="11">
        <f ca="1">ROUND(SUM(C31:C34),2)</f>
        <v>4861.3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60.154674547500001</v>
      </c>
    </row>
    <row r="36" spans="1:8" ht="15" customHeight="1" x14ac:dyDescent="0.2">
      <c r="A36" s="219" t="s">
        <v>37</v>
      </c>
      <c r="B36" s="219"/>
      <c r="C36" s="17">
        <f ca="1">C29</f>
        <v>1189.6300000000001</v>
      </c>
      <c r="E36" s="162" t="s">
        <v>13</v>
      </c>
      <c r="F36" s="167" t="s">
        <v>292</v>
      </c>
      <c r="G36" s="172">
        <v>0.03</v>
      </c>
      <c r="H36" s="173">
        <f t="shared" ca="1" si="0"/>
        <v>72.185609456999998</v>
      </c>
    </row>
    <row r="37" spans="1:8" ht="15" customHeight="1" x14ac:dyDescent="0.2">
      <c r="A37" s="232" t="s">
        <v>42</v>
      </c>
      <c r="B37" s="232"/>
      <c r="C37" s="89">
        <f ca="1">ROUND(SUM(C35:C36),2)</f>
        <v>6050.93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36.092804728499999</v>
      </c>
    </row>
    <row r="38" spans="1:8" ht="15" customHeight="1" x14ac:dyDescent="0.2">
      <c r="A38" s="219" t="s">
        <v>43</v>
      </c>
      <c r="B38" s="219"/>
      <c r="C38" s="17">
        <v>2</v>
      </c>
      <c r="E38" s="162" t="s">
        <v>16</v>
      </c>
      <c r="F38" s="167" t="s">
        <v>294</v>
      </c>
      <c r="G38" s="172">
        <v>0.01</v>
      </c>
      <c r="H38" s="173">
        <f t="shared" ca="1" si="0"/>
        <v>24.061869818999998</v>
      </c>
    </row>
    <row r="39" spans="1:8" ht="15" customHeight="1" x14ac:dyDescent="0.2">
      <c r="A39" s="22" t="s">
        <v>46</v>
      </c>
      <c r="B39" s="23"/>
      <c r="C39" s="90">
        <f ca="1">ROUND((C37*C38),2)</f>
        <v>12101.86</v>
      </c>
      <c r="E39" s="162" t="s">
        <v>17</v>
      </c>
      <c r="F39" s="167" t="s">
        <v>21</v>
      </c>
      <c r="G39" s="172">
        <v>6.0000000000000001E-3</v>
      </c>
      <c r="H39" s="173">
        <f t="shared" ca="1" si="0"/>
        <v>14.4371218914</v>
      </c>
    </row>
    <row r="40" spans="1:8" s="4" customFormat="1" ht="15" customHeight="1" x14ac:dyDescent="0.2">
      <c r="A40" s="234"/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4.8123739637999998</v>
      </c>
    </row>
    <row r="41" spans="1:8" ht="16.5" customHeight="1" x14ac:dyDescent="0.2">
      <c r="A41" s="233" t="s">
        <v>85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192.49495855199999</v>
      </c>
    </row>
    <row r="42" spans="1:8" ht="15" customHeight="1" x14ac:dyDescent="0.2">
      <c r="A42" s="233" t="s">
        <v>82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885.47680933919992</v>
      </c>
    </row>
    <row r="43" spans="1:8" ht="15" hidden="1" customHeight="1" x14ac:dyDescent="0.25">
      <c r="A43" s="233" t="s">
        <v>76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77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84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83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 t="s">
        <v>86</v>
      </c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317.57820000000004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1260.5781999999999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421.04798189999997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885.47680933919992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1260.5781999999999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2567.1029912391996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10.105985323979999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0.72185609456999988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2.4061869818999999E-3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46.680027448859995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17.178250101180481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0.24061869819000001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83.975925668309998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158.90506952207238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18.287021062439997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19.730733251580002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0.48123739638000002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0.72185609456999988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6.9779422475099988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39.94270389954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86.141493952019999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86.141493952019999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86.141493952019999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UNIFORMES'!E31</f>
        <v>44.166666666666664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f>'TABELA 2 - EPIS'!E28</f>
        <v>180.61333333333332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224.77999999999997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301.3241132827975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340.9984548650325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535.7789307025555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1178.1014988503855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1985.1389999999999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2567.1029912391996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158.90506952207238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86.141493952019999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224.77999999999997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5022.0685547132916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1178.1014988503855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6200.1700535636774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F136:G136"/>
    <mergeCell ref="E137:G137"/>
    <mergeCell ref="E140:H140"/>
    <mergeCell ref="A4:B4"/>
    <mergeCell ref="A5:B5"/>
    <mergeCell ref="G9:H9"/>
    <mergeCell ref="A12:B12"/>
    <mergeCell ref="A16:B16"/>
    <mergeCell ref="A17:B18"/>
    <mergeCell ref="A19:B19"/>
    <mergeCell ref="A28:B28"/>
    <mergeCell ref="A40:C40"/>
    <mergeCell ref="F131:G131"/>
    <mergeCell ref="F132:G132"/>
    <mergeCell ref="F133:G133"/>
    <mergeCell ref="F134:G134"/>
    <mergeCell ref="E135:G135"/>
    <mergeCell ref="E125:H125"/>
    <mergeCell ref="E126:H126"/>
    <mergeCell ref="E128:H128"/>
    <mergeCell ref="E129:G129"/>
    <mergeCell ref="F130:G130"/>
    <mergeCell ref="E112:H112"/>
    <mergeCell ref="E114:H114"/>
    <mergeCell ref="E115:F115"/>
    <mergeCell ref="G115:H115"/>
    <mergeCell ref="E124:F124"/>
    <mergeCell ref="F107:G107"/>
    <mergeCell ref="F108:G108"/>
    <mergeCell ref="F109:G109"/>
    <mergeCell ref="F110:G110"/>
    <mergeCell ref="E111:G111"/>
    <mergeCell ref="F100:G100"/>
    <mergeCell ref="F101:G101"/>
    <mergeCell ref="E103:G103"/>
    <mergeCell ref="E105:H105"/>
    <mergeCell ref="F106:G106"/>
    <mergeCell ref="E91:F91"/>
    <mergeCell ref="E92:H92"/>
    <mergeCell ref="E94:H94"/>
    <mergeCell ref="E97:F97"/>
    <mergeCell ref="E99:H99"/>
    <mergeCell ref="E77:H77"/>
    <mergeCell ref="E78:H78"/>
    <mergeCell ref="E80:H80"/>
    <mergeCell ref="E81:H81"/>
    <mergeCell ref="E83:H83"/>
    <mergeCell ref="F63:G63"/>
    <mergeCell ref="F64:G64"/>
    <mergeCell ref="E65:G65"/>
    <mergeCell ref="E67:H67"/>
    <mergeCell ref="E76:F76"/>
    <mergeCell ref="E57:H57"/>
    <mergeCell ref="E58:H58"/>
    <mergeCell ref="E60:H60"/>
    <mergeCell ref="F61:G61"/>
    <mergeCell ref="F62:G62"/>
    <mergeCell ref="E45:H45"/>
    <mergeCell ref="E46:H46"/>
    <mergeCell ref="E47:H47"/>
    <mergeCell ref="E49:H49"/>
    <mergeCell ref="E56:G56"/>
    <mergeCell ref="E30:H30"/>
    <mergeCell ref="E32:H32"/>
    <mergeCell ref="E42:F42"/>
    <mergeCell ref="E43:H43"/>
    <mergeCell ref="E44:H44"/>
    <mergeCell ref="E11:H11"/>
    <mergeCell ref="F12:G12"/>
    <mergeCell ref="F13:G13"/>
    <mergeCell ref="F14:G14"/>
    <mergeCell ref="F15:G15"/>
    <mergeCell ref="A35:B35"/>
    <mergeCell ref="A36:B36"/>
    <mergeCell ref="A37:B37"/>
    <mergeCell ref="A38:B38"/>
    <mergeCell ref="E22:H22"/>
    <mergeCell ref="E23:H23"/>
    <mergeCell ref="E27:F27"/>
    <mergeCell ref="E28:H28"/>
    <mergeCell ref="E29:H29"/>
    <mergeCell ref="F16:G16"/>
    <mergeCell ref="F17:G17"/>
    <mergeCell ref="F18:G18"/>
    <mergeCell ref="E19:G19"/>
    <mergeCell ref="E20:H20"/>
    <mergeCell ref="A41:C41"/>
    <mergeCell ref="A42:C42"/>
    <mergeCell ref="A43:C43"/>
    <mergeCell ref="A44:C44"/>
    <mergeCell ref="A45:C45"/>
    <mergeCell ref="A46:C46"/>
    <mergeCell ref="A34:B34"/>
    <mergeCell ref="A13:B13"/>
    <mergeCell ref="A20:B20"/>
    <mergeCell ref="A29:B29"/>
    <mergeCell ref="A30:B30"/>
    <mergeCell ref="A31:B31"/>
    <mergeCell ref="A32:B32"/>
    <mergeCell ref="A33:B33"/>
    <mergeCell ref="G7:H7"/>
    <mergeCell ref="G8:H8"/>
    <mergeCell ref="A1:C1"/>
    <mergeCell ref="A2:B2"/>
    <mergeCell ref="A3:B3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5" max="16383" man="1"/>
    <brk id="10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8"/>
  <sheetViews>
    <sheetView showGridLines="0" topLeftCell="D1" zoomScaleNormal="100" workbookViewId="0">
      <selection activeCell="E27" sqref="E27:H27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154</v>
      </c>
      <c r="B1" s="222"/>
      <c r="C1" s="223"/>
      <c r="E1" s="241" t="s">
        <v>393</v>
      </c>
      <c r="F1" s="241"/>
      <c r="G1" s="241"/>
      <c r="H1" s="241"/>
    </row>
    <row r="2" spans="1:10" ht="12.75" customHeight="1" x14ac:dyDescent="0.2">
      <c r="A2" s="224" t="s">
        <v>95</v>
      </c>
      <c r="B2" s="225"/>
      <c r="C2" s="5" t="s">
        <v>138</v>
      </c>
      <c r="I2" s="20"/>
      <c r="J2" s="20"/>
    </row>
    <row r="3" spans="1:10" ht="15" customHeight="1" x14ac:dyDescent="0.25">
      <c r="A3" s="108" t="s">
        <v>96</v>
      </c>
      <c r="B3" s="10"/>
      <c r="C3" s="88">
        <v>10.63</v>
      </c>
      <c r="E3" s="239" t="s">
        <v>2</v>
      </c>
      <c r="F3" s="239"/>
      <c r="G3" s="239"/>
      <c r="H3" s="239"/>
    </row>
    <row r="4" spans="1:10" ht="30" customHeight="1" x14ac:dyDescent="0.25">
      <c r="A4" s="230" t="s">
        <v>36</v>
      </c>
      <c r="B4" s="231"/>
      <c r="C4" s="12" t="e">
        <f>ROUND((#REF!*#REF!),2)</f>
        <v>#REF!</v>
      </c>
      <c r="E4" s="246" t="s">
        <v>277</v>
      </c>
      <c r="F4" s="246"/>
      <c r="G4" s="246"/>
      <c r="H4" s="246"/>
    </row>
    <row r="5" spans="1:10" ht="15" customHeight="1" x14ac:dyDescent="0.2">
      <c r="A5" s="14" t="s">
        <v>37</v>
      </c>
      <c r="B5" s="15"/>
      <c r="C5" s="91" t="s">
        <v>8</v>
      </c>
    </row>
    <row r="6" spans="1:10" ht="15" customHeight="1" x14ac:dyDescent="0.25">
      <c r="A6" s="14" t="s">
        <v>0</v>
      </c>
      <c r="B6" s="15">
        <v>0.06</v>
      </c>
      <c r="C6" s="87" t="e">
        <f>ROUND(((#REF!+#REF!+#REF!+C4)*$B$6),2)</f>
        <v>#REF!</v>
      </c>
      <c r="E6" s="239" t="s">
        <v>278</v>
      </c>
      <c r="F6" s="239"/>
      <c r="G6" s="239"/>
      <c r="H6" s="239"/>
    </row>
    <row r="7" spans="1:10" ht="41.25" customHeight="1" x14ac:dyDescent="0.25">
      <c r="A7" s="219" t="s">
        <v>38</v>
      </c>
      <c r="B7" s="219">
        <v>0</v>
      </c>
      <c r="C7" s="17" t="e">
        <f>ROUND(((#REF!+#REF!+#REF!+C4+C6+#REF!)/0.8685*$B$7),2)</f>
        <v>#REF!</v>
      </c>
      <c r="D7" s="19"/>
      <c r="E7" s="251" t="s">
        <v>285</v>
      </c>
      <c r="F7" s="251"/>
      <c r="G7" s="251"/>
      <c r="H7" s="251"/>
    </row>
    <row r="8" spans="1:10" ht="12.75" customHeight="1" x14ac:dyDescent="0.25">
      <c r="A8" s="226" t="s">
        <v>39</v>
      </c>
      <c r="B8" s="226"/>
      <c r="C8" s="8" t="e">
        <f>ROUND((C6+#REF!+#REF!),2)</f>
        <v>#REF!</v>
      </c>
      <c r="D8" s="6"/>
      <c r="E8" s="251" t="s">
        <v>286</v>
      </c>
      <c r="F8" s="251"/>
      <c r="G8" s="251"/>
      <c r="H8" s="251"/>
      <c r="I8" s="6"/>
      <c r="J8" s="6"/>
    </row>
    <row r="9" spans="1:10" ht="15" customHeight="1" x14ac:dyDescent="0.25">
      <c r="A9" s="229" t="s">
        <v>40</v>
      </c>
      <c r="B9" s="229"/>
      <c r="C9" s="11" t="s">
        <v>8</v>
      </c>
      <c r="E9" s="251" t="s">
        <v>287</v>
      </c>
      <c r="F9" s="251"/>
      <c r="G9" s="251"/>
      <c r="H9" s="251"/>
    </row>
    <row r="10" spans="1:10" ht="15" customHeight="1" x14ac:dyDescent="0.2">
      <c r="A10" s="229" t="s">
        <v>2</v>
      </c>
      <c r="B10" s="229"/>
      <c r="C10" s="11" t="e">
        <f>#REF!</f>
        <v>#REF!</v>
      </c>
    </row>
    <row r="11" spans="1:10" ht="15" customHeight="1" x14ac:dyDescent="0.25">
      <c r="A11" s="229" t="s">
        <v>3</v>
      </c>
      <c r="B11" s="229"/>
      <c r="C11" s="11" t="e">
        <f>#REF!</f>
        <v>#REF!</v>
      </c>
      <c r="E11" s="252" t="s">
        <v>288</v>
      </c>
      <c r="F11" s="252"/>
      <c r="G11" s="252"/>
      <c r="H11" s="252"/>
    </row>
    <row r="12" spans="1:10" ht="15" customHeight="1" x14ac:dyDescent="0.25">
      <c r="A12" s="233" t="s">
        <v>76</v>
      </c>
      <c r="B12" s="233"/>
      <c r="C12" s="233"/>
      <c r="E12" s="251" t="s">
        <v>295</v>
      </c>
      <c r="F12" s="251"/>
      <c r="G12" s="251"/>
      <c r="H12" s="251"/>
    </row>
    <row r="13" spans="1:10" ht="15" customHeight="1" x14ac:dyDescent="0.25">
      <c r="A13" s="233" t="s">
        <v>77</v>
      </c>
      <c r="B13" s="233"/>
      <c r="C13" s="233"/>
      <c r="E13" s="251" t="s">
        <v>296</v>
      </c>
      <c r="F13" s="251"/>
      <c r="G13" s="251"/>
      <c r="H13" s="251"/>
    </row>
    <row r="14" spans="1:10" ht="30" customHeight="1" x14ac:dyDescent="0.25">
      <c r="A14" s="233" t="s">
        <v>84</v>
      </c>
      <c r="B14" s="233"/>
      <c r="C14" s="233"/>
      <c r="E14" s="251" t="s">
        <v>297</v>
      </c>
      <c r="F14" s="251"/>
      <c r="G14" s="251"/>
      <c r="H14" s="251"/>
    </row>
    <row r="15" spans="1:10" s="4" customFormat="1" ht="15" customHeight="1" x14ac:dyDescent="0.25">
      <c r="A15" s="233" t="s">
        <v>83</v>
      </c>
      <c r="B15" s="233"/>
      <c r="C15" s="233"/>
      <c r="E15" s="251" t="s">
        <v>298</v>
      </c>
      <c r="F15" s="251"/>
      <c r="G15" s="251"/>
      <c r="H15" s="251"/>
    </row>
    <row r="16" spans="1:10" ht="15" customHeight="1" x14ac:dyDescent="0.25">
      <c r="A16" s="6" t="s">
        <v>86</v>
      </c>
      <c r="B16" s="23"/>
      <c r="E16" s="251" t="s">
        <v>299</v>
      </c>
      <c r="F16" s="251"/>
      <c r="G16" s="251"/>
      <c r="H16" s="251"/>
    </row>
    <row r="17" spans="1:8" ht="15" customHeight="1" x14ac:dyDescent="0.2">
      <c r="A17" s="6"/>
      <c r="B17" s="23"/>
    </row>
    <row r="18" spans="1:8" ht="15" customHeight="1" x14ac:dyDescent="0.25">
      <c r="A18" s="22"/>
      <c r="B18" s="23"/>
      <c r="E18" s="252" t="s">
        <v>300</v>
      </c>
      <c r="F18" s="252"/>
      <c r="G18" s="252"/>
      <c r="H18" s="252"/>
    </row>
    <row r="19" spans="1:8" ht="15" customHeight="1" x14ac:dyDescent="0.25">
      <c r="A19" s="6"/>
      <c r="B19" s="23"/>
      <c r="E19" s="251" t="s">
        <v>308</v>
      </c>
      <c r="F19" s="251"/>
      <c r="G19" s="251"/>
      <c r="H19" s="251"/>
    </row>
    <row r="20" spans="1:8" ht="15" customHeight="1" x14ac:dyDescent="0.25">
      <c r="A20" s="22"/>
      <c r="B20" s="23"/>
      <c r="E20" s="251" t="s">
        <v>309</v>
      </c>
      <c r="F20" s="251"/>
      <c r="G20" s="251"/>
      <c r="H20" s="251"/>
    </row>
    <row r="21" spans="1:8" ht="15" customHeight="1" x14ac:dyDescent="0.2">
      <c r="A21" s="6"/>
      <c r="B21" s="23"/>
    </row>
    <row r="22" spans="1:8" ht="15" customHeight="1" x14ac:dyDescent="0.25">
      <c r="A22" s="6"/>
      <c r="B22" s="23"/>
      <c r="E22" s="239" t="s">
        <v>312</v>
      </c>
      <c r="F22" s="239"/>
      <c r="G22" s="239"/>
      <c r="H22" s="239"/>
    </row>
    <row r="23" spans="1:8" ht="15" customHeight="1" x14ac:dyDescent="0.25">
      <c r="A23" s="22"/>
      <c r="B23" s="23"/>
      <c r="E23" s="251" t="s">
        <v>320</v>
      </c>
      <c r="F23" s="251"/>
      <c r="G23" s="251"/>
      <c r="H23" s="251"/>
    </row>
    <row r="24" spans="1:8" ht="15" customHeight="1" x14ac:dyDescent="0.25">
      <c r="A24" s="6"/>
      <c r="B24" s="23"/>
      <c r="E24" s="251" t="s">
        <v>321</v>
      </c>
      <c r="F24" s="251"/>
      <c r="G24" s="251"/>
      <c r="H24" s="251"/>
    </row>
    <row r="25" spans="1:8" ht="15" customHeight="1" x14ac:dyDescent="0.2">
      <c r="A25" s="6"/>
      <c r="B25" s="23"/>
    </row>
    <row r="26" spans="1:8" ht="15" customHeight="1" x14ac:dyDescent="0.25">
      <c r="A26" s="6"/>
      <c r="B26" s="23"/>
      <c r="E26" s="239" t="s">
        <v>322</v>
      </c>
      <c r="F26" s="239"/>
      <c r="G26" s="239"/>
      <c r="H26" s="239"/>
    </row>
    <row r="27" spans="1:8" ht="15" customHeight="1" x14ac:dyDescent="0.25">
      <c r="A27" s="6"/>
      <c r="B27" s="23"/>
      <c r="E27" s="251" t="s">
        <v>323</v>
      </c>
      <c r="F27" s="251"/>
      <c r="G27" s="251"/>
      <c r="H27" s="251"/>
    </row>
    <row r="28" spans="1:8" ht="15" customHeight="1" x14ac:dyDescent="0.2">
      <c r="A28" s="6"/>
      <c r="B28" s="23"/>
    </row>
    <row r="29" spans="1:8" ht="15" customHeight="1" x14ac:dyDescent="0.25">
      <c r="A29" s="6"/>
      <c r="B29" s="23"/>
      <c r="E29" s="252" t="s">
        <v>324</v>
      </c>
      <c r="F29" s="252"/>
      <c r="G29" s="252"/>
      <c r="H29" s="252"/>
    </row>
    <row r="30" spans="1:8" ht="15" customHeight="1" x14ac:dyDescent="0.25">
      <c r="A30" s="6"/>
      <c r="B30" s="23"/>
      <c r="E30" s="251" t="s">
        <v>332</v>
      </c>
      <c r="F30" s="251"/>
      <c r="G30" s="251"/>
      <c r="H30" s="251"/>
    </row>
    <row r="31" spans="1:8" ht="15" customHeight="1" x14ac:dyDescent="0.2">
      <c r="A31" s="6"/>
      <c r="B31" s="23"/>
    </row>
    <row r="32" spans="1:8" ht="15" customHeight="1" x14ac:dyDescent="0.25">
      <c r="A32" s="22"/>
      <c r="B32" s="23"/>
      <c r="E32" s="239" t="s">
        <v>339</v>
      </c>
      <c r="F32" s="239"/>
      <c r="G32" s="239"/>
      <c r="H32" s="239"/>
    </row>
    <row r="33" spans="1:10" ht="15" customHeight="1" x14ac:dyDescent="0.25">
      <c r="A33" s="6"/>
      <c r="B33" s="23"/>
      <c r="E33" s="251" t="s">
        <v>343</v>
      </c>
      <c r="F33" s="251"/>
      <c r="G33" s="251"/>
      <c r="H33" s="251"/>
    </row>
    <row r="34" spans="1:10" ht="15" customHeight="1" x14ac:dyDescent="0.2">
      <c r="A34" s="6"/>
      <c r="B34" s="23"/>
    </row>
    <row r="35" spans="1:10" ht="15" customHeight="1" x14ac:dyDescent="0.25">
      <c r="A35" s="22"/>
      <c r="B35" s="23"/>
      <c r="E35" s="239" t="s">
        <v>344</v>
      </c>
      <c r="F35" s="239"/>
      <c r="G35" s="239"/>
      <c r="H35" s="239"/>
    </row>
    <row r="36" spans="1:10" ht="15" customHeight="1" x14ac:dyDescent="0.25">
      <c r="A36" s="6"/>
      <c r="B36" s="23"/>
      <c r="E36" s="251" t="s">
        <v>356</v>
      </c>
      <c r="F36" s="251"/>
      <c r="G36" s="251"/>
      <c r="H36" s="251"/>
    </row>
    <row r="37" spans="1:10" ht="15" customHeight="1" x14ac:dyDescent="0.25">
      <c r="A37" s="6"/>
      <c r="B37" s="23"/>
      <c r="E37" s="251" t="s">
        <v>357</v>
      </c>
      <c r="F37" s="251"/>
      <c r="G37" s="251"/>
      <c r="H37" s="251"/>
    </row>
    <row r="38" spans="1:10" ht="15" customHeight="1" x14ac:dyDescent="0.2">
      <c r="A38" s="6"/>
      <c r="B38" s="23"/>
    </row>
    <row r="39" spans="1:10" ht="15" customHeight="1" x14ac:dyDescent="0.2">
      <c r="A39" s="6"/>
      <c r="B39" s="23"/>
    </row>
    <row r="40" spans="1:10" ht="15" customHeight="1" x14ac:dyDescent="0.2">
      <c r="A40" s="6"/>
      <c r="B40" s="23"/>
    </row>
    <row r="41" spans="1:10" ht="15" customHeight="1" x14ac:dyDescent="0.2">
      <c r="A41" s="6"/>
      <c r="B41" s="23"/>
    </row>
    <row r="42" spans="1:10" ht="15" customHeight="1" x14ac:dyDescent="0.2">
      <c r="A42" s="6"/>
      <c r="B42" s="23"/>
    </row>
    <row r="43" spans="1:10" s="90" customFormat="1" ht="15" customHeight="1" x14ac:dyDescent="0.2">
      <c r="A43" s="6"/>
      <c r="B43" s="23"/>
      <c r="D43" s="7"/>
      <c r="E43" s="154"/>
      <c r="F43" s="155"/>
      <c r="G43" s="155"/>
      <c r="H43" s="154"/>
      <c r="I43" s="7"/>
      <c r="J43" s="7"/>
    </row>
    <row r="44" spans="1:10" s="90" customFormat="1" ht="15" customHeight="1" x14ac:dyDescent="0.2">
      <c r="A44" s="6"/>
      <c r="B44" s="23"/>
      <c r="D44" s="7"/>
      <c r="E44" s="154"/>
      <c r="F44" s="155"/>
      <c r="G44" s="155"/>
      <c r="H44" s="154"/>
      <c r="I44" s="7"/>
      <c r="J44" s="7"/>
    </row>
    <row r="45" spans="1:10" s="90" customFormat="1" ht="15" customHeight="1" x14ac:dyDescent="0.2">
      <c r="A45" s="6"/>
      <c r="B45" s="23"/>
      <c r="D45" s="7"/>
      <c r="E45" s="154"/>
      <c r="F45" s="155"/>
      <c r="G45" s="155"/>
      <c r="H45" s="154"/>
      <c r="I45" s="7"/>
      <c r="J45" s="7"/>
    </row>
    <row r="46" spans="1:10" s="90" customFormat="1" ht="15" customHeight="1" x14ac:dyDescent="0.2">
      <c r="A46" s="6"/>
      <c r="B46" s="23"/>
      <c r="D46" s="7"/>
      <c r="E46" s="154"/>
      <c r="F46" s="155"/>
      <c r="G46" s="155"/>
      <c r="H46" s="154"/>
      <c r="I46" s="7"/>
      <c r="J46" s="7"/>
    </row>
    <row r="47" spans="1:10" s="90" customFormat="1" ht="15" customHeight="1" x14ac:dyDescent="0.2">
      <c r="A47" s="6"/>
      <c r="B47" s="23"/>
      <c r="D47" s="7"/>
      <c r="E47" s="154"/>
      <c r="F47" s="155"/>
      <c r="G47" s="155"/>
      <c r="H47" s="154"/>
      <c r="I47" s="7"/>
      <c r="J47" s="7"/>
    </row>
    <row r="48" spans="1:10" s="90" customFormat="1" ht="15" customHeight="1" x14ac:dyDescent="0.2">
      <c r="A48" s="6"/>
      <c r="B48" s="23"/>
      <c r="D48" s="7"/>
      <c r="E48" s="154"/>
      <c r="F48" s="155"/>
      <c r="G48" s="155"/>
      <c r="H48" s="154"/>
      <c r="I48" s="7"/>
      <c r="J48" s="7"/>
    </row>
  </sheetData>
  <mergeCells count="40">
    <mergeCell ref="E35:H35"/>
    <mergeCell ref="E36:H36"/>
    <mergeCell ref="E37:H37"/>
    <mergeCell ref="E33:H33"/>
    <mergeCell ref="E32:H32"/>
    <mergeCell ref="E27:H27"/>
    <mergeCell ref="E29:H29"/>
    <mergeCell ref="E30:H30"/>
    <mergeCell ref="E22:H22"/>
    <mergeCell ref="E23:H23"/>
    <mergeCell ref="E24:H24"/>
    <mergeCell ref="E26:H26"/>
    <mergeCell ref="E20:H20"/>
    <mergeCell ref="A15:C15"/>
    <mergeCell ref="E15:H15"/>
    <mergeCell ref="E16:H16"/>
    <mergeCell ref="E18:H18"/>
    <mergeCell ref="E19:H19"/>
    <mergeCell ref="A12:C12"/>
    <mergeCell ref="E12:H12"/>
    <mergeCell ref="A13:C13"/>
    <mergeCell ref="E13:H13"/>
    <mergeCell ref="A14:C14"/>
    <mergeCell ref="E14:H14"/>
    <mergeCell ref="A10:B10"/>
    <mergeCell ref="A11:B11"/>
    <mergeCell ref="E11:H11"/>
    <mergeCell ref="A7:B7"/>
    <mergeCell ref="E7:H7"/>
    <mergeCell ref="A8:B8"/>
    <mergeCell ref="E8:H8"/>
    <mergeCell ref="A9:B9"/>
    <mergeCell ref="E9:H9"/>
    <mergeCell ref="A4:B4"/>
    <mergeCell ref="E4:H4"/>
    <mergeCell ref="E6:H6"/>
    <mergeCell ref="E3:H3"/>
    <mergeCell ref="A1:C1"/>
    <mergeCell ref="E1:H1"/>
    <mergeCell ref="A2:B2"/>
  </mergeCell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1" manualBreakCount="1">
    <brk id="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7" zoomScale="80" zoomScaleNormal="80" workbookViewId="0">
      <selection activeCell="P20" sqref="P20"/>
    </sheetView>
  </sheetViews>
  <sheetFormatPr defaultRowHeight="15" x14ac:dyDescent="0.25"/>
  <cols>
    <col min="1" max="1" width="21.7109375" customWidth="1"/>
    <col min="2" max="2" width="15" customWidth="1"/>
    <col min="3" max="3" width="13.85546875" bestFit="1" customWidth="1"/>
    <col min="4" max="4" width="17.140625" customWidth="1"/>
    <col min="5" max="5" width="16" customWidth="1"/>
    <col min="6" max="6" width="25.140625" customWidth="1"/>
    <col min="7" max="7" width="81.7109375" customWidth="1"/>
    <col min="8" max="8" width="14.5703125" bestFit="1" customWidth="1"/>
  </cols>
  <sheetData>
    <row r="1" spans="1:8" ht="50.1" customHeight="1" x14ac:dyDescent="0.25">
      <c r="A1" s="266" t="s">
        <v>218</v>
      </c>
      <c r="B1" s="267"/>
      <c r="C1" s="267"/>
      <c r="D1" s="267"/>
      <c r="E1" s="267"/>
      <c r="F1" t="s">
        <v>254</v>
      </c>
      <c r="G1" t="s">
        <v>255</v>
      </c>
      <c r="H1" s="191" t="s">
        <v>380</v>
      </c>
    </row>
    <row r="2" spans="1:8" ht="39.75" customHeight="1" x14ac:dyDescent="0.25">
      <c r="A2" s="137" t="s">
        <v>390</v>
      </c>
      <c r="B2" s="137" t="s">
        <v>220</v>
      </c>
      <c r="C2" s="137" t="s">
        <v>221</v>
      </c>
      <c r="D2" s="138" t="s">
        <v>250</v>
      </c>
      <c r="E2" s="138" t="s">
        <v>251</v>
      </c>
      <c r="F2" s="138"/>
      <c r="G2" s="193">
        <v>3</v>
      </c>
      <c r="H2" s="192"/>
    </row>
    <row r="3" spans="1:8" ht="24.95" customHeight="1" x14ac:dyDescent="0.25">
      <c r="A3" s="139" t="s">
        <v>222</v>
      </c>
      <c r="B3" s="140">
        <v>3289.5</v>
      </c>
      <c r="C3" s="140">
        <v>3289.5</v>
      </c>
      <c r="D3" s="141">
        <f>B3-C3</f>
        <v>0</v>
      </c>
      <c r="E3" s="141">
        <f t="shared" ref="E3:E11" ca="1" si="0">INDIRECT(ADDRESS(ROW(),5+$G$2))</f>
        <v>3714.11</v>
      </c>
      <c r="F3" s="141">
        <v>3652.28</v>
      </c>
      <c r="G3" s="141">
        <v>3289.5</v>
      </c>
      <c r="H3" s="141">
        <v>3714.11</v>
      </c>
    </row>
    <row r="4" spans="1:8" ht="24.95" customHeight="1" x14ac:dyDescent="0.25">
      <c r="A4" s="139" t="s">
        <v>169</v>
      </c>
      <c r="B4" s="140">
        <v>3380.99</v>
      </c>
      <c r="C4" s="140">
        <v>1901.53</v>
      </c>
      <c r="D4" s="141">
        <f t="shared" ref="D4:D10" si="1">B4-C4</f>
        <v>1479.4599999999998</v>
      </c>
      <c r="E4" s="141">
        <f t="shared" ca="1" si="0"/>
        <v>2492.25</v>
      </c>
      <c r="F4" s="141">
        <f t="shared" ref="F4:F10" si="2">B4</f>
        <v>3380.99</v>
      </c>
      <c r="G4" s="141">
        <f>(1+(1-B4/G3))*G3</f>
        <v>3198.0100000000007</v>
      </c>
      <c r="H4" s="141">
        <v>2492.25</v>
      </c>
    </row>
    <row r="5" spans="1:8" ht="24.95" customHeight="1" x14ac:dyDescent="0.25">
      <c r="A5" s="139" t="s">
        <v>170</v>
      </c>
      <c r="B5" s="140">
        <v>2414.75</v>
      </c>
      <c r="C5" s="140">
        <v>1287.96</v>
      </c>
      <c r="D5" s="141">
        <f t="shared" si="1"/>
        <v>1126.79</v>
      </c>
      <c r="E5" s="141">
        <f t="shared" ca="1" si="0"/>
        <v>1739.15</v>
      </c>
      <c r="F5" s="141">
        <f t="shared" si="2"/>
        <v>2414.75</v>
      </c>
      <c r="G5" s="141">
        <f t="shared" ref="G5:G10" si="3">B5</f>
        <v>2414.75</v>
      </c>
      <c r="H5" s="141">
        <v>1739.15</v>
      </c>
    </row>
    <row r="6" spans="1:8" ht="24.95" customHeight="1" x14ac:dyDescent="0.25">
      <c r="A6" s="139" t="s">
        <v>166</v>
      </c>
      <c r="B6" s="140">
        <v>1287.96</v>
      </c>
      <c r="C6" s="140">
        <v>1287.96</v>
      </c>
      <c r="D6" s="141">
        <f t="shared" si="1"/>
        <v>0</v>
      </c>
      <c r="E6" s="141">
        <f t="shared" ca="1" si="0"/>
        <v>1287.96</v>
      </c>
      <c r="F6" s="141">
        <f t="shared" si="2"/>
        <v>1287.96</v>
      </c>
      <c r="G6" s="141">
        <f t="shared" si="3"/>
        <v>1287.96</v>
      </c>
      <c r="H6" s="141">
        <v>1287.96</v>
      </c>
    </row>
    <row r="7" spans="1:8" ht="24.95" customHeight="1" x14ac:dyDescent="0.25">
      <c r="A7" s="139" t="s">
        <v>223</v>
      </c>
      <c r="B7" s="140">
        <v>1734.56</v>
      </c>
      <c r="C7" s="140">
        <v>1287.96</v>
      </c>
      <c r="D7" s="141">
        <f t="shared" si="1"/>
        <v>446.59999999999991</v>
      </c>
      <c r="E7" s="141">
        <f t="shared" ca="1" si="0"/>
        <v>1287.96</v>
      </c>
      <c r="F7" s="141">
        <f t="shared" si="2"/>
        <v>1734.56</v>
      </c>
      <c r="G7" s="141">
        <f t="shared" si="3"/>
        <v>1734.56</v>
      </c>
      <c r="H7" s="141">
        <v>1287.96</v>
      </c>
    </row>
    <row r="8" spans="1:8" ht="24.95" customHeight="1" x14ac:dyDescent="0.25">
      <c r="A8" s="139" t="s">
        <v>167</v>
      </c>
      <c r="B8" s="140">
        <v>1734.56</v>
      </c>
      <c r="C8" s="140">
        <v>1287.96</v>
      </c>
      <c r="D8" s="141">
        <f t="shared" si="1"/>
        <v>446.59999999999991</v>
      </c>
      <c r="E8" s="141">
        <f t="shared" ca="1" si="0"/>
        <v>1287.96</v>
      </c>
      <c r="F8" s="141">
        <f t="shared" si="2"/>
        <v>1734.56</v>
      </c>
      <c r="G8" s="141">
        <f t="shared" si="3"/>
        <v>1734.56</v>
      </c>
      <c r="H8" s="141">
        <v>1287.96</v>
      </c>
    </row>
    <row r="9" spans="1:8" ht="24.95" customHeight="1" x14ac:dyDescent="0.25">
      <c r="A9" s="139" t="s">
        <v>172</v>
      </c>
      <c r="B9" s="140">
        <v>1648</v>
      </c>
      <c r="C9" s="140">
        <v>1985.14</v>
      </c>
      <c r="D9" s="141">
        <f t="shared" si="1"/>
        <v>-337.1400000000001</v>
      </c>
      <c r="E9" s="141">
        <f t="shared" ca="1" si="0"/>
        <v>1527.03</v>
      </c>
      <c r="F9" s="141">
        <f t="shared" si="2"/>
        <v>1648</v>
      </c>
      <c r="G9" s="141">
        <f t="shared" si="3"/>
        <v>1648</v>
      </c>
      <c r="H9" s="141">
        <v>1527.03</v>
      </c>
    </row>
    <row r="10" spans="1:8" ht="24.95" customHeight="1" x14ac:dyDescent="0.25">
      <c r="A10" s="139" t="s">
        <v>171</v>
      </c>
      <c r="B10" s="140">
        <v>2707.84</v>
      </c>
      <c r="C10" s="140">
        <v>1901.53</v>
      </c>
      <c r="D10" s="141">
        <f t="shared" si="1"/>
        <v>806.31000000000017</v>
      </c>
      <c r="E10" s="141">
        <f t="shared" ca="1" si="0"/>
        <v>2473.75</v>
      </c>
      <c r="F10" s="141">
        <f t="shared" si="2"/>
        <v>2707.84</v>
      </c>
      <c r="G10" s="141">
        <f t="shared" si="3"/>
        <v>2707.84</v>
      </c>
      <c r="H10" s="141">
        <v>2473.75</v>
      </c>
    </row>
    <row r="11" spans="1:8" ht="24.95" customHeight="1" x14ac:dyDescent="0.25">
      <c r="A11" s="139" t="s">
        <v>252</v>
      </c>
      <c r="B11" s="140"/>
      <c r="C11" s="140">
        <v>3317.54</v>
      </c>
      <c r="D11" s="141"/>
      <c r="E11" s="141">
        <f t="shared" ca="1" si="0"/>
        <v>3480.03</v>
      </c>
      <c r="F11" s="141">
        <f>C11</f>
        <v>3317.54</v>
      </c>
      <c r="G11" s="141">
        <f>(1+(1-C11/G3))*G3</f>
        <v>3261.46</v>
      </c>
      <c r="H11" s="141">
        <v>3480.03</v>
      </c>
    </row>
    <row r="12" spans="1:8" ht="17.25" customHeight="1" x14ac:dyDescent="0.25"/>
    <row r="13" spans="1:8" ht="29.25" customHeight="1" x14ac:dyDescent="0.25">
      <c r="A13" s="265" t="s">
        <v>224</v>
      </c>
      <c r="B13" s="265"/>
      <c r="C13" s="265"/>
      <c r="D13" s="265"/>
      <c r="E13" s="265"/>
      <c r="F13" s="265"/>
      <c r="G13" s="265"/>
    </row>
    <row r="14" spans="1:8" ht="27" customHeight="1" x14ac:dyDescent="0.25">
      <c r="A14" s="142" t="s">
        <v>219</v>
      </c>
      <c r="B14" s="142" t="s">
        <v>225</v>
      </c>
      <c r="C14" s="143" t="s">
        <v>226</v>
      </c>
      <c r="D14" s="142" t="s">
        <v>227</v>
      </c>
      <c r="E14" s="142" t="s">
        <v>228</v>
      </c>
      <c r="F14" s="144" t="s">
        <v>229</v>
      </c>
      <c r="G14" s="143" t="s">
        <v>230</v>
      </c>
    </row>
    <row r="15" spans="1:8" ht="42.75" x14ac:dyDescent="0.25">
      <c r="A15" s="139" t="s">
        <v>256</v>
      </c>
      <c r="B15" s="140">
        <v>3652.28</v>
      </c>
      <c r="C15" s="145" t="s">
        <v>236</v>
      </c>
      <c r="D15" s="146" t="s">
        <v>237</v>
      </c>
      <c r="E15" s="147" t="s">
        <v>238</v>
      </c>
      <c r="F15" s="147" t="s">
        <v>234</v>
      </c>
      <c r="G15" s="147" t="s">
        <v>239</v>
      </c>
    </row>
    <row r="16" spans="1:8" ht="42.75" x14ac:dyDescent="0.25">
      <c r="A16" s="139" t="s">
        <v>169</v>
      </c>
      <c r="B16" s="140">
        <v>3380.99</v>
      </c>
      <c r="C16" s="146" t="s">
        <v>236</v>
      </c>
      <c r="D16" s="146" t="s">
        <v>237</v>
      </c>
      <c r="E16" s="147" t="s">
        <v>238</v>
      </c>
      <c r="F16" s="147" t="s">
        <v>234</v>
      </c>
      <c r="G16" s="147" t="s">
        <v>239</v>
      </c>
    </row>
    <row r="17" spans="1:7" ht="42.75" x14ac:dyDescent="0.25">
      <c r="A17" s="139" t="s">
        <v>170</v>
      </c>
      <c r="B17" s="140">
        <v>2414.75</v>
      </c>
      <c r="C17" s="146" t="s">
        <v>236</v>
      </c>
      <c r="D17" s="146" t="s">
        <v>237</v>
      </c>
      <c r="E17" s="147" t="s">
        <v>238</v>
      </c>
      <c r="F17" s="147" t="s">
        <v>234</v>
      </c>
      <c r="G17" s="147" t="s">
        <v>239</v>
      </c>
    </row>
    <row r="18" spans="1:7" ht="42.75" x14ac:dyDescent="0.25">
      <c r="A18" s="139" t="s">
        <v>166</v>
      </c>
      <c r="B18" s="140">
        <v>1287.96</v>
      </c>
      <c r="C18" s="145" t="s">
        <v>231</v>
      </c>
      <c r="D18" s="146" t="s">
        <v>232</v>
      </c>
      <c r="E18" s="147" t="s">
        <v>233</v>
      </c>
      <c r="F18" s="148" t="s">
        <v>234</v>
      </c>
      <c r="G18" s="148" t="s">
        <v>235</v>
      </c>
    </row>
    <row r="19" spans="1:7" ht="27.75" customHeight="1" x14ac:dyDescent="0.25">
      <c r="A19" s="139" t="s">
        <v>223</v>
      </c>
      <c r="B19" s="140">
        <v>1734.56</v>
      </c>
      <c r="C19" s="145" t="s">
        <v>240</v>
      </c>
      <c r="D19" s="146" t="s">
        <v>241</v>
      </c>
      <c r="E19" s="147" t="s">
        <v>242</v>
      </c>
      <c r="F19" s="147" t="s">
        <v>243</v>
      </c>
      <c r="G19" s="148" t="s">
        <v>244</v>
      </c>
    </row>
    <row r="20" spans="1:7" ht="42.75" x14ac:dyDescent="0.25">
      <c r="A20" s="139" t="s">
        <v>167</v>
      </c>
      <c r="B20" s="140">
        <v>1734.56</v>
      </c>
      <c r="C20" s="145" t="s">
        <v>240</v>
      </c>
      <c r="D20" s="146" t="s">
        <v>241</v>
      </c>
      <c r="E20" s="147" t="s">
        <v>242</v>
      </c>
      <c r="F20" s="147" t="s">
        <v>243</v>
      </c>
      <c r="G20" s="148" t="s">
        <v>244</v>
      </c>
    </row>
    <row r="21" spans="1:7" ht="42.75" x14ac:dyDescent="0.25">
      <c r="A21" s="149" t="s">
        <v>245</v>
      </c>
      <c r="B21" s="140">
        <v>2142.4499999999998</v>
      </c>
      <c r="C21" s="145" t="s">
        <v>231</v>
      </c>
      <c r="D21" s="146" t="s">
        <v>232</v>
      </c>
      <c r="E21" s="147" t="s">
        <v>233</v>
      </c>
      <c r="F21" s="148" t="s">
        <v>234</v>
      </c>
      <c r="G21" s="148" t="s">
        <v>235</v>
      </c>
    </row>
    <row r="22" spans="1:7" ht="28.5" x14ac:dyDescent="0.25">
      <c r="A22" s="150" t="s">
        <v>171</v>
      </c>
      <c r="B22" s="140">
        <v>2707.84</v>
      </c>
      <c r="C22" s="151" t="s">
        <v>246</v>
      </c>
      <c r="D22" s="152" t="s">
        <v>241</v>
      </c>
      <c r="E22" s="148" t="s">
        <v>247</v>
      </c>
      <c r="F22" s="147" t="s">
        <v>248</v>
      </c>
      <c r="G22" s="147" t="s">
        <v>249</v>
      </c>
    </row>
  </sheetData>
  <mergeCells count="2">
    <mergeCell ref="A13:G13"/>
    <mergeCell ref="A1:E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70" fitToWidth="0" fitToHeight="0" orientation="landscape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C4" zoomScale="140" zoomScaleNormal="140" workbookViewId="0">
      <selection activeCell="J17" sqref="J17"/>
    </sheetView>
  </sheetViews>
  <sheetFormatPr defaultRowHeight="12.75" x14ac:dyDescent="0.2"/>
  <cols>
    <col min="1" max="1" width="29.42578125" style="46" customWidth="1"/>
    <col min="2" max="2" width="9.85546875" style="46" customWidth="1"/>
    <col min="3" max="3" width="8.5703125" style="46" customWidth="1"/>
    <col min="4" max="4" width="14.140625" style="46" customWidth="1"/>
    <col min="5" max="5" width="11.5703125" style="46" customWidth="1"/>
    <col min="6" max="6" width="11" style="46" customWidth="1"/>
    <col min="7" max="7" width="10.28515625" style="46" bestFit="1" customWidth="1"/>
    <col min="8" max="8" width="10.140625" style="46" customWidth="1"/>
    <col min="9" max="10" width="13.140625" style="46" customWidth="1"/>
    <col min="11" max="11" width="15.140625" style="46" customWidth="1"/>
    <col min="12" max="12" width="15" style="46" customWidth="1"/>
    <col min="13" max="13" width="10.5703125" style="46" bestFit="1" customWidth="1"/>
    <col min="14" max="16384" width="9.140625" style="46"/>
  </cols>
  <sheetData>
    <row r="1" spans="1:12" ht="63" customHeight="1" x14ac:dyDescent="0.2">
      <c r="A1" s="280" t="s">
        <v>133</v>
      </c>
      <c r="B1" s="281"/>
      <c r="C1" s="281"/>
      <c r="D1" s="281"/>
      <c r="E1" s="282"/>
      <c r="F1" s="283" t="s">
        <v>127</v>
      </c>
      <c r="G1" s="284"/>
      <c r="H1" s="284"/>
      <c r="I1" s="284"/>
      <c r="J1" s="284"/>
      <c r="K1" s="284"/>
      <c r="L1" s="285"/>
    </row>
    <row r="2" spans="1:12" x14ac:dyDescent="0.2">
      <c r="A2" s="47"/>
      <c r="B2" s="47"/>
      <c r="C2" s="47"/>
      <c r="D2" s="47"/>
      <c r="E2" s="47"/>
      <c r="F2" s="47"/>
      <c r="G2" s="47"/>
      <c r="H2" s="32"/>
      <c r="I2" s="32"/>
      <c r="J2" s="32"/>
      <c r="K2" s="32"/>
      <c r="L2" s="32"/>
    </row>
    <row r="3" spans="1:12" x14ac:dyDescent="0.2">
      <c r="A3" s="287" t="s">
        <v>99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9"/>
    </row>
    <row r="4" spans="1:12" x14ac:dyDescent="0.2">
      <c r="A4" s="286" t="s">
        <v>100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</row>
    <row r="5" spans="1:12" ht="24" customHeight="1" x14ac:dyDescent="0.2">
      <c r="A5" s="268" t="s">
        <v>101</v>
      </c>
      <c r="B5" s="268" t="s">
        <v>102</v>
      </c>
      <c r="C5" s="268" t="s">
        <v>103</v>
      </c>
      <c r="D5" s="268" t="s">
        <v>104</v>
      </c>
      <c r="E5" s="268" t="s">
        <v>105</v>
      </c>
      <c r="F5" s="268" t="s">
        <v>106</v>
      </c>
      <c r="G5" s="69" t="s">
        <v>107</v>
      </c>
      <c r="H5" s="69" t="s">
        <v>108</v>
      </c>
      <c r="I5" s="268" t="s">
        <v>109</v>
      </c>
      <c r="J5" s="268" t="s">
        <v>110</v>
      </c>
      <c r="K5" s="268" t="s">
        <v>111</v>
      </c>
      <c r="L5" s="268" t="s">
        <v>112</v>
      </c>
    </row>
    <row r="6" spans="1:12" x14ac:dyDescent="0.2">
      <c r="A6" s="269"/>
      <c r="B6" s="269"/>
      <c r="C6" s="269"/>
      <c r="D6" s="269"/>
      <c r="E6" s="269"/>
      <c r="F6" s="269"/>
      <c r="G6" s="44" t="e">
        <f>#REF!</f>
        <v>#REF!</v>
      </c>
      <c r="H6" s="45" t="e">
        <f>#REF!</f>
        <v>#REF!</v>
      </c>
      <c r="I6" s="269"/>
      <c r="J6" s="269"/>
      <c r="K6" s="269"/>
      <c r="L6" s="269"/>
    </row>
    <row r="7" spans="1:12" ht="25.5" x14ac:dyDescent="0.2">
      <c r="A7" s="49" t="s">
        <v>64</v>
      </c>
      <c r="B7" s="50">
        <v>44</v>
      </c>
      <c r="C7" s="36">
        <v>4</v>
      </c>
      <c r="D7" s="51" t="e">
        <f>#REF!</f>
        <v>#REF!</v>
      </c>
      <c r="E7" s="51" t="e">
        <f>#REF!</f>
        <v>#REF!</v>
      </c>
      <c r="F7" s="51" t="e">
        <f>#REF!</f>
        <v>#REF!</v>
      </c>
      <c r="G7" s="52" t="e">
        <f>ROUND((D7*$G$6/100),2)</f>
        <v>#REF!</v>
      </c>
      <c r="H7" s="51" t="e">
        <f>TRUNC((SUM(D7:G7)*$H$6),2)</f>
        <v>#REF!</v>
      </c>
      <c r="I7" s="53" t="e">
        <f>SUM(D7:H7)</f>
        <v>#REF!</v>
      </c>
      <c r="J7" s="53" t="e">
        <f>I7*12</f>
        <v>#REF!</v>
      </c>
      <c r="K7" s="54" t="e">
        <f>I7*C7</f>
        <v>#REF!</v>
      </c>
      <c r="L7" s="54" t="e">
        <f>K7*12</f>
        <v>#REF!</v>
      </c>
    </row>
    <row r="8" spans="1:12" x14ac:dyDescent="0.2">
      <c r="A8" s="55" t="s">
        <v>61</v>
      </c>
      <c r="B8" s="50">
        <v>44</v>
      </c>
      <c r="C8" s="37">
        <v>1</v>
      </c>
      <c r="D8" s="51" t="e">
        <f>#REF!</f>
        <v>#REF!</v>
      </c>
      <c r="E8" s="51" t="e">
        <f>#REF!</f>
        <v>#REF!</v>
      </c>
      <c r="F8" s="51" t="e">
        <f>#REF!</f>
        <v>#REF!</v>
      </c>
      <c r="G8" s="52" t="e">
        <f t="shared" ref="G8:G20" si="0">ROUND((D8*$G$6/100),2)</f>
        <v>#REF!</v>
      </c>
      <c r="H8" s="51" t="e">
        <f t="shared" ref="H8:H20" si="1">TRUNC((SUM(D8:G8)*$H$6),2)</f>
        <v>#REF!</v>
      </c>
      <c r="I8" s="53" t="e">
        <f t="shared" ref="I8:I20" si="2">SUM(D8:H8)</f>
        <v>#REF!</v>
      </c>
      <c r="J8" s="53" t="e">
        <f t="shared" ref="J8:J20" si="3">I8*12</f>
        <v>#REF!</v>
      </c>
      <c r="K8" s="54" t="e">
        <f t="shared" ref="K8:K20" si="4">I8*C8</f>
        <v>#REF!</v>
      </c>
      <c r="L8" s="54" t="e">
        <f t="shared" ref="L8:L20" si="5">K8*12</f>
        <v>#REF!</v>
      </c>
    </row>
    <row r="9" spans="1:12" x14ac:dyDescent="0.2">
      <c r="A9" s="55" t="s">
        <v>63</v>
      </c>
      <c r="B9" s="50">
        <v>44</v>
      </c>
      <c r="C9" s="37">
        <v>2</v>
      </c>
      <c r="D9" s="51" t="e">
        <f>#REF!</f>
        <v>#REF!</v>
      </c>
      <c r="E9" s="51" t="e">
        <f>#REF!</f>
        <v>#REF!</v>
      </c>
      <c r="F9" s="51" t="e">
        <f>#REF!</f>
        <v>#REF!</v>
      </c>
      <c r="G9" s="52" t="e">
        <f t="shared" si="0"/>
        <v>#REF!</v>
      </c>
      <c r="H9" s="51" t="e">
        <f t="shared" si="1"/>
        <v>#REF!</v>
      </c>
      <c r="I9" s="53" t="e">
        <f t="shared" si="2"/>
        <v>#REF!</v>
      </c>
      <c r="J9" s="53" t="e">
        <f t="shared" si="3"/>
        <v>#REF!</v>
      </c>
      <c r="K9" s="54" t="e">
        <f t="shared" si="4"/>
        <v>#REF!</v>
      </c>
      <c r="L9" s="54" t="e">
        <f t="shared" si="5"/>
        <v>#REF!</v>
      </c>
    </row>
    <row r="10" spans="1:12" x14ac:dyDescent="0.2">
      <c r="A10" s="55" t="s">
        <v>47</v>
      </c>
      <c r="B10" s="50">
        <v>44</v>
      </c>
      <c r="C10" s="37">
        <v>1</v>
      </c>
      <c r="D10" s="51" t="e">
        <f>#REF!</f>
        <v>#REF!</v>
      </c>
      <c r="E10" s="51" t="e">
        <f>#REF!</f>
        <v>#REF!</v>
      </c>
      <c r="F10" s="51" t="e">
        <f>#REF!</f>
        <v>#REF!</v>
      </c>
      <c r="G10" s="52" t="e">
        <f t="shared" si="0"/>
        <v>#REF!</v>
      </c>
      <c r="H10" s="51" t="e">
        <f t="shared" si="1"/>
        <v>#REF!</v>
      </c>
      <c r="I10" s="53" t="e">
        <f t="shared" si="2"/>
        <v>#REF!</v>
      </c>
      <c r="J10" s="53" t="e">
        <f t="shared" si="3"/>
        <v>#REF!</v>
      </c>
      <c r="K10" s="54" t="e">
        <f t="shared" si="4"/>
        <v>#REF!</v>
      </c>
      <c r="L10" s="54" t="e">
        <f t="shared" si="5"/>
        <v>#REF!</v>
      </c>
    </row>
    <row r="11" spans="1:12" x14ac:dyDescent="0.2">
      <c r="A11" s="55" t="s">
        <v>62</v>
      </c>
      <c r="B11" s="50">
        <v>44</v>
      </c>
      <c r="C11" s="37">
        <v>1</v>
      </c>
      <c r="D11" s="51">
        <f>'[1]Anexo D-I-MÓDULOS 1, 2 e 3'!G9</f>
        <v>1985.5</v>
      </c>
      <c r="E11" s="51" t="e">
        <f>#REF!</f>
        <v>#REF!</v>
      </c>
      <c r="F11" s="51" t="e">
        <f>#REF!</f>
        <v>#REF!</v>
      </c>
      <c r="G11" s="52" t="e">
        <f t="shared" si="0"/>
        <v>#REF!</v>
      </c>
      <c r="H11" s="51" t="e">
        <f t="shared" si="1"/>
        <v>#REF!</v>
      </c>
      <c r="I11" s="53" t="e">
        <f t="shared" si="2"/>
        <v>#REF!</v>
      </c>
      <c r="J11" s="53" t="e">
        <f t="shared" si="3"/>
        <v>#REF!</v>
      </c>
      <c r="K11" s="54" t="e">
        <f t="shared" si="4"/>
        <v>#REF!</v>
      </c>
      <c r="L11" s="54" t="e">
        <f t="shared" si="5"/>
        <v>#REF!</v>
      </c>
    </row>
    <row r="12" spans="1:12" x14ac:dyDescent="0.2">
      <c r="A12" s="55" t="s">
        <v>48</v>
      </c>
      <c r="B12" s="50">
        <v>44</v>
      </c>
      <c r="C12" s="37">
        <v>2</v>
      </c>
      <c r="D12" s="51" t="e">
        <f>#REF!</f>
        <v>#REF!</v>
      </c>
      <c r="E12" s="51" t="e">
        <f>#REF!</f>
        <v>#REF!</v>
      </c>
      <c r="F12" s="51" t="e">
        <f>#REF!</f>
        <v>#REF!</v>
      </c>
      <c r="G12" s="52" t="e">
        <f t="shared" si="0"/>
        <v>#REF!</v>
      </c>
      <c r="H12" s="51" t="e">
        <f t="shared" si="1"/>
        <v>#REF!</v>
      </c>
      <c r="I12" s="53" t="e">
        <f t="shared" si="2"/>
        <v>#REF!</v>
      </c>
      <c r="J12" s="53" t="e">
        <f t="shared" si="3"/>
        <v>#REF!</v>
      </c>
      <c r="K12" s="54" t="e">
        <f t="shared" si="4"/>
        <v>#REF!</v>
      </c>
      <c r="L12" s="54" t="e">
        <f t="shared" si="5"/>
        <v>#REF!</v>
      </c>
    </row>
    <row r="13" spans="1:12" x14ac:dyDescent="0.2">
      <c r="A13" s="55" t="s">
        <v>49</v>
      </c>
      <c r="B13" s="50">
        <v>44</v>
      </c>
      <c r="C13" s="37">
        <v>2</v>
      </c>
      <c r="D13" s="51" t="e">
        <f>#REF!</f>
        <v>#REF!</v>
      </c>
      <c r="E13" s="51" t="e">
        <f>#REF!</f>
        <v>#REF!</v>
      </c>
      <c r="F13" s="51" t="e">
        <f>#REF!</f>
        <v>#REF!</v>
      </c>
      <c r="G13" s="52" t="e">
        <f t="shared" si="0"/>
        <v>#REF!</v>
      </c>
      <c r="H13" s="51" t="e">
        <f t="shared" si="1"/>
        <v>#REF!</v>
      </c>
      <c r="I13" s="53" t="e">
        <f t="shared" si="2"/>
        <v>#REF!</v>
      </c>
      <c r="J13" s="53" t="e">
        <f t="shared" si="3"/>
        <v>#REF!</v>
      </c>
      <c r="K13" s="54" t="e">
        <f t="shared" si="4"/>
        <v>#REF!</v>
      </c>
      <c r="L13" s="54" t="e">
        <f t="shared" si="5"/>
        <v>#REF!</v>
      </c>
    </row>
    <row r="14" spans="1:12" x14ac:dyDescent="0.2">
      <c r="A14" s="55" t="s">
        <v>50</v>
      </c>
      <c r="B14" s="50">
        <v>44</v>
      </c>
      <c r="C14" s="37">
        <v>1</v>
      </c>
      <c r="D14" s="51" t="e">
        <f>#REF!</f>
        <v>#REF!</v>
      </c>
      <c r="E14" s="51" t="e">
        <f>#REF!</f>
        <v>#REF!</v>
      </c>
      <c r="F14" s="51" t="e">
        <f>#REF!</f>
        <v>#REF!</v>
      </c>
      <c r="G14" s="52" t="e">
        <f t="shared" si="0"/>
        <v>#REF!</v>
      </c>
      <c r="H14" s="51" t="e">
        <f t="shared" si="1"/>
        <v>#REF!</v>
      </c>
      <c r="I14" s="53" t="e">
        <f t="shared" si="2"/>
        <v>#REF!</v>
      </c>
      <c r="J14" s="53" t="e">
        <f t="shared" si="3"/>
        <v>#REF!</v>
      </c>
      <c r="K14" s="54" t="e">
        <f t="shared" si="4"/>
        <v>#REF!</v>
      </c>
      <c r="L14" s="54" t="e">
        <f t="shared" si="5"/>
        <v>#REF!</v>
      </c>
    </row>
    <row r="15" spans="1:12" x14ac:dyDescent="0.2">
      <c r="A15" s="55" t="s">
        <v>51</v>
      </c>
      <c r="B15" s="50">
        <v>44</v>
      </c>
      <c r="C15" s="37">
        <v>2</v>
      </c>
      <c r="D15" s="51" t="e">
        <f>#REF!</f>
        <v>#REF!</v>
      </c>
      <c r="E15" s="51" t="e">
        <f>#REF!</f>
        <v>#REF!</v>
      </c>
      <c r="F15" s="51" t="e">
        <f>#REF!</f>
        <v>#REF!</v>
      </c>
      <c r="G15" s="52" t="e">
        <f t="shared" si="0"/>
        <v>#REF!</v>
      </c>
      <c r="H15" s="51" t="e">
        <f t="shared" si="1"/>
        <v>#REF!</v>
      </c>
      <c r="I15" s="53" t="e">
        <f t="shared" si="2"/>
        <v>#REF!</v>
      </c>
      <c r="J15" s="53" t="e">
        <f t="shared" si="3"/>
        <v>#REF!</v>
      </c>
      <c r="K15" s="54" t="e">
        <f t="shared" si="4"/>
        <v>#REF!</v>
      </c>
      <c r="L15" s="54" t="e">
        <f t="shared" si="5"/>
        <v>#REF!</v>
      </c>
    </row>
    <row r="16" spans="1:12" x14ac:dyDescent="0.2">
      <c r="A16" s="55" t="s">
        <v>78</v>
      </c>
      <c r="B16" s="50">
        <v>44</v>
      </c>
      <c r="C16" s="36">
        <v>2</v>
      </c>
      <c r="D16" s="51" t="e">
        <f>#REF!</f>
        <v>#REF!</v>
      </c>
      <c r="E16" s="51" t="e">
        <f>#REF!</f>
        <v>#REF!</v>
      </c>
      <c r="F16" s="51" t="e">
        <f>#REF!</f>
        <v>#REF!</v>
      </c>
      <c r="G16" s="52" t="e">
        <f t="shared" si="0"/>
        <v>#REF!</v>
      </c>
      <c r="H16" s="51" t="e">
        <f t="shared" si="1"/>
        <v>#REF!</v>
      </c>
      <c r="I16" s="53" t="e">
        <f t="shared" si="2"/>
        <v>#REF!</v>
      </c>
      <c r="J16" s="53" t="e">
        <f t="shared" si="3"/>
        <v>#REF!</v>
      </c>
      <c r="K16" s="54" t="e">
        <f t="shared" si="4"/>
        <v>#REF!</v>
      </c>
      <c r="L16" s="54" t="e">
        <f t="shared" si="5"/>
        <v>#REF!</v>
      </c>
    </row>
    <row r="17" spans="1:13" x14ac:dyDescent="0.2">
      <c r="A17" s="55" t="s">
        <v>52</v>
      </c>
      <c r="B17" s="50">
        <v>44</v>
      </c>
      <c r="C17" s="37">
        <v>1</v>
      </c>
      <c r="D17" s="51" t="e">
        <f>#REF!</f>
        <v>#REF!</v>
      </c>
      <c r="E17" s="51" t="e">
        <f>#REF!</f>
        <v>#REF!</v>
      </c>
      <c r="F17" s="51" t="e">
        <f>#REF!</f>
        <v>#REF!</v>
      </c>
      <c r="G17" s="52" t="e">
        <f t="shared" si="0"/>
        <v>#REF!</v>
      </c>
      <c r="H17" s="51" t="e">
        <f t="shared" si="1"/>
        <v>#REF!</v>
      </c>
      <c r="I17" s="53" t="e">
        <f t="shared" si="2"/>
        <v>#REF!</v>
      </c>
      <c r="J17" s="53" t="e">
        <f t="shared" si="3"/>
        <v>#REF!</v>
      </c>
      <c r="K17" s="54" t="e">
        <f t="shared" si="4"/>
        <v>#REF!</v>
      </c>
      <c r="L17" s="54" t="e">
        <f t="shared" si="5"/>
        <v>#REF!</v>
      </c>
    </row>
    <row r="18" spans="1:13" x14ac:dyDescent="0.2">
      <c r="A18" s="55" t="s">
        <v>53</v>
      </c>
      <c r="B18" s="50">
        <v>44</v>
      </c>
      <c r="C18" s="37">
        <v>1</v>
      </c>
      <c r="D18" s="51" t="e">
        <f>#REF!</f>
        <v>#REF!</v>
      </c>
      <c r="E18" s="51" t="e">
        <f>#REF!</f>
        <v>#REF!</v>
      </c>
      <c r="F18" s="51" t="e">
        <f>#REF!</f>
        <v>#REF!</v>
      </c>
      <c r="G18" s="52" t="e">
        <f t="shared" si="0"/>
        <v>#REF!</v>
      </c>
      <c r="H18" s="51" t="e">
        <f t="shared" si="1"/>
        <v>#REF!</v>
      </c>
      <c r="I18" s="53" t="e">
        <f t="shared" si="2"/>
        <v>#REF!</v>
      </c>
      <c r="J18" s="53" t="e">
        <f t="shared" si="3"/>
        <v>#REF!</v>
      </c>
      <c r="K18" s="54" t="e">
        <f t="shared" si="4"/>
        <v>#REF!</v>
      </c>
      <c r="L18" s="54" t="e">
        <f t="shared" si="5"/>
        <v>#REF!</v>
      </c>
    </row>
    <row r="19" spans="1:13" x14ac:dyDescent="0.2">
      <c r="A19" s="55" t="s">
        <v>54</v>
      </c>
      <c r="B19" s="50">
        <v>44</v>
      </c>
      <c r="C19" s="37">
        <v>1</v>
      </c>
      <c r="D19" s="51" t="e">
        <f>#REF!</f>
        <v>#REF!</v>
      </c>
      <c r="E19" s="51" t="e">
        <f>#REF!</f>
        <v>#REF!</v>
      </c>
      <c r="F19" s="51" t="e">
        <f>#REF!</f>
        <v>#REF!</v>
      </c>
      <c r="G19" s="52" t="e">
        <f t="shared" si="0"/>
        <v>#REF!</v>
      </c>
      <c r="H19" s="51" t="e">
        <f t="shared" si="1"/>
        <v>#REF!</v>
      </c>
      <c r="I19" s="53" t="e">
        <f t="shared" si="2"/>
        <v>#REF!</v>
      </c>
      <c r="J19" s="53" t="e">
        <f t="shared" si="3"/>
        <v>#REF!</v>
      </c>
      <c r="K19" s="54" t="e">
        <f t="shared" si="4"/>
        <v>#REF!</v>
      </c>
      <c r="L19" s="54" t="e">
        <f t="shared" si="5"/>
        <v>#REF!</v>
      </c>
    </row>
    <row r="20" spans="1:13" x14ac:dyDescent="0.2">
      <c r="A20" s="55" t="s">
        <v>55</v>
      </c>
      <c r="B20" s="50">
        <v>44</v>
      </c>
      <c r="C20" s="37">
        <v>1</v>
      </c>
      <c r="D20" s="51" t="e">
        <f>#REF!</f>
        <v>#REF!</v>
      </c>
      <c r="E20" s="51" t="e">
        <f>#REF!</f>
        <v>#REF!</v>
      </c>
      <c r="F20" s="51" t="e">
        <f>#REF!</f>
        <v>#REF!</v>
      </c>
      <c r="G20" s="52" t="e">
        <f t="shared" si="0"/>
        <v>#REF!</v>
      </c>
      <c r="H20" s="51" t="e">
        <f t="shared" si="1"/>
        <v>#REF!</v>
      </c>
      <c r="I20" s="53" t="e">
        <f t="shared" si="2"/>
        <v>#REF!</v>
      </c>
      <c r="J20" s="53" t="e">
        <f t="shared" si="3"/>
        <v>#REF!</v>
      </c>
      <c r="K20" s="54" t="e">
        <f t="shared" si="4"/>
        <v>#REF!</v>
      </c>
      <c r="L20" s="54" t="e">
        <f t="shared" si="5"/>
        <v>#REF!</v>
      </c>
    </row>
    <row r="21" spans="1:13" x14ac:dyDescent="0.2">
      <c r="A21" s="270" t="s">
        <v>113</v>
      </c>
      <c r="B21" s="271"/>
      <c r="C21" s="56">
        <f>SUM(C7:C20)</f>
        <v>22</v>
      </c>
      <c r="D21" s="277"/>
      <c r="E21" s="278"/>
      <c r="F21" s="278"/>
      <c r="G21" s="278"/>
      <c r="H21" s="278"/>
      <c r="I21" s="278"/>
      <c r="J21" s="279"/>
      <c r="K21" s="57" t="e">
        <f>SUM(K7:K20)</f>
        <v>#REF!</v>
      </c>
      <c r="L21" s="58" t="e">
        <f>SUM(L7:L20)</f>
        <v>#REF!</v>
      </c>
    </row>
    <row r="22" spans="1:13" ht="15" x14ac:dyDescent="0.2">
      <c r="A22" s="272" t="s">
        <v>130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4"/>
      <c r="L22" s="59">
        <f>(10.63*19*12)+(9.9*4*12)</f>
        <v>2898.84</v>
      </c>
    </row>
    <row r="23" spans="1:13" s="34" customFormat="1" ht="15" x14ac:dyDescent="0.25">
      <c r="A23" s="272" t="s">
        <v>131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4"/>
      <c r="L23" s="60">
        <f>160.07*19+39.6*12</f>
        <v>3516.5299999999997</v>
      </c>
    </row>
    <row r="24" spans="1:13" s="34" customFormat="1" x14ac:dyDescent="0.25">
      <c r="A24" s="272" t="s">
        <v>128</v>
      </c>
      <c r="B24" s="273"/>
      <c r="C24" s="273"/>
      <c r="D24" s="273"/>
      <c r="E24" s="273"/>
      <c r="F24" s="273"/>
      <c r="G24" s="273"/>
      <c r="H24" s="273"/>
      <c r="I24" s="273"/>
      <c r="J24" s="273"/>
      <c r="K24" s="274"/>
      <c r="L24" s="61">
        <f>2.3*19*12</f>
        <v>524.4</v>
      </c>
    </row>
    <row r="25" spans="1:13" s="34" customFormat="1" ht="12.75" customHeight="1" x14ac:dyDescent="0.25">
      <c r="A25" s="296" t="s">
        <v>132</v>
      </c>
      <c r="B25" s="297"/>
      <c r="C25" s="297"/>
      <c r="D25" s="297"/>
      <c r="E25" s="297"/>
      <c r="F25" s="297"/>
      <c r="G25" s="297"/>
      <c r="H25" s="297"/>
      <c r="I25" s="297"/>
      <c r="J25" s="297"/>
      <c r="K25" s="298"/>
      <c r="L25" s="77" t="e">
        <f>SUM(L21:L24)</f>
        <v>#REF!</v>
      </c>
      <c r="M25" s="62"/>
    </row>
    <row r="26" spans="1:13" ht="12.75" customHeight="1" x14ac:dyDescent="0.2">
      <c r="A26" s="290" t="s">
        <v>134</v>
      </c>
      <c r="B26" s="291"/>
      <c r="C26" s="291"/>
      <c r="D26" s="291"/>
      <c r="E26" s="291"/>
      <c r="F26" s="291"/>
      <c r="G26" s="291"/>
      <c r="H26" s="292"/>
      <c r="I26" s="78" t="s">
        <v>115</v>
      </c>
      <c r="J26" s="78" t="s">
        <v>116</v>
      </c>
      <c r="K26" s="78" t="s">
        <v>117</v>
      </c>
      <c r="L26" s="301" t="e">
        <f>TRUNC(I27*K27,2)</f>
        <v>#REF!</v>
      </c>
    </row>
    <row r="27" spans="1:13" x14ac:dyDescent="0.2">
      <c r="A27" s="293"/>
      <c r="B27" s="294"/>
      <c r="C27" s="294"/>
      <c r="D27" s="294"/>
      <c r="E27" s="294"/>
      <c r="F27" s="294"/>
      <c r="G27" s="294"/>
      <c r="H27" s="295"/>
      <c r="I27" s="63">
        <v>12</v>
      </c>
      <c r="J27" s="63" t="s">
        <v>118</v>
      </c>
      <c r="K27" s="79" t="e">
        <f>#REF!</f>
        <v>#REF!</v>
      </c>
      <c r="L27" s="301"/>
    </row>
    <row r="28" spans="1:13" ht="12.75" customHeight="1" x14ac:dyDescent="0.2">
      <c r="A28" s="296" t="s">
        <v>119</v>
      </c>
      <c r="B28" s="297"/>
      <c r="C28" s="297"/>
      <c r="D28" s="297"/>
      <c r="E28" s="297"/>
      <c r="F28" s="297"/>
      <c r="G28" s="297"/>
      <c r="H28" s="297"/>
      <c r="I28" s="297"/>
      <c r="J28" s="297"/>
      <c r="K28" s="298"/>
      <c r="L28" s="77" t="e">
        <f>L26</f>
        <v>#REF!</v>
      </c>
    </row>
    <row r="29" spans="1:13" x14ac:dyDescent="0.2">
      <c r="A29" s="70" t="s">
        <v>120</v>
      </c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64">
        <f>'[1]Anexo D-VIII-Eventuais'!F17</f>
        <v>340079.62</v>
      </c>
    </row>
    <row r="30" spans="1:13" ht="12.75" customHeight="1" x14ac:dyDescent="0.2">
      <c r="A30" s="296" t="s">
        <v>121</v>
      </c>
      <c r="B30" s="297"/>
      <c r="C30" s="297"/>
      <c r="D30" s="297"/>
      <c r="E30" s="297"/>
      <c r="F30" s="297"/>
      <c r="G30" s="297"/>
      <c r="H30" s="297"/>
      <c r="I30" s="297"/>
      <c r="J30" s="297"/>
      <c r="K30" s="298"/>
      <c r="L30" s="81">
        <f>L29</f>
        <v>340079.62</v>
      </c>
    </row>
    <row r="31" spans="1:13" ht="12.75" customHeight="1" x14ac:dyDescent="0.2">
      <c r="A31" s="296" t="s">
        <v>122</v>
      </c>
      <c r="B31" s="297"/>
      <c r="C31" s="297"/>
      <c r="D31" s="297"/>
      <c r="E31" s="297"/>
      <c r="F31" s="297"/>
      <c r="G31" s="297"/>
      <c r="H31" s="297"/>
      <c r="I31" s="297"/>
      <c r="J31" s="297"/>
      <c r="K31" s="298"/>
      <c r="L31" s="80" t="e">
        <f>L30+L28+L25</f>
        <v>#REF!</v>
      </c>
    </row>
    <row r="32" spans="1:13" x14ac:dyDescent="0.2">
      <c r="A32" s="38"/>
      <c r="B32" s="65"/>
      <c r="C32" s="65"/>
      <c r="D32" s="65"/>
      <c r="E32" s="65"/>
      <c r="F32" s="65"/>
      <c r="G32" s="38"/>
      <c r="H32" s="65"/>
      <c r="I32" s="65"/>
      <c r="J32" s="65"/>
      <c r="K32" s="65"/>
    </row>
    <row r="33" spans="1:12" x14ac:dyDescent="0.2">
      <c r="A33" s="39" t="s">
        <v>123</v>
      </c>
      <c r="G33" s="33"/>
      <c r="L33" s="41"/>
    </row>
    <row r="34" spans="1:12" ht="15" x14ac:dyDescent="0.2">
      <c r="A34" s="40">
        <v>1</v>
      </c>
      <c r="B34" s="299" t="s">
        <v>124</v>
      </c>
      <c r="C34" s="299"/>
      <c r="D34" s="299"/>
      <c r="E34" s="299"/>
      <c r="F34" s="299"/>
      <c r="G34" s="299"/>
      <c r="H34" s="299"/>
      <c r="I34" s="299"/>
      <c r="J34" s="41"/>
      <c r="K34" s="41"/>
      <c r="L34" s="41"/>
    </row>
    <row r="35" spans="1:12" ht="30.75" customHeight="1" x14ac:dyDescent="0.2">
      <c r="A35" s="67"/>
      <c r="B35" s="299"/>
      <c r="C35" s="299"/>
      <c r="D35" s="299"/>
      <c r="E35" s="299"/>
      <c r="F35" s="299"/>
      <c r="G35" s="299"/>
      <c r="H35" s="299"/>
      <c r="I35" s="299"/>
      <c r="J35" s="41"/>
      <c r="K35" s="41"/>
      <c r="L35" s="41"/>
    </row>
    <row r="36" spans="1:12" x14ac:dyDescent="0.2">
      <c r="A36" s="67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74"/>
    </row>
    <row r="37" spans="1:12" ht="15" customHeight="1" x14ac:dyDescent="0.2">
      <c r="A37" s="42">
        <v>2</v>
      </c>
      <c r="B37" s="300" t="s">
        <v>125</v>
      </c>
      <c r="C37" s="300"/>
      <c r="D37" s="300"/>
      <c r="E37" s="300"/>
      <c r="F37" s="300"/>
      <c r="G37" s="300"/>
      <c r="H37" s="300"/>
      <c r="I37" s="300"/>
      <c r="J37" s="74"/>
      <c r="K37" s="74"/>
      <c r="L37" s="68"/>
    </row>
    <row r="38" spans="1:12" x14ac:dyDescent="0.2">
      <c r="B38" s="300"/>
      <c r="C38" s="300"/>
      <c r="D38" s="300"/>
      <c r="E38" s="300"/>
      <c r="F38" s="300"/>
      <c r="G38" s="300"/>
      <c r="H38" s="300"/>
      <c r="I38" s="300"/>
      <c r="J38" s="68"/>
      <c r="K38" s="68"/>
      <c r="L38" s="75"/>
    </row>
    <row r="39" spans="1:12" ht="15" customHeight="1" x14ac:dyDescent="0.2">
      <c r="A39" s="42">
        <v>3</v>
      </c>
      <c r="B39" s="275" t="s">
        <v>126</v>
      </c>
      <c r="C39" s="275"/>
      <c r="D39" s="275"/>
      <c r="E39" s="275"/>
      <c r="F39" s="275"/>
      <c r="G39" s="275"/>
      <c r="H39" s="275"/>
      <c r="I39" s="275"/>
      <c r="J39" s="75"/>
      <c r="K39" s="75"/>
      <c r="L39" s="75"/>
    </row>
    <row r="40" spans="1:12" x14ac:dyDescent="0.2">
      <c r="B40" s="275"/>
      <c r="C40" s="275"/>
      <c r="D40" s="275"/>
      <c r="E40" s="275"/>
      <c r="F40" s="275"/>
      <c r="G40" s="275"/>
      <c r="H40" s="275"/>
      <c r="I40" s="275"/>
      <c r="J40" s="75"/>
      <c r="K40" s="75"/>
    </row>
    <row r="41" spans="1:12" x14ac:dyDescent="0.2">
      <c r="B41" s="43"/>
      <c r="C41" s="43"/>
      <c r="D41" s="43"/>
      <c r="E41" s="43"/>
      <c r="F41" s="43"/>
      <c r="L41" s="76"/>
    </row>
    <row r="42" spans="1:12" ht="15" customHeight="1" x14ac:dyDescent="0.2">
      <c r="A42" s="42">
        <v>4</v>
      </c>
      <c r="B42" s="276" t="s">
        <v>129</v>
      </c>
      <c r="C42" s="276"/>
      <c r="D42" s="276"/>
      <c r="E42" s="276"/>
      <c r="F42" s="276"/>
      <c r="G42" s="276"/>
      <c r="H42" s="276"/>
      <c r="I42" s="276"/>
      <c r="J42" s="76"/>
      <c r="K42" s="76"/>
      <c r="L42" s="76"/>
    </row>
    <row r="43" spans="1:12" ht="37.5" customHeight="1" x14ac:dyDescent="0.2">
      <c r="B43" s="276"/>
      <c r="C43" s="276"/>
      <c r="D43" s="276"/>
      <c r="E43" s="276"/>
      <c r="F43" s="276"/>
      <c r="G43" s="276"/>
      <c r="H43" s="276"/>
      <c r="I43" s="276"/>
      <c r="J43" s="76"/>
      <c r="K43" s="76"/>
      <c r="L43" s="76"/>
    </row>
    <row r="44" spans="1:12" x14ac:dyDescent="0.2">
      <c r="B44" s="76"/>
      <c r="C44" s="76"/>
      <c r="D44" s="76"/>
      <c r="E44" s="76"/>
      <c r="F44" s="76"/>
      <c r="G44" s="76"/>
      <c r="H44" s="76"/>
      <c r="I44" s="76"/>
      <c r="J44" s="76"/>
      <c r="K44" s="76"/>
    </row>
    <row r="45" spans="1:12" x14ac:dyDescent="0.2">
      <c r="B45" s="35"/>
      <c r="C45" s="35"/>
      <c r="D45" s="35"/>
      <c r="E45" s="35"/>
      <c r="F45" s="35"/>
    </row>
  </sheetData>
  <mergeCells count="29">
    <mergeCell ref="B39:I40"/>
    <mergeCell ref="B42:I43"/>
    <mergeCell ref="D21:J21"/>
    <mergeCell ref="A1:E1"/>
    <mergeCell ref="F1:L1"/>
    <mergeCell ref="A4:L4"/>
    <mergeCell ref="A3:L3"/>
    <mergeCell ref="A26:H27"/>
    <mergeCell ref="A31:K31"/>
    <mergeCell ref="A30:K30"/>
    <mergeCell ref="A28:K28"/>
    <mergeCell ref="B34:I35"/>
    <mergeCell ref="B37:I38"/>
    <mergeCell ref="L26:L27"/>
    <mergeCell ref="A25:K25"/>
    <mergeCell ref="A22:K22"/>
    <mergeCell ref="A23:K23"/>
    <mergeCell ref="A24:K24"/>
    <mergeCell ref="I5:I6"/>
    <mergeCell ref="J5:J6"/>
    <mergeCell ref="K5:K6"/>
    <mergeCell ref="L5:L6"/>
    <mergeCell ref="A21:B21"/>
    <mergeCell ref="A5:A6"/>
    <mergeCell ref="B5:B6"/>
    <mergeCell ref="C5:C6"/>
    <mergeCell ref="D5:D6"/>
    <mergeCell ref="E5:E6"/>
    <mergeCell ref="F5:F6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140" zoomScaleNormal="140" workbookViewId="0">
      <selection activeCell="J17" sqref="J17"/>
    </sheetView>
  </sheetViews>
  <sheetFormatPr defaultRowHeight="12.75" x14ac:dyDescent="0.2"/>
  <cols>
    <col min="1" max="1" width="30.5703125" style="46" customWidth="1"/>
    <col min="2" max="2" width="9.85546875" style="46" customWidth="1"/>
    <col min="3" max="3" width="8.5703125" style="46" customWidth="1"/>
    <col min="4" max="4" width="14.140625" style="46" customWidth="1"/>
    <col min="5" max="5" width="11.5703125" style="46" customWidth="1"/>
    <col min="6" max="6" width="11" style="46" customWidth="1"/>
    <col min="7" max="7" width="10.28515625" style="46" bestFit="1" customWidth="1"/>
    <col min="8" max="8" width="10.140625" style="46" customWidth="1"/>
    <col min="9" max="10" width="13.140625" style="46" customWidth="1"/>
    <col min="11" max="11" width="15.140625" style="46" customWidth="1"/>
    <col min="12" max="13" width="15" style="46" customWidth="1"/>
    <col min="14" max="14" width="10.5703125" style="46" bestFit="1" customWidth="1"/>
    <col min="15" max="16384" width="9.140625" style="46"/>
  </cols>
  <sheetData>
    <row r="1" spans="1:13" ht="63" customHeight="1" x14ac:dyDescent="0.2">
      <c r="A1" s="302" t="s">
        <v>136</v>
      </c>
      <c r="B1" s="302"/>
      <c r="C1" s="302"/>
      <c r="D1" s="302"/>
      <c r="E1" s="302"/>
      <c r="F1" s="302"/>
      <c r="G1" s="302"/>
      <c r="H1" s="303" t="s">
        <v>127</v>
      </c>
      <c r="I1" s="303"/>
      <c r="J1" s="303"/>
      <c r="K1" s="303"/>
      <c r="L1" s="303"/>
      <c r="M1" s="303"/>
    </row>
    <row r="2" spans="1:13" x14ac:dyDescent="0.2">
      <c r="A2" s="47"/>
      <c r="B2" s="47"/>
      <c r="C2" s="47"/>
      <c r="D2" s="47"/>
      <c r="E2" s="47"/>
      <c r="F2" s="47"/>
      <c r="G2" s="47"/>
      <c r="H2" s="32"/>
      <c r="I2" s="32"/>
      <c r="J2" s="32"/>
      <c r="K2" s="32"/>
      <c r="L2" s="32"/>
      <c r="M2" s="32"/>
    </row>
    <row r="3" spans="1:13" x14ac:dyDescent="0.2">
      <c r="A3" s="304" t="s">
        <v>99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</row>
    <row r="4" spans="1:13" x14ac:dyDescent="0.2">
      <c r="A4" s="305" t="s">
        <v>135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</row>
    <row r="5" spans="1:13" ht="24" customHeight="1" x14ac:dyDescent="0.2">
      <c r="A5" s="269" t="s">
        <v>101</v>
      </c>
      <c r="B5" s="269" t="s">
        <v>102</v>
      </c>
      <c r="C5" s="269" t="s">
        <v>103</v>
      </c>
      <c r="D5" s="269" t="s">
        <v>104</v>
      </c>
      <c r="E5" s="269" t="s">
        <v>105</v>
      </c>
      <c r="F5" s="269" t="s">
        <v>106</v>
      </c>
      <c r="G5" s="48" t="s">
        <v>107</v>
      </c>
      <c r="H5" s="48" t="s">
        <v>108</v>
      </c>
      <c r="I5" s="269" t="s">
        <v>109</v>
      </c>
      <c r="J5" s="269" t="s">
        <v>110</v>
      </c>
      <c r="K5" s="269" t="s">
        <v>111</v>
      </c>
      <c r="L5" s="269" t="s">
        <v>112</v>
      </c>
    </row>
    <row r="6" spans="1:13" x14ac:dyDescent="0.2">
      <c r="A6" s="269"/>
      <c r="B6" s="269"/>
      <c r="C6" s="269"/>
      <c r="D6" s="269"/>
      <c r="E6" s="269"/>
      <c r="F6" s="269"/>
      <c r="G6" s="44" t="e">
        <f>#REF!</f>
        <v>#REF!</v>
      </c>
      <c r="H6" s="45" t="e">
        <f>#REF!</f>
        <v>#REF!</v>
      </c>
      <c r="I6" s="269"/>
      <c r="J6" s="269"/>
      <c r="K6" s="269"/>
      <c r="L6" s="269"/>
    </row>
    <row r="7" spans="1:13" ht="25.5" x14ac:dyDescent="0.2">
      <c r="A7" s="49" t="s">
        <v>64</v>
      </c>
      <c r="B7" s="50">
        <v>44</v>
      </c>
      <c r="C7" s="36">
        <v>4</v>
      </c>
      <c r="D7" s="51" t="e">
        <f>#REF!</f>
        <v>#REF!</v>
      </c>
      <c r="E7" s="51" t="e">
        <f>#REF!</f>
        <v>#REF!</v>
      </c>
      <c r="F7" s="52" t="e">
        <f>#REF!</f>
        <v>#REF!</v>
      </c>
      <c r="G7" s="52" t="e">
        <f>ROUND((D7*$G$6/100),2)</f>
        <v>#REF!</v>
      </c>
      <c r="H7" s="51" t="e">
        <f>TRUNC((SUM(D7:G7)*$H$6),2)</f>
        <v>#REF!</v>
      </c>
      <c r="I7" s="53" t="e">
        <f>SUM(D7:H7)</f>
        <v>#REF!</v>
      </c>
      <c r="J7" s="53" t="e">
        <f>I7*12</f>
        <v>#REF!</v>
      </c>
      <c r="K7" s="54" t="e">
        <f>I7*C7</f>
        <v>#REF!</v>
      </c>
      <c r="L7" s="54" t="e">
        <f>K7*12</f>
        <v>#REF!</v>
      </c>
    </row>
    <row r="8" spans="1:13" x14ac:dyDescent="0.2">
      <c r="A8" s="55" t="s">
        <v>61</v>
      </c>
      <c r="B8" s="50">
        <v>44</v>
      </c>
      <c r="C8" s="37">
        <v>1</v>
      </c>
      <c r="D8" s="51" t="e">
        <f>#REF!</f>
        <v>#REF!</v>
      </c>
      <c r="E8" s="51" t="e">
        <f>#REF!</f>
        <v>#REF!</v>
      </c>
      <c r="F8" s="52" t="e">
        <f>#REF!</f>
        <v>#REF!</v>
      </c>
      <c r="G8" s="52" t="e">
        <f t="shared" ref="G8:G20" si="0">ROUND((D8*$G$6/100),2)</f>
        <v>#REF!</v>
      </c>
      <c r="H8" s="51" t="e">
        <f t="shared" ref="H8:H20" si="1">TRUNC((SUM(D8:G8)*$H$6),2)</f>
        <v>#REF!</v>
      </c>
      <c r="I8" s="53" t="e">
        <f t="shared" ref="I8:I20" si="2">SUM(D8:H8)</f>
        <v>#REF!</v>
      </c>
      <c r="J8" s="53" t="e">
        <f t="shared" ref="J8:J20" si="3">I8*12</f>
        <v>#REF!</v>
      </c>
      <c r="K8" s="54" t="e">
        <f t="shared" ref="K8:K20" si="4">I8*C8</f>
        <v>#REF!</v>
      </c>
      <c r="L8" s="54" t="e">
        <f t="shared" ref="L8:L20" si="5">K8*12</f>
        <v>#REF!</v>
      </c>
    </row>
    <row r="9" spans="1:13" x14ac:dyDescent="0.2">
      <c r="A9" s="55" t="s">
        <v>63</v>
      </c>
      <c r="B9" s="50">
        <v>44</v>
      </c>
      <c r="C9" s="37">
        <v>2</v>
      </c>
      <c r="D9" s="51" t="e">
        <f>#REF!</f>
        <v>#REF!</v>
      </c>
      <c r="E9" s="51" t="e">
        <f>#REF!</f>
        <v>#REF!</v>
      </c>
      <c r="F9" s="52" t="e">
        <f>#REF!</f>
        <v>#REF!</v>
      </c>
      <c r="G9" s="52" t="e">
        <f t="shared" si="0"/>
        <v>#REF!</v>
      </c>
      <c r="H9" s="51" t="e">
        <f t="shared" si="1"/>
        <v>#REF!</v>
      </c>
      <c r="I9" s="53" t="e">
        <f t="shared" si="2"/>
        <v>#REF!</v>
      </c>
      <c r="J9" s="53" t="e">
        <f t="shared" si="3"/>
        <v>#REF!</v>
      </c>
      <c r="K9" s="54" t="e">
        <f t="shared" si="4"/>
        <v>#REF!</v>
      </c>
      <c r="L9" s="54" t="e">
        <f t="shared" si="5"/>
        <v>#REF!</v>
      </c>
    </row>
    <row r="10" spans="1:13" x14ac:dyDescent="0.2">
      <c r="A10" s="55" t="s">
        <v>47</v>
      </c>
      <c r="B10" s="50">
        <v>44</v>
      </c>
      <c r="C10" s="37">
        <v>1</v>
      </c>
      <c r="D10" s="51" t="e">
        <f>#REF!</f>
        <v>#REF!</v>
      </c>
      <c r="E10" s="51" t="e">
        <f>#REF!</f>
        <v>#REF!</v>
      </c>
      <c r="F10" s="52" t="e">
        <f>#REF!</f>
        <v>#REF!</v>
      </c>
      <c r="G10" s="52" t="e">
        <f t="shared" si="0"/>
        <v>#REF!</v>
      </c>
      <c r="H10" s="51" t="e">
        <f t="shared" si="1"/>
        <v>#REF!</v>
      </c>
      <c r="I10" s="53" t="e">
        <f t="shared" si="2"/>
        <v>#REF!</v>
      </c>
      <c r="J10" s="53" t="e">
        <f t="shared" si="3"/>
        <v>#REF!</v>
      </c>
      <c r="K10" s="54" t="e">
        <f t="shared" si="4"/>
        <v>#REF!</v>
      </c>
      <c r="L10" s="54" t="e">
        <f t="shared" si="5"/>
        <v>#REF!</v>
      </c>
    </row>
    <row r="11" spans="1:13" x14ac:dyDescent="0.2">
      <c r="A11" s="55" t="s">
        <v>62</v>
      </c>
      <c r="B11" s="50">
        <v>40</v>
      </c>
      <c r="C11" s="37">
        <v>1</v>
      </c>
      <c r="D11" s="51">
        <f>'[1]Anexo D-I-MÓDULOS 1, 2 e 3'!G9</f>
        <v>1985.5</v>
      </c>
      <c r="E11" s="51" t="e">
        <f>#REF!</f>
        <v>#REF!</v>
      </c>
      <c r="F11" s="52" t="e">
        <f>#REF!</f>
        <v>#REF!</v>
      </c>
      <c r="G11" s="52" t="e">
        <f t="shared" si="0"/>
        <v>#REF!</v>
      </c>
      <c r="H11" s="51" t="e">
        <f t="shared" si="1"/>
        <v>#REF!</v>
      </c>
      <c r="I11" s="53" t="e">
        <f t="shared" si="2"/>
        <v>#REF!</v>
      </c>
      <c r="J11" s="53" t="e">
        <f t="shared" si="3"/>
        <v>#REF!</v>
      </c>
      <c r="K11" s="54" t="e">
        <f t="shared" si="4"/>
        <v>#REF!</v>
      </c>
      <c r="L11" s="54" t="e">
        <f t="shared" si="5"/>
        <v>#REF!</v>
      </c>
    </row>
    <row r="12" spans="1:13" x14ac:dyDescent="0.2">
      <c r="A12" s="55" t="s">
        <v>48</v>
      </c>
      <c r="B12" s="50">
        <v>44</v>
      </c>
      <c r="C12" s="37">
        <v>2</v>
      </c>
      <c r="D12" s="51" t="e">
        <f>#REF!</f>
        <v>#REF!</v>
      </c>
      <c r="E12" s="51" t="e">
        <f>#REF!</f>
        <v>#REF!</v>
      </c>
      <c r="F12" s="52" t="e">
        <f>#REF!</f>
        <v>#REF!</v>
      </c>
      <c r="G12" s="52" t="e">
        <f t="shared" si="0"/>
        <v>#REF!</v>
      </c>
      <c r="H12" s="51" t="e">
        <f t="shared" si="1"/>
        <v>#REF!</v>
      </c>
      <c r="I12" s="53" t="e">
        <f t="shared" si="2"/>
        <v>#REF!</v>
      </c>
      <c r="J12" s="53" t="e">
        <f t="shared" si="3"/>
        <v>#REF!</v>
      </c>
      <c r="K12" s="54" t="e">
        <f t="shared" si="4"/>
        <v>#REF!</v>
      </c>
      <c r="L12" s="54" t="e">
        <f t="shared" si="5"/>
        <v>#REF!</v>
      </c>
    </row>
    <row r="13" spans="1:13" x14ac:dyDescent="0.2">
      <c r="A13" s="55" t="s">
        <v>49</v>
      </c>
      <c r="B13" s="50">
        <v>44</v>
      </c>
      <c r="C13" s="37">
        <v>2</v>
      </c>
      <c r="D13" s="51" t="e">
        <f>#REF!</f>
        <v>#REF!</v>
      </c>
      <c r="E13" s="51" t="e">
        <f>#REF!</f>
        <v>#REF!</v>
      </c>
      <c r="F13" s="52" t="e">
        <f>#REF!</f>
        <v>#REF!</v>
      </c>
      <c r="G13" s="52" t="e">
        <f t="shared" si="0"/>
        <v>#REF!</v>
      </c>
      <c r="H13" s="51" t="e">
        <f t="shared" si="1"/>
        <v>#REF!</v>
      </c>
      <c r="I13" s="53" t="e">
        <f t="shared" si="2"/>
        <v>#REF!</v>
      </c>
      <c r="J13" s="53" t="e">
        <f t="shared" si="3"/>
        <v>#REF!</v>
      </c>
      <c r="K13" s="54" t="e">
        <f t="shared" si="4"/>
        <v>#REF!</v>
      </c>
      <c r="L13" s="54" t="e">
        <f t="shared" si="5"/>
        <v>#REF!</v>
      </c>
    </row>
    <row r="14" spans="1:13" x14ac:dyDescent="0.2">
      <c r="A14" s="55" t="s">
        <v>50</v>
      </c>
      <c r="B14" s="50">
        <v>44</v>
      </c>
      <c r="C14" s="37">
        <v>1</v>
      </c>
      <c r="D14" s="51" t="e">
        <f>#REF!</f>
        <v>#REF!</v>
      </c>
      <c r="E14" s="51" t="e">
        <f>#REF!</f>
        <v>#REF!</v>
      </c>
      <c r="F14" s="52" t="e">
        <f>#REF!</f>
        <v>#REF!</v>
      </c>
      <c r="G14" s="52" t="e">
        <f t="shared" si="0"/>
        <v>#REF!</v>
      </c>
      <c r="H14" s="51" t="e">
        <f t="shared" si="1"/>
        <v>#REF!</v>
      </c>
      <c r="I14" s="53" t="e">
        <f t="shared" si="2"/>
        <v>#REF!</v>
      </c>
      <c r="J14" s="53" t="e">
        <f t="shared" si="3"/>
        <v>#REF!</v>
      </c>
      <c r="K14" s="54" t="e">
        <f t="shared" si="4"/>
        <v>#REF!</v>
      </c>
      <c r="L14" s="54" t="e">
        <f t="shared" si="5"/>
        <v>#REF!</v>
      </c>
    </row>
    <row r="15" spans="1:13" x14ac:dyDescent="0.2">
      <c r="A15" s="55" t="s">
        <v>51</v>
      </c>
      <c r="B15" s="50">
        <v>44</v>
      </c>
      <c r="C15" s="37">
        <v>2</v>
      </c>
      <c r="D15" s="51" t="e">
        <f>#REF!</f>
        <v>#REF!</v>
      </c>
      <c r="E15" s="51" t="e">
        <f>#REF!</f>
        <v>#REF!</v>
      </c>
      <c r="F15" s="52" t="e">
        <f>#REF!</f>
        <v>#REF!</v>
      </c>
      <c r="G15" s="52" t="e">
        <f t="shared" si="0"/>
        <v>#REF!</v>
      </c>
      <c r="H15" s="51" t="e">
        <f t="shared" si="1"/>
        <v>#REF!</v>
      </c>
      <c r="I15" s="53" t="e">
        <f t="shared" si="2"/>
        <v>#REF!</v>
      </c>
      <c r="J15" s="53" t="e">
        <f t="shared" si="3"/>
        <v>#REF!</v>
      </c>
      <c r="K15" s="54" t="e">
        <f t="shared" si="4"/>
        <v>#REF!</v>
      </c>
      <c r="L15" s="54" t="e">
        <f t="shared" si="5"/>
        <v>#REF!</v>
      </c>
    </row>
    <row r="16" spans="1:13" x14ac:dyDescent="0.2">
      <c r="A16" s="55" t="s">
        <v>78</v>
      </c>
      <c r="B16" s="50">
        <v>44</v>
      </c>
      <c r="C16" s="36">
        <v>2</v>
      </c>
      <c r="D16" s="51" t="e">
        <f>#REF!</f>
        <v>#REF!</v>
      </c>
      <c r="E16" s="51" t="e">
        <f>#REF!</f>
        <v>#REF!</v>
      </c>
      <c r="F16" s="52" t="e">
        <f>#REF!</f>
        <v>#REF!</v>
      </c>
      <c r="G16" s="52" t="e">
        <f t="shared" si="0"/>
        <v>#REF!</v>
      </c>
      <c r="H16" s="51" t="e">
        <f t="shared" si="1"/>
        <v>#REF!</v>
      </c>
      <c r="I16" s="53" t="e">
        <f t="shared" si="2"/>
        <v>#REF!</v>
      </c>
      <c r="J16" s="53" t="e">
        <f t="shared" si="3"/>
        <v>#REF!</v>
      </c>
      <c r="K16" s="54" t="e">
        <f t="shared" si="4"/>
        <v>#REF!</v>
      </c>
      <c r="L16" s="54" t="e">
        <f t="shared" si="5"/>
        <v>#REF!</v>
      </c>
    </row>
    <row r="17" spans="1:13" x14ac:dyDescent="0.2">
      <c r="A17" s="55" t="s">
        <v>52</v>
      </c>
      <c r="B17" s="50">
        <v>44</v>
      </c>
      <c r="C17" s="37">
        <v>1</v>
      </c>
      <c r="D17" s="51" t="e">
        <f>#REF!</f>
        <v>#REF!</v>
      </c>
      <c r="E17" s="51" t="e">
        <f>#REF!</f>
        <v>#REF!</v>
      </c>
      <c r="F17" s="52" t="e">
        <f>#REF!</f>
        <v>#REF!</v>
      </c>
      <c r="G17" s="52" t="e">
        <f t="shared" si="0"/>
        <v>#REF!</v>
      </c>
      <c r="H17" s="51" t="e">
        <f t="shared" si="1"/>
        <v>#REF!</v>
      </c>
      <c r="I17" s="53" t="e">
        <f t="shared" si="2"/>
        <v>#REF!</v>
      </c>
      <c r="J17" s="53" t="e">
        <f t="shared" si="3"/>
        <v>#REF!</v>
      </c>
      <c r="K17" s="54" t="e">
        <f t="shared" si="4"/>
        <v>#REF!</v>
      </c>
      <c r="L17" s="54" t="e">
        <f t="shared" si="5"/>
        <v>#REF!</v>
      </c>
    </row>
    <row r="18" spans="1:13" x14ac:dyDescent="0.2">
      <c r="A18" s="55" t="s">
        <v>53</v>
      </c>
      <c r="B18" s="50">
        <v>44</v>
      </c>
      <c r="C18" s="37">
        <v>1</v>
      </c>
      <c r="D18" s="51" t="e">
        <f>#REF!</f>
        <v>#REF!</v>
      </c>
      <c r="E18" s="51" t="e">
        <f>#REF!</f>
        <v>#REF!</v>
      </c>
      <c r="F18" s="52" t="e">
        <f>#REF!</f>
        <v>#REF!</v>
      </c>
      <c r="G18" s="52" t="e">
        <f t="shared" si="0"/>
        <v>#REF!</v>
      </c>
      <c r="H18" s="51" t="e">
        <f t="shared" si="1"/>
        <v>#REF!</v>
      </c>
      <c r="I18" s="53" t="e">
        <f t="shared" si="2"/>
        <v>#REF!</v>
      </c>
      <c r="J18" s="53" t="e">
        <f t="shared" si="3"/>
        <v>#REF!</v>
      </c>
      <c r="K18" s="54" t="e">
        <f t="shared" si="4"/>
        <v>#REF!</v>
      </c>
      <c r="L18" s="54" t="e">
        <f t="shared" si="5"/>
        <v>#REF!</v>
      </c>
    </row>
    <row r="19" spans="1:13" x14ac:dyDescent="0.2">
      <c r="A19" s="55" t="s">
        <v>54</v>
      </c>
      <c r="B19" s="50">
        <v>44</v>
      </c>
      <c r="C19" s="37">
        <v>1</v>
      </c>
      <c r="D19" s="51" t="e">
        <f>#REF!</f>
        <v>#REF!</v>
      </c>
      <c r="E19" s="51" t="e">
        <f>#REF!</f>
        <v>#REF!</v>
      </c>
      <c r="F19" s="52" t="e">
        <f>#REF!</f>
        <v>#REF!</v>
      </c>
      <c r="G19" s="52" t="e">
        <f t="shared" si="0"/>
        <v>#REF!</v>
      </c>
      <c r="H19" s="51" t="e">
        <f t="shared" si="1"/>
        <v>#REF!</v>
      </c>
      <c r="I19" s="53" t="e">
        <f t="shared" si="2"/>
        <v>#REF!</v>
      </c>
      <c r="J19" s="53" t="e">
        <f t="shared" si="3"/>
        <v>#REF!</v>
      </c>
      <c r="K19" s="54" t="e">
        <f t="shared" si="4"/>
        <v>#REF!</v>
      </c>
      <c r="L19" s="54" t="e">
        <f t="shared" si="5"/>
        <v>#REF!</v>
      </c>
    </row>
    <row r="20" spans="1:13" x14ac:dyDescent="0.2">
      <c r="A20" s="55" t="s">
        <v>55</v>
      </c>
      <c r="B20" s="50">
        <v>44</v>
      </c>
      <c r="C20" s="37">
        <v>1</v>
      </c>
      <c r="D20" s="51" t="e">
        <f>#REF!</f>
        <v>#REF!</v>
      </c>
      <c r="E20" s="51" t="e">
        <f>#REF!</f>
        <v>#REF!</v>
      </c>
      <c r="F20" s="52" t="e">
        <f>#REF!</f>
        <v>#REF!</v>
      </c>
      <c r="G20" s="52" t="e">
        <f t="shared" si="0"/>
        <v>#REF!</v>
      </c>
      <c r="H20" s="51" t="e">
        <f t="shared" si="1"/>
        <v>#REF!</v>
      </c>
      <c r="I20" s="53" t="e">
        <f t="shared" si="2"/>
        <v>#REF!</v>
      </c>
      <c r="J20" s="53" t="e">
        <f t="shared" si="3"/>
        <v>#REF!</v>
      </c>
      <c r="K20" s="54" t="e">
        <f t="shared" si="4"/>
        <v>#REF!</v>
      </c>
      <c r="L20" s="54" t="e">
        <f t="shared" si="5"/>
        <v>#REF!</v>
      </c>
    </row>
    <row r="21" spans="1:13" x14ac:dyDescent="0.2">
      <c r="A21" s="270" t="s">
        <v>113</v>
      </c>
      <c r="B21" s="271"/>
      <c r="C21" s="56">
        <f>SUM(C7:C20)</f>
        <v>22</v>
      </c>
      <c r="D21" s="277"/>
      <c r="E21" s="278"/>
      <c r="F21" s="278"/>
      <c r="G21" s="278"/>
      <c r="H21" s="278"/>
      <c r="I21" s="278"/>
      <c r="J21" s="279"/>
      <c r="K21" s="57" t="e">
        <f>SUM(K7:K20)</f>
        <v>#REF!</v>
      </c>
      <c r="L21" s="58" t="e">
        <f>SUM(L7:L20)</f>
        <v>#REF!</v>
      </c>
    </row>
    <row r="22" spans="1:13" ht="15" x14ac:dyDescent="0.2">
      <c r="A22" s="272" t="s">
        <v>130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4"/>
      <c r="L22" s="54">
        <f>(10.63*19*12)+(9.9*4*12)</f>
        <v>2898.84</v>
      </c>
    </row>
    <row r="23" spans="1:13" ht="15" x14ac:dyDescent="0.2">
      <c r="A23" s="272" t="s">
        <v>131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4"/>
      <c r="L23" s="59">
        <f>160.07*19+39.6*12</f>
        <v>3516.5299999999997</v>
      </c>
    </row>
    <row r="24" spans="1:13" s="34" customFormat="1" x14ac:dyDescent="0.25">
      <c r="A24" s="272" t="s">
        <v>128</v>
      </c>
      <c r="B24" s="273"/>
      <c r="C24" s="273"/>
      <c r="D24" s="273"/>
      <c r="E24" s="273"/>
      <c r="F24" s="273"/>
      <c r="G24" s="273"/>
      <c r="H24" s="273"/>
      <c r="I24" s="273"/>
      <c r="J24" s="273"/>
      <c r="K24" s="274"/>
      <c r="L24" s="60">
        <f>2.3*19*12</f>
        <v>524.4</v>
      </c>
    </row>
    <row r="25" spans="1:13" s="34" customFormat="1" ht="12.75" customHeight="1" x14ac:dyDescent="0.25">
      <c r="A25" s="72" t="s">
        <v>132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7" t="e">
        <f>SUM(L21:L24)</f>
        <v>#REF!</v>
      </c>
      <c r="M25" s="62"/>
    </row>
    <row r="26" spans="1:13" ht="12.75" customHeight="1" x14ac:dyDescent="0.2">
      <c r="A26" s="290" t="s">
        <v>114</v>
      </c>
      <c r="B26" s="291"/>
      <c r="C26" s="291"/>
      <c r="D26" s="291"/>
      <c r="E26" s="291"/>
      <c r="F26" s="291"/>
      <c r="G26" s="291"/>
      <c r="H26" s="292"/>
      <c r="I26" s="78" t="s">
        <v>115</v>
      </c>
      <c r="J26" s="78" t="s">
        <v>116</v>
      </c>
      <c r="K26" s="78" t="s">
        <v>117</v>
      </c>
      <c r="L26" s="306" t="e">
        <f>TRUNC(I27*K27,2)</f>
        <v>#REF!</v>
      </c>
    </row>
    <row r="27" spans="1:13" x14ac:dyDescent="0.2">
      <c r="A27" s="293"/>
      <c r="B27" s="294"/>
      <c r="C27" s="294"/>
      <c r="D27" s="294"/>
      <c r="E27" s="294"/>
      <c r="F27" s="294"/>
      <c r="G27" s="294"/>
      <c r="H27" s="295"/>
      <c r="I27" s="63">
        <v>12</v>
      </c>
      <c r="J27" s="63" t="s">
        <v>118</v>
      </c>
      <c r="K27" s="79" t="e">
        <f>#REF!</f>
        <v>#REF!</v>
      </c>
      <c r="L27" s="307"/>
    </row>
    <row r="28" spans="1:13" ht="12.75" customHeight="1" x14ac:dyDescent="0.2">
      <c r="A28" s="72" t="s">
        <v>119</v>
      </c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7" t="e">
        <f>L26</f>
        <v>#REF!</v>
      </c>
    </row>
    <row r="29" spans="1:13" x14ac:dyDescent="0.2">
      <c r="A29" s="272" t="s">
        <v>120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4"/>
      <c r="L29" s="64">
        <f>'[1]Anexo D-VIII-Eventuais'!F17</f>
        <v>340079.62</v>
      </c>
    </row>
    <row r="30" spans="1:13" ht="12.75" customHeight="1" x14ac:dyDescent="0.2">
      <c r="A30" s="296" t="s">
        <v>121</v>
      </c>
      <c r="B30" s="297"/>
      <c r="C30" s="297"/>
      <c r="D30" s="297"/>
      <c r="E30" s="297"/>
      <c r="F30" s="297"/>
      <c r="G30" s="297"/>
      <c r="H30" s="297"/>
      <c r="I30" s="297"/>
      <c r="J30" s="297"/>
      <c r="K30" s="298"/>
      <c r="L30" s="77">
        <f>L29</f>
        <v>340079.62</v>
      </c>
    </row>
    <row r="31" spans="1:13" ht="12.75" customHeight="1" x14ac:dyDescent="0.2">
      <c r="A31" s="72" t="s">
        <v>122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80" t="e">
        <f>L30+L28+L25</f>
        <v>#REF!</v>
      </c>
    </row>
    <row r="32" spans="1:13" x14ac:dyDescent="0.2">
      <c r="A32" s="38"/>
      <c r="B32" s="65"/>
      <c r="C32" s="65"/>
      <c r="D32" s="65"/>
      <c r="E32" s="65"/>
      <c r="F32" s="65"/>
      <c r="G32" s="38"/>
      <c r="H32" s="65"/>
      <c r="I32" s="65"/>
      <c r="J32" s="65"/>
      <c r="K32" s="65"/>
      <c r="L32" s="65"/>
      <c r="M32" s="66"/>
    </row>
    <row r="33" spans="1:13" x14ac:dyDescent="0.2">
      <c r="A33" s="39" t="s">
        <v>123</v>
      </c>
      <c r="G33" s="33"/>
    </row>
    <row r="34" spans="1:13" ht="15" x14ac:dyDescent="0.2">
      <c r="A34" s="40">
        <v>1</v>
      </c>
      <c r="B34" s="299" t="s">
        <v>124</v>
      </c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</row>
    <row r="35" spans="1:13" x14ac:dyDescent="0.2">
      <c r="A35" s="67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</row>
    <row r="36" spans="1:13" x14ac:dyDescent="0.2">
      <c r="A36" s="67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ht="15" x14ac:dyDescent="0.2">
      <c r="A37" s="42">
        <v>2</v>
      </c>
      <c r="B37" s="300" t="s">
        <v>125</v>
      </c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</row>
    <row r="38" spans="1:13" x14ac:dyDescent="0.2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13" ht="15" x14ac:dyDescent="0.2">
      <c r="A39" s="42">
        <v>3</v>
      </c>
      <c r="B39" s="275" t="s">
        <v>126</v>
      </c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</row>
    <row r="40" spans="1:13" x14ac:dyDescent="0.2"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</row>
    <row r="41" spans="1:13" x14ac:dyDescent="0.2">
      <c r="B41" s="43"/>
      <c r="C41" s="43"/>
      <c r="D41" s="43"/>
      <c r="E41" s="43"/>
      <c r="F41" s="43"/>
    </row>
    <row r="42" spans="1:13" ht="15" x14ac:dyDescent="0.2">
      <c r="A42" s="42">
        <v>4</v>
      </c>
      <c r="B42" s="276" t="s">
        <v>129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</row>
    <row r="43" spans="1:13" x14ac:dyDescent="0.2"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</row>
    <row r="44" spans="1:13" x14ac:dyDescent="0.2"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</row>
    <row r="45" spans="1:13" x14ac:dyDescent="0.2">
      <c r="B45" s="35"/>
      <c r="C45" s="35"/>
      <c r="D45" s="35"/>
      <c r="E45" s="35"/>
      <c r="F45" s="35"/>
    </row>
  </sheetData>
  <mergeCells count="27">
    <mergeCell ref="A21:B21"/>
    <mergeCell ref="B42:M44"/>
    <mergeCell ref="A30:K30"/>
    <mergeCell ref="L26:L27"/>
    <mergeCell ref="A23:K23"/>
    <mergeCell ref="A24:K24"/>
    <mergeCell ref="A26:H27"/>
    <mergeCell ref="A29:K29"/>
    <mergeCell ref="D21:J21"/>
    <mergeCell ref="B34:M35"/>
    <mergeCell ref="B37:M37"/>
    <mergeCell ref="B39:M40"/>
    <mergeCell ref="A22:K22"/>
    <mergeCell ref="A1:G1"/>
    <mergeCell ref="H1:M1"/>
    <mergeCell ref="A3:M3"/>
    <mergeCell ref="A4:M4"/>
    <mergeCell ref="A5:A6"/>
    <mergeCell ref="B5:B6"/>
    <mergeCell ref="C5:C6"/>
    <mergeCell ref="D5:D6"/>
    <mergeCell ref="E5:E6"/>
    <mergeCell ref="F5:F6"/>
    <mergeCell ref="I5:I6"/>
    <mergeCell ref="J5:J6"/>
    <mergeCell ref="K5:K6"/>
    <mergeCell ref="L5:L6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O23"/>
  <sheetViews>
    <sheetView showGridLines="0" tabSelected="1" zoomScaleNormal="100" workbookViewId="0">
      <selection activeCell="F14" sqref="F14"/>
    </sheetView>
  </sheetViews>
  <sheetFormatPr defaultRowHeight="15" x14ac:dyDescent="0.25"/>
  <cols>
    <col min="1" max="1" width="9.140625" style="25"/>
    <col min="2" max="2" width="56" style="27" customWidth="1"/>
    <col min="3" max="3" width="13.7109375" style="28" customWidth="1"/>
    <col min="4" max="4" width="9.7109375" style="28" customWidth="1"/>
    <col min="5" max="6" width="17.140625" style="25" customWidth="1"/>
    <col min="7" max="7" width="16.85546875" style="25" bestFit="1" customWidth="1"/>
    <col min="8" max="8" width="17.85546875" style="25" bestFit="1" customWidth="1"/>
    <col min="9" max="10" width="9.140625" style="25"/>
    <col min="11" max="11" width="15.85546875" style="25" customWidth="1"/>
    <col min="12" max="12" width="8.85546875" style="25" bestFit="1" customWidth="1"/>
    <col min="13" max="13" width="15.140625" style="25" bestFit="1" customWidth="1"/>
    <col min="14" max="14" width="12.7109375" style="25" bestFit="1" customWidth="1"/>
    <col min="15" max="16384" width="9.140625" style="25"/>
  </cols>
  <sheetData>
    <row r="1" spans="1:15" ht="42" customHeight="1" x14ac:dyDescent="0.25">
      <c r="A1" s="314" t="s">
        <v>162</v>
      </c>
      <c r="B1" s="314"/>
      <c r="C1" s="314"/>
      <c r="D1" s="314"/>
      <c r="E1" s="314"/>
      <c r="F1" s="314"/>
    </row>
    <row r="2" spans="1:15" ht="18.75" x14ac:dyDescent="0.25">
      <c r="A2" s="315" t="s">
        <v>145</v>
      </c>
      <c r="B2" s="315"/>
      <c r="C2" s="315"/>
      <c r="D2" s="315"/>
      <c r="E2" s="315"/>
      <c r="F2" s="315"/>
    </row>
    <row r="3" spans="1:15" ht="51" customHeight="1" x14ac:dyDescent="0.25">
      <c r="A3" s="93" t="s">
        <v>59</v>
      </c>
      <c r="B3" s="316" t="s">
        <v>195</v>
      </c>
      <c r="C3" s="316"/>
      <c r="D3" s="316"/>
      <c r="E3" s="316"/>
      <c r="F3" s="316"/>
    </row>
    <row r="4" spans="1:15" ht="30" x14ac:dyDescent="0.25">
      <c r="A4" s="92" t="s">
        <v>139</v>
      </c>
      <c r="B4" s="92" t="s">
        <v>67</v>
      </c>
      <c r="C4" s="112" t="s">
        <v>164</v>
      </c>
      <c r="D4" s="112" t="s">
        <v>163</v>
      </c>
      <c r="E4" s="26" t="s">
        <v>79</v>
      </c>
      <c r="F4" s="26" t="s">
        <v>80</v>
      </c>
      <c r="K4" s="200" t="s">
        <v>381</v>
      </c>
      <c r="L4" s="308" t="s">
        <v>382</v>
      </c>
      <c r="M4" s="309"/>
    </row>
    <row r="5" spans="1:15" x14ac:dyDescent="0.25">
      <c r="A5" s="29" t="s">
        <v>68</v>
      </c>
      <c r="B5" s="85" t="s">
        <v>165</v>
      </c>
      <c r="C5" s="83">
        <f ca="1">'ENCARREGADO DE MANUTENÇÃO'!H137</f>
        <v>9656.1662592424309</v>
      </c>
      <c r="D5" s="114">
        <f>'ENCARREGADO DE MANUTENÇÃO'!C37</f>
        <v>2</v>
      </c>
      <c r="E5" s="83">
        <f ca="1">C5*D5</f>
        <v>19312.332518484862</v>
      </c>
      <c r="F5" s="83">
        <f ca="1">E5*12</f>
        <v>231747.99022181833</v>
      </c>
      <c r="J5" s="202" t="s">
        <v>10</v>
      </c>
      <c r="K5" s="194"/>
      <c r="L5" s="195">
        <f>M5/K11</f>
        <v>-1</v>
      </c>
      <c r="M5" s="194">
        <f>K5-K11</f>
        <v>-3860734.0500402041</v>
      </c>
      <c r="N5" s="194">
        <f>M5-M7</f>
        <v>0</v>
      </c>
      <c r="O5" s="25" t="s">
        <v>385</v>
      </c>
    </row>
    <row r="6" spans="1:15" x14ac:dyDescent="0.25">
      <c r="A6" s="29" t="s">
        <v>69</v>
      </c>
      <c r="B6" s="85" t="s">
        <v>166</v>
      </c>
      <c r="C6" s="82">
        <f ca="1">Servente!H137</f>
        <v>4483.5576308582367</v>
      </c>
      <c r="D6" s="115">
        <f>Servente!C37</f>
        <v>27</v>
      </c>
      <c r="E6" s="83">
        <f t="shared" ref="E6:E12" ca="1" si="0">C6*D6</f>
        <v>121056.0560331724</v>
      </c>
      <c r="F6" s="83">
        <f t="shared" ref="F6:F12" ca="1" si="1">E6*12</f>
        <v>1452672.6723980687</v>
      </c>
      <c r="J6" s="202"/>
      <c r="K6" s="196"/>
      <c r="L6" s="197"/>
      <c r="M6" s="198"/>
    </row>
    <row r="7" spans="1:15" x14ac:dyDescent="0.25">
      <c r="A7" s="29" t="s">
        <v>70</v>
      </c>
      <c r="B7" s="85" t="s">
        <v>167</v>
      </c>
      <c r="C7" s="82">
        <f ca="1">Mensageiro!H137</f>
        <v>4499.4981796851007</v>
      </c>
      <c r="D7" s="115">
        <f>Mensageiro!C37</f>
        <v>1</v>
      </c>
      <c r="E7" s="83">
        <f t="shared" ca="1" si="0"/>
        <v>4499.4981796851007</v>
      </c>
      <c r="F7" s="83">
        <f t="shared" ca="1" si="1"/>
        <v>53993.978156221208</v>
      </c>
      <c r="J7" s="202" t="s">
        <v>12</v>
      </c>
      <c r="K7" s="194"/>
      <c r="L7" s="195">
        <f>M7/K11</f>
        <v>-1</v>
      </c>
      <c r="M7" s="194">
        <f>K7-K11</f>
        <v>-3860734.0500402041</v>
      </c>
      <c r="N7" s="194">
        <f>M7-M9</f>
        <v>-4167819.019654274</v>
      </c>
      <c r="O7" s="25" t="s">
        <v>386</v>
      </c>
    </row>
    <row r="8" spans="1:15" x14ac:dyDescent="0.25">
      <c r="A8" s="29" t="s">
        <v>71</v>
      </c>
      <c r="B8" s="85" t="s">
        <v>168</v>
      </c>
      <c r="C8" s="82">
        <f ca="1">Operador!H137</f>
        <v>4499.4981796851007</v>
      </c>
      <c r="D8" s="115">
        <f>Operador!C37</f>
        <v>1</v>
      </c>
      <c r="E8" s="83">
        <f t="shared" ca="1" si="0"/>
        <v>4499.4981796851007</v>
      </c>
      <c r="F8" s="83">
        <f t="shared" ca="1" si="1"/>
        <v>53993.978156221208</v>
      </c>
      <c r="J8" s="202"/>
      <c r="K8" s="196"/>
      <c r="L8" s="197"/>
      <c r="M8" s="198"/>
    </row>
    <row r="9" spans="1:15" x14ac:dyDescent="0.25">
      <c r="A9" s="29" t="s">
        <v>72</v>
      </c>
      <c r="B9" s="85" t="s">
        <v>169</v>
      </c>
      <c r="C9" s="82">
        <f ca="1">Garçom!H137</f>
        <v>7049.900727008433</v>
      </c>
      <c r="D9" s="115">
        <f>Garçom!C37</f>
        <v>3</v>
      </c>
      <c r="E9" s="83">
        <f t="shared" ca="1" si="0"/>
        <v>21149.702181025299</v>
      </c>
      <c r="F9" s="83">
        <f t="shared" ca="1" si="1"/>
        <v>253796.42617230359</v>
      </c>
      <c r="J9" s="202" t="s">
        <v>13</v>
      </c>
      <c r="K9" s="194">
        <v>4167819.019654274</v>
      </c>
      <c r="L9" s="195">
        <f>M9/K11</f>
        <v>7.9540565507451116E-2</v>
      </c>
      <c r="M9" s="194">
        <f>K9-K11</f>
        <v>307084.96961406991</v>
      </c>
    </row>
    <row r="10" spans="1:15" x14ac:dyDescent="0.25">
      <c r="A10" s="29" t="s">
        <v>73</v>
      </c>
      <c r="B10" s="85" t="s">
        <v>170</v>
      </c>
      <c r="C10" s="82">
        <f ca="1">Copeira!H137</f>
        <v>5450.2508054321788</v>
      </c>
      <c r="D10" s="115">
        <f>Copeira!C37</f>
        <v>3</v>
      </c>
      <c r="E10" s="83">
        <f t="shared" ca="1" si="0"/>
        <v>16350.752416296536</v>
      </c>
      <c r="F10" s="83">
        <f t="shared" ca="1" si="1"/>
        <v>196209.02899555844</v>
      </c>
      <c r="K10" s="196"/>
      <c r="L10" s="199"/>
      <c r="M10" s="153"/>
    </row>
    <row r="11" spans="1:15" x14ac:dyDescent="0.25">
      <c r="A11" s="29" t="s">
        <v>74</v>
      </c>
      <c r="B11" s="85" t="s">
        <v>171</v>
      </c>
      <c r="C11" s="82">
        <f ca="1">Recepcionista!H137</f>
        <v>7019.8392311692569</v>
      </c>
      <c r="D11" s="115">
        <f>19-D13</f>
        <v>12</v>
      </c>
      <c r="E11" s="83">
        <f t="shared" ca="1" si="0"/>
        <v>84238.070774031075</v>
      </c>
      <c r="F11" s="83">
        <f t="shared" ca="1" si="1"/>
        <v>1010856.8492883729</v>
      </c>
      <c r="H11" s="25" t="s">
        <v>384</v>
      </c>
      <c r="K11" s="194">
        <v>3860734.0500402041</v>
      </c>
      <c r="L11" s="310" t="s">
        <v>383</v>
      </c>
      <c r="M11" s="311"/>
    </row>
    <row r="12" spans="1:15" x14ac:dyDescent="0.25">
      <c r="A12" s="29" t="s">
        <v>75</v>
      </c>
      <c r="B12" s="85" t="s">
        <v>172</v>
      </c>
      <c r="C12" s="82">
        <f ca="1">Jauzeiro!H137</f>
        <v>6200.1700535636774</v>
      </c>
      <c r="D12" s="115">
        <f>Jauzeiro!C38</f>
        <v>2</v>
      </c>
      <c r="E12" s="83">
        <f t="shared" ca="1" si="0"/>
        <v>12400.340107127355</v>
      </c>
      <c r="F12" s="83">
        <f t="shared" ca="1" si="1"/>
        <v>148804.08128552826</v>
      </c>
      <c r="K12" s="196"/>
      <c r="L12" s="199"/>
      <c r="M12" s="153"/>
    </row>
    <row r="13" spans="1:15" x14ac:dyDescent="0.25">
      <c r="A13" s="29" t="s">
        <v>217</v>
      </c>
      <c r="B13" s="85" t="s">
        <v>252</v>
      </c>
      <c r="C13" s="135">
        <f ca="1">'Tec Secretariado'!H137</f>
        <v>9158.640193639405</v>
      </c>
      <c r="D13" s="136">
        <v>7</v>
      </c>
      <c r="E13" s="83">
        <f ca="1">C13*D13</f>
        <v>64110.481355475837</v>
      </c>
      <c r="F13" s="83">
        <f ca="1">E13*12</f>
        <v>769325.77626571001</v>
      </c>
      <c r="H13" s="25" t="s">
        <v>253</v>
      </c>
      <c r="J13" s="201"/>
      <c r="K13" s="194">
        <v>3672205.56</v>
      </c>
      <c r="L13" s="195">
        <f>M13/K11</f>
        <v>-4.8832291371699317E-2</v>
      </c>
      <c r="M13" s="194">
        <f>K13-K11</f>
        <v>-188528.49004020402</v>
      </c>
    </row>
    <row r="14" spans="1:15" x14ac:dyDescent="0.25">
      <c r="A14" s="313" t="s">
        <v>137</v>
      </c>
      <c r="B14" s="313"/>
      <c r="C14" s="84">
        <f ca="1">SUM(C5:C12)</f>
        <v>48858.881066644419</v>
      </c>
      <c r="D14" s="113">
        <f>SUM(D5:D13)</f>
        <v>58</v>
      </c>
      <c r="E14" s="84">
        <f ca="1">SUM(E5:E13)</f>
        <v>347616.73174498358</v>
      </c>
      <c r="F14" s="84">
        <f ca="1">SUM(F5:F13)</f>
        <v>4171400.7809398025</v>
      </c>
      <c r="G14" s="28"/>
    </row>
    <row r="15" spans="1:15" x14ac:dyDescent="0.25">
      <c r="E15" s="1"/>
      <c r="F15" s="153"/>
      <c r="G15" s="28"/>
    </row>
    <row r="16" spans="1:15" x14ac:dyDescent="0.25">
      <c r="A16" s="317" t="s">
        <v>140</v>
      </c>
      <c r="B16" s="317"/>
      <c r="C16" s="317"/>
      <c r="D16" s="317"/>
      <c r="E16" s="317"/>
      <c r="F16" s="317"/>
    </row>
    <row r="17" spans="1:8" x14ac:dyDescent="0.25">
      <c r="A17" s="312"/>
      <c r="B17" s="312"/>
      <c r="C17" s="312"/>
      <c r="D17" s="312"/>
      <c r="E17" s="312"/>
      <c r="F17" s="312"/>
    </row>
    <row r="18" spans="1:8" x14ac:dyDescent="0.25">
      <c r="A18"/>
      <c r="E18" s="110"/>
      <c r="H18" s="318"/>
    </row>
    <row r="19" spans="1:8" x14ac:dyDescent="0.25">
      <c r="E19" s="134">
        <f ca="1">E14*2</f>
        <v>695233.46348996717</v>
      </c>
    </row>
    <row r="20" spans="1:8" x14ac:dyDescent="0.25">
      <c r="E20" s="28">
        <f ca="1">E14*10</f>
        <v>3476167.3174498361</v>
      </c>
      <c r="F20" s="28">
        <f ca="1">F14*5</f>
        <v>20857003.904699013</v>
      </c>
      <c r="G20" s="28"/>
    </row>
    <row r="21" spans="1:8" x14ac:dyDescent="0.25">
      <c r="G21" s="28"/>
    </row>
    <row r="22" spans="1:8" x14ac:dyDescent="0.25">
      <c r="G22" s="28"/>
    </row>
    <row r="23" spans="1:8" x14ac:dyDescent="0.25">
      <c r="G23" s="28"/>
    </row>
  </sheetData>
  <sortState ref="B2:D14">
    <sortCondition ref="B6:B12"/>
  </sortState>
  <mergeCells count="8">
    <mergeCell ref="L4:M4"/>
    <mergeCell ref="L11:M11"/>
    <mergeCell ref="A17:F17"/>
    <mergeCell ref="A14:B14"/>
    <mergeCell ref="A1:F1"/>
    <mergeCell ref="A2:F2"/>
    <mergeCell ref="B3:F3"/>
    <mergeCell ref="A16:F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4" name="Option Button 4">
              <controlPr defaultSize="0" autoFill="0" autoLine="0" autoPict="0" altText="">
                <anchor moveWithCells="1">
                  <from>
                    <xdr:col>7</xdr:col>
                    <xdr:colOff>152400</xdr:colOff>
                    <xdr:row>4</xdr:row>
                    <xdr:rowOff>57150</xdr:rowOff>
                  </from>
                  <to>
                    <xdr:col>8</xdr:col>
                    <xdr:colOff>485775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5" name="Option Button 5">
              <controlPr defaultSize="0" autoFill="0" autoLine="0" autoPict="0" altText="">
                <anchor moveWithCells="1">
                  <from>
                    <xdr:col>7</xdr:col>
                    <xdr:colOff>152400</xdr:colOff>
                    <xdr:row>6</xdr:row>
                    <xdr:rowOff>57150</xdr:rowOff>
                  </from>
                  <to>
                    <xdr:col>8</xdr:col>
                    <xdr:colOff>38100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6" name="Option Button 6">
              <controlPr defaultSize="0" autoFill="0" autoLine="0" autoPict="0" altText="">
                <anchor moveWithCells="1">
                  <from>
                    <xdr:col>7</xdr:col>
                    <xdr:colOff>152400</xdr:colOff>
                    <xdr:row>8</xdr:row>
                    <xdr:rowOff>57150</xdr:rowOff>
                  </from>
                  <to>
                    <xdr:col>8</xdr:col>
                    <xdr:colOff>38100</xdr:colOff>
                    <xdr:row>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56"/>
  <sheetViews>
    <sheetView showGridLines="0" zoomScaleNormal="100" zoomScaleSheetLayoutView="85" workbookViewId="0">
      <selection activeCell="A3" sqref="A3"/>
    </sheetView>
  </sheetViews>
  <sheetFormatPr defaultColWidth="9" defaultRowHeight="12.75" x14ac:dyDescent="0.25"/>
  <cols>
    <col min="1" max="1" width="55.7109375" style="1" customWidth="1"/>
    <col min="2" max="2" width="8.85546875" style="2" bestFit="1" customWidth="1"/>
    <col min="3" max="3" width="8.7109375" style="2" bestFit="1" customWidth="1"/>
    <col min="4" max="4" width="9.140625" style="3" customWidth="1"/>
    <col min="5" max="5" width="11.28515625" style="3" customWidth="1"/>
    <col min="6" max="16384" width="9" style="1"/>
  </cols>
  <sheetData>
    <row r="1" spans="1:5" ht="19.899999999999999" customHeight="1" x14ac:dyDescent="0.25">
      <c r="A1" s="214" t="s">
        <v>146</v>
      </c>
      <c r="B1" s="214"/>
      <c r="C1" s="214"/>
      <c r="D1" s="214"/>
      <c r="E1" s="214"/>
    </row>
    <row r="2" spans="1:5" ht="28.15" customHeight="1" x14ac:dyDescent="0.25">
      <c r="A2" s="213" t="s">
        <v>391</v>
      </c>
      <c r="B2" s="213"/>
      <c r="C2" s="213"/>
      <c r="D2" s="213"/>
      <c r="E2" s="213"/>
    </row>
    <row r="3" spans="1:5" ht="25.5" x14ac:dyDescent="0.25">
      <c r="A3" s="98" t="s">
        <v>147</v>
      </c>
      <c r="B3" s="98" t="s">
        <v>197</v>
      </c>
      <c r="C3" s="98" t="s">
        <v>198</v>
      </c>
      <c r="D3" s="98" t="s">
        <v>24</v>
      </c>
      <c r="E3" s="98" t="s">
        <v>199</v>
      </c>
    </row>
    <row r="4" spans="1:5" ht="63.75" x14ac:dyDescent="0.25">
      <c r="A4" s="99" t="s">
        <v>201</v>
      </c>
      <c r="B4" s="96">
        <v>2</v>
      </c>
      <c r="C4" s="96">
        <f t="shared" ref="C4:C9" si="0">2*B4</f>
        <v>4</v>
      </c>
      <c r="D4" s="100">
        <v>100</v>
      </c>
      <c r="E4" s="100">
        <f t="shared" ref="E4:E9" si="1">C4*D4</f>
        <v>400</v>
      </c>
    </row>
    <row r="5" spans="1:5" ht="25.5" x14ac:dyDescent="0.25">
      <c r="A5" s="99" t="s">
        <v>202</v>
      </c>
      <c r="B5" s="96">
        <v>4</v>
      </c>
      <c r="C5" s="96">
        <f t="shared" si="0"/>
        <v>8</v>
      </c>
      <c r="D5" s="100">
        <v>30</v>
      </c>
      <c r="E5" s="100">
        <f t="shared" si="1"/>
        <v>240</v>
      </c>
    </row>
    <row r="6" spans="1:5" x14ac:dyDescent="0.25">
      <c r="A6" s="99" t="s">
        <v>203</v>
      </c>
      <c r="B6" s="96">
        <v>1</v>
      </c>
      <c r="C6" s="96">
        <f t="shared" si="0"/>
        <v>2</v>
      </c>
      <c r="D6" s="100">
        <v>10</v>
      </c>
      <c r="E6" s="100">
        <f t="shared" si="1"/>
        <v>20</v>
      </c>
    </row>
    <row r="7" spans="1:5" x14ac:dyDescent="0.25">
      <c r="A7" s="99" t="s">
        <v>66</v>
      </c>
      <c r="B7" s="96">
        <v>1</v>
      </c>
      <c r="C7" s="96">
        <f t="shared" si="0"/>
        <v>2</v>
      </c>
      <c r="D7" s="100">
        <v>10</v>
      </c>
      <c r="E7" s="100">
        <f t="shared" si="1"/>
        <v>20</v>
      </c>
    </row>
    <row r="8" spans="1:5" x14ac:dyDescent="0.25">
      <c r="A8" s="99" t="s">
        <v>200</v>
      </c>
      <c r="B8" s="96">
        <v>4</v>
      </c>
      <c r="C8" s="96">
        <f t="shared" si="0"/>
        <v>8</v>
      </c>
      <c r="D8" s="100">
        <v>5</v>
      </c>
      <c r="E8" s="100">
        <f>C8*D8</f>
        <v>40</v>
      </c>
    </row>
    <row r="9" spans="1:5" ht="25.5" x14ac:dyDescent="0.25">
      <c r="A9" s="99" t="s">
        <v>204</v>
      </c>
      <c r="B9" s="96">
        <v>2</v>
      </c>
      <c r="C9" s="96">
        <f t="shared" si="0"/>
        <v>4</v>
      </c>
      <c r="D9" s="100">
        <v>45</v>
      </c>
      <c r="E9" s="100">
        <f t="shared" si="1"/>
        <v>180</v>
      </c>
    </row>
    <row r="10" spans="1:5" s="109" customFormat="1" x14ac:dyDescent="0.25">
      <c r="A10" s="213" t="s">
        <v>58</v>
      </c>
      <c r="B10" s="213"/>
      <c r="C10" s="213"/>
      <c r="D10" s="213"/>
      <c r="E10" s="101">
        <f>SUM(E4:E9)</f>
        <v>900</v>
      </c>
    </row>
    <row r="11" spans="1:5" s="109" customFormat="1" x14ac:dyDescent="0.25">
      <c r="A11" s="213" t="s">
        <v>57</v>
      </c>
      <c r="B11" s="213"/>
      <c r="C11" s="213"/>
      <c r="D11" s="213"/>
      <c r="E11" s="101">
        <f>E10/12</f>
        <v>75</v>
      </c>
    </row>
    <row r="12" spans="1:5" x14ac:dyDescent="0.25">
      <c r="A12" s="116"/>
      <c r="B12" s="116"/>
      <c r="C12" s="116"/>
      <c r="D12" s="116"/>
      <c r="E12" s="116"/>
    </row>
    <row r="13" spans="1:5" ht="25.5" customHeight="1" x14ac:dyDescent="0.25">
      <c r="A13" s="213" t="s">
        <v>173</v>
      </c>
      <c r="B13" s="213"/>
      <c r="C13" s="213"/>
      <c r="D13" s="213"/>
      <c r="E13" s="213"/>
    </row>
    <row r="14" spans="1:5" ht="25.5" customHeight="1" x14ac:dyDescent="0.25">
      <c r="A14" s="98" t="s">
        <v>147</v>
      </c>
      <c r="B14" s="98" t="s">
        <v>197</v>
      </c>
      <c r="C14" s="98" t="s">
        <v>198</v>
      </c>
      <c r="D14" s="98" t="s">
        <v>24</v>
      </c>
      <c r="E14" s="98" t="s">
        <v>30</v>
      </c>
    </row>
    <row r="15" spans="1:5" ht="38.25" x14ac:dyDescent="0.25">
      <c r="A15" s="102" t="s">
        <v>196</v>
      </c>
      <c r="B15" s="94">
        <v>2</v>
      </c>
      <c r="C15" s="94">
        <f>B15*2</f>
        <v>4</v>
      </c>
      <c r="D15" s="95">
        <v>40</v>
      </c>
      <c r="E15" s="95">
        <f>C15*D15</f>
        <v>160</v>
      </c>
    </row>
    <row r="16" spans="1:5" x14ac:dyDescent="0.25">
      <c r="A16" s="102" t="s">
        <v>174</v>
      </c>
      <c r="B16" s="94">
        <v>4</v>
      </c>
      <c r="C16" s="94">
        <f>B16*2</f>
        <v>8</v>
      </c>
      <c r="D16" s="95">
        <v>20</v>
      </c>
      <c r="E16" s="95">
        <f>C16*D16</f>
        <v>160</v>
      </c>
    </row>
    <row r="17" spans="1:5" ht="76.5" x14ac:dyDescent="0.25">
      <c r="A17" s="102" t="s">
        <v>176</v>
      </c>
      <c r="B17" s="94">
        <v>2</v>
      </c>
      <c r="C17" s="94">
        <f>B17*2</f>
        <v>4</v>
      </c>
      <c r="D17" s="95">
        <v>30</v>
      </c>
      <c r="E17" s="95">
        <f>C17*D17</f>
        <v>120</v>
      </c>
    </row>
    <row r="18" spans="1:5" ht="18" customHeight="1" x14ac:dyDescent="0.25">
      <c r="A18" s="102" t="s">
        <v>65</v>
      </c>
      <c r="B18" s="94">
        <v>4</v>
      </c>
      <c r="C18" s="94">
        <f>B18*2</f>
        <v>8</v>
      </c>
      <c r="D18" s="95">
        <v>5</v>
      </c>
      <c r="E18" s="95">
        <f>C18*D18</f>
        <v>40</v>
      </c>
    </row>
    <row r="19" spans="1:5" x14ac:dyDescent="0.25">
      <c r="A19" s="213" t="s">
        <v>58</v>
      </c>
      <c r="B19" s="213"/>
      <c r="C19" s="213"/>
      <c r="D19" s="213"/>
      <c r="E19" s="101">
        <f>SUM(E15:E18)</f>
        <v>480</v>
      </c>
    </row>
    <row r="20" spans="1:5" x14ac:dyDescent="0.25">
      <c r="A20" s="215" t="s">
        <v>57</v>
      </c>
      <c r="B20" s="215"/>
      <c r="C20" s="215"/>
      <c r="D20" s="215"/>
      <c r="E20" s="126">
        <f>E19/12</f>
        <v>40</v>
      </c>
    </row>
    <row r="21" spans="1:5" x14ac:dyDescent="0.25">
      <c r="A21" s="127"/>
      <c r="B21" s="127"/>
      <c r="C21" s="127"/>
      <c r="D21" s="127"/>
      <c r="E21" s="127"/>
    </row>
    <row r="22" spans="1:5" ht="25.5" customHeight="1" x14ac:dyDescent="0.25">
      <c r="A22" s="216" t="s">
        <v>207</v>
      </c>
      <c r="B22" s="216"/>
      <c r="C22" s="216"/>
      <c r="D22" s="216"/>
      <c r="E22" s="216"/>
    </row>
    <row r="23" spans="1:5" ht="25.5" customHeight="1" x14ac:dyDescent="0.25">
      <c r="A23" s="98" t="s">
        <v>147</v>
      </c>
      <c r="B23" s="98" t="s">
        <v>197</v>
      </c>
      <c r="C23" s="98" t="s">
        <v>198</v>
      </c>
      <c r="D23" s="98" t="s">
        <v>24</v>
      </c>
      <c r="E23" s="98" t="s">
        <v>30</v>
      </c>
    </row>
    <row r="24" spans="1:5" ht="38.25" x14ac:dyDescent="0.25">
      <c r="A24" s="102" t="s">
        <v>196</v>
      </c>
      <c r="B24" s="94">
        <v>2</v>
      </c>
      <c r="C24" s="94">
        <f t="shared" ref="C24:C29" si="2">B24*2</f>
        <v>4</v>
      </c>
      <c r="D24" s="95">
        <v>40</v>
      </c>
      <c r="E24" s="95">
        <f t="shared" ref="E24:E29" si="3">C24*D24</f>
        <v>160</v>
      </c>
    </row>
    <row r="25" spans="1:5" x14ac:dyDescent="0.25">
      <c r="A25" s="102" t="s">
        <v>174</v>
      </c>
      <c r="B25" s="94">
        <v>2</v>
      </c>
      <c r="C25" s="94">
        <f t="shared" si="2"/>
        <v>4</v>
      </c>
      <c r="D25" s="95">
        <v>20</v>
      </c>
      <c r="E25" s="95">
        <f t="shared" si="3"/>
        <v>80</v>
      </c>
    </row>
    <row r="26" spans="1:5" x14ac:dyDescent="0.25">
      <c r="A26" s="102" t="s">
        <v>175</v>
      </c>
      <c r="B26" s="94">
        <v>2</v>
      </c>
      <c r="C26" s="94">
        <f t="shared" si="2"/>
        <v>4</v>
      </c>
      <c r="D26" s="95">
        <v>25</v>
      </c>
      <c r="E26" s="95">
        <f t="shared" si="3"/>
        <v>100</v>
      </c>
    </row>
    <row r="27" spans="1:5" ht="76.5" x14ac:dyDescent="0.25">
      <c r="A27" s="102" t="s">
        <v>176</v>
      </c>
      <c r="B27" s="94">
        <v>2</v>
      </c>
      <c r="C27" s="94">
        <f t="shared" si="2"/>
        <v>4</v>
      </c>
      <c r="D27" s="95">
        <v>30</v>
      </c>
      <c r="E27" s="95">
        <f t="shared" si="3"/>
        <v>120</v>
      </c>
    </row>
    <row r="28" spans="1:5" ht="18" customHeight="1" x14ac:dyDescent="0.25">
      <c r="A28" s="102" t="s">
        <v>65</v>
      </c>
      <c r="B28" s="94">
        <v>4</v>
      </c>
      <c r="C28" s="94">
        <f t="shared" si="2"/>
        <v>8</v>
      </c>
      <c r="D28" s="95">
        <v>5</v>
      </c>
      <c r="E28" s="95">
        <f t="shared" si="3"/>
        <v>40</v>
      </c>
    </row>
    <row r="29" spans="1:5" ht="25.5" x14ac:dyDescent="0.25">
      <c r="A29" s="102" t="s">
        <v>56</v>
      </c>
      <c r="B29" s="94">
        <v>1</v>
      </c>
      <c r="C29" s="94">
        <f t="shared" si="2"/>
        <v>2</v>
      </c>
      <c r="D29" s="95">
        <v>15</v>
      </c>
      <c r="E29" s="95">
        <f t="shared" si="3"/>
        <v>30</v>
      </c>
    </row>
    <row r="30" spans="1:5" x14ac:dyDescent="0.25">
      <c r="A30" s="213" t="s">
        <v>58</v>
      </c>
      <c r="B30" s="213"/>
      <c r="C30" s="213"/>
      <c r="D30" s="213"/>
      <c r="E30" s="101">
        <f>SUM(E24:E29)</f>
        <v>530</v>
      </c>
    </row>
    <row r="31" spans="1:5" x14ac:dyDescent="0.25">
      <c r="A31" s="213" t="s">
        <v>57</v>
      </c>
      <c r="B31" s="213"/>
      <c r="C31" s="213"/>
      <c r="D31" s="213"/>
      <c r="E31" s="101">
        <f>E30/12</f>
        <v>44.166666666666664</v>
      </c>
    </row>
    <row r="32" spans="1:5" x14ac:dyDescent="0.25">
      <c r="A32" s="217"/>
      <c r="B32" s="217"/>
      <c r="C32" s="217"/>
      <c r="D32" s="217"/>
      <c r="E32" s="217"/>
    </row>
    <row r="33" spans="1:5" x14ac:dyDescent="0.25">
      <c r="A33" s="213" t="s">
        <v>159</v>
      </c>
      <c r="B33" s="213"/>
      <c r="C33" s="213"/>
      <c r="D33" s="213"/>
      <c r="E33" s="213"/>
    </row>
    <row r="34" spans="1:5" ht="25.5" x14ac:dyDescent="0.25">
      <c r="A34" s="98" t="s">
        <v>147</v>
      </c>
      <c r="B34" s="98" t="s">
        <v>197</v>
      </c>
      <c r="C34" s="98" t="s">
        <v>198</v>
      </c>
      <c r="D34" s="98" t="s">
        <v>24</v>
      </c>
      <c r="E34" s="98" t="s">
        <v>199</v>
      </c>
    </row>
    <row r="35" spans="1:5" ht="63.75" x14ac:dyDescent="0.25">
      <c r="A35" s="99" t="s">
        <v>201</v>
      </c>
      <c r="B35" s="96">
        <v>2</v>
      </c>
      <c r="C35" s="96">
        <f t="shared" ref="C35:C40" si="4">2*B35</f>
        <v>4</v>
      </c>
      <c r="D35" s="100">
        <v>100</v>
      </c>
      <c r="E35" s="100">
        <f t="shared" ref="E35:E40" si="5">C35*D35</f>
        <v>400</v>
      </c>
    </row>
    <row r="36" spans="1:5" ht="25.5" x14ac:dyDescent="0.25">
      <c r="A36" s="99" t="s">
        <v>205</v>
      </c>
      <c r="B36" s="96">
        <v>4</v>
      </c>
      <c r="C36" s="96">
        <f t="shared" si="4"/>
        <v>8</v>
      </c>
      <c r="D36" s="100">
        <v>30</v>
      </c>
      <c r="E36" s="100">
        <f t="shared" si="5"/>
        <v>240</v>
      </c>
    </row>
    <row r="37" spans="1:5" x14ac:dyDescent="0.25">
      <c r="A37" s="99" t="s">
        <v>206</v>
      </c>
      <c r="B37" s="96">
        <v>1</v>
      </c>
      <c r="C37" s="96">
        <f t="shared" si="4"/>
        <v>2</v>
      </c>
      <c r="D37" s="100">
        <v>10</v>
      </c>
      <c r="E37" s="100">
        <f t="shared" si="5"/>
        <v>20</v>
      </c>
    </row>
    <row r="38" spans="1:5" x14ac:dyDescent="0.25">
      <c r="A38" s="99" t="s">
        <v>66</v>
      </c>
      <c r="B38" s="96">
        <v>1</v>
      </c>
      <c r="C38" s="96">
        <f t="shared" si="4"/>
        <v>2</v>
      </c>
      <c r="D38" s="100">
        <v>10</v>
      </c>
      <c r="E38" s="100">
        <f t="shared" si="5"/>
        <v>20</v>
      </c>
    </row>
    <row r="39" spans="1:5" x14ac:dyDescent="0.25">
      <c r="A39" s="99" t="s">
        <v>200</v>
      </c>
      <c r="B39" s="96">
        <v>4</v>
      </c>
      <c r="C39" s="96">
        <f t="shared" si="4"/>
        <v>8</v>
      </c>
      <c r="D39" s="100">
        <v>5</v>
      </c>
      <c r="E39" s="100">
        <f t="shared" si="5"/>
        <v>40</v>
      </c>
    </row>
    <row r="40" spans="1:5" ht="25.5" x14ac:dyDescent="0.25">
      <c r="A40" s="99" t="s">
        <v>204</v>
      </c>
      <c r="B40" s="96">
        <v>1</v>
      </c>
      <c r="C40" s="96">
        <f t="shared" si="4"/>
        <v>2</v>
      </c>
      <c r="D40" s="100">
        <v>45</v>
      </c>
      <c r="E40" s="100">
        <f t="shared" si="5"/>
        <v>90</v>
      </c>
    </row>
    <row r="41" spans="1:5" x14ac:dyDescent="0.25">
      <c r="A41" s="213" t="s">
        <v>58</v>
      </c>
      <c r="B41" s="213"/>
      <c r="C41" s="213"/>
      <c r="D41" s="213"/>
      <c r="E41" s="101">
        <f>SUM(E35:E40)</f>
        <v>810</v>
      </c>
    </row>
    <row r="42" spans="1:5" x14ac:dyDescent="0.25">
      <c r="A42" s="213" t="s">
        <v>57</v>
      </c>
      <c r="B42" s="213"/>
      <c r="C42" s="213"/>
      <c r="D42" s="213"/>
      <c r="E42" s="101">
        <f>E41/12</f>
        <v>67.5</v>
      </c>
    </row>
    <row r="43" spans="1:5" x14ac:dyDescent="0.25">
      <c r="A43" s="109"/>
      <c r="B43" s="109"/>
      <c r="C43" s="116"/>
      <c r="D43" s="109"/>
      <c r="E43" s="109"/>
    </row>
    <row r="44" spans="1:5" x14ac:dyDescent="0.25">
      <c r="A44" s="213" t="s">
        <v>158</v>
      </c>
      <c r="B44" s="213"/>
      <c r="C44" s="213"/>
      <c r="D44" s="213"/>
      <c r="E44" s="213"/>
    </row>
    <row r="45" spans="1:5" ht="25.5" x14ac:dyDescent="0.25">
      <c r="A45" s="98" t="s">
        <v>147</v>
      </c>
      <c r="B45" s="98" t="s">
        <v>197</v>
      </c>
      <c r="C45" s="98" t="s">
        <v>198</v>
      </c>
      <c r="D45" s="98" t="s">
        <v>24</v>
      </c>
      <c r="E45" s="98" t="s">
        <v>199</v>
      </c>
    </row>
    <row r="46" spans="1:5" ht="25.5" x14ac:dyDescent="0.25">
      <c r="A46" s="99" t="s">
        <v>208</v>
      </c>
      <c r="B46" s="96">
        <v>2</v>
      </c>
      <c r="C46" s="96">
        <f t="shared" ref="C46:C53" si="6">2*B46</f>
        <v>4</v>
      </c>
      <c r="D46" s="100">
        <v>65</v>
      </c>
      <c r="E46" s="100">
        <f t="shared" ref="E46:E53" si="7">C46*D46</f>
        <v>260</v>
      </c>
    </row>
    <row r="47" spans="1:5" ht="38.25" x14ac:dyDescent="0.25">
      <c r="A47" s="99" t="s">
        <v>209</v>
      </c>
      <c r="B47" s="96">
        <v>4</v>
      </c>
      <c r="C47" s="96">
        <f t="shared" si="6"/>
        <v>8</v>
      </c>
      <c r="D47" s="100">
        <v>30</v>
      </c>
      <c r="E47" s="100">
        <f t="shared" si="7"/>
        <v>240</v>
      </c>
    </row>
    <row r="48" spans="1:5" x14ac:dyDescent="0.25">
      <c r="A48" s="99" t="s">
        <v>210</v>
      </c>
      <c r="B48" s="96">
        <v>1</v>
      </c>
      <c r="C48" s="96">
        <f t="shared" si="6"/>
        <v>2</v>
      </c>
      <c r="D48" s="100">
        <v>10</v>
      </c>
      <c r="E48" s="100">
        <f t="shared" si="7"/>
        <v>20</v>
      </c>
    </row>
    <row r="49" spans="1:5" x14ac:dyDescent="0.25">
      <c r="A49" s="99" t="s">
        <v>211</v>
      </c>
      <c r="B49" s="96">
        <v>1</v>
      </c>
      <c r="C49" s="96">
        <f t="shared" si="6"/>
        <v>2</v>
      </c>
      <c r="D49" s="100">
        <v>10</v>
      </c>
      <c r="E49" s="100">
        <f t="shared" si="7"/>
        <v>20</v>
      </c>
    </row>
    <row r="50" spans="1:5" ht="25.5" x14ac:dyDescent="0.25">
      <c r="A50" s="99" t="s">
        <v>212</v>
      </c>
      <c r="B50" s="96">
        <v>4</v>
      </c>
      <c r="C50" s="96">
        <f t="shared" si="6"/>
        <v>8</v>
      </c>
      <c r="D50" s="100">
        <v>5</v>
      </c>
      <c r="E50" s="100">
        <f t="shared" si="7"/>
        <v>40</v>
      </c>
    </row>
    <row r="51" spans="1:5" x14ac:dyDescent="0.25">
      <c r="A51" s="99" t="s">
        <v>66</v>
      </c>
      <c r="B51" s="96">
        <v>1</v>
      </c>
      <c r="C51" s="96">
        <f t="shared" si="6"/>
        <v>2</v>
      </c>
      <c r="D51" s="100">
        <v>10</v>
      </c>
      <c r="E51" s="100">
        <f t="shared" si="7"/>
        <v>20</v>
      </c>
    </row>
    <row r="52" spans="1:5" ht="25.5" x14ac:dyDescent="0.25">
      <c r="A52" s="99" t="s">
        <v>213</v>
      </c>
      <c r="B52" s="96">
        <v>4</v>
      </c>
      <c r="C52" s="96">
        <f t="shared" si="6"/>
        <v>8</v>
      </c>
      <c r="D52" s="100">
        <v>5</v>
      </c>
      <c r="E52" s="100">
        <f t="shared" si="7"/>
        <v>40</v>
      </c>
    </row>
    <row r="53" spans="1:5" ht="25.5" x14ac:dyDescent="0.25">
      <c r="A53" s="99" t="s">
        <v>204</v>
      </c>
      <c r="B53" s="96">
        <v>2</v>
      </c>
      <c r="C53" s="96">
        <f t="shared" si="6"/>
        <v>4</v>
      </c>
      <c r="D53" s="100">
        <v>45</v>
      </c>
      <c r="E53" s="100">
        <f t="shared" si="7"/>
        <v>180</v>
      </c>
    </row>
    <row r="54" spans="1:5" x14ac:dyDescent="0.25">
      <c r="A54" s="213" t="s">
        <v>58</v>
      </c>
      <c r="B54" s="213"/>
      <c r="C54" s="213"/>
      <c r="D54" s="213"/>
      <c r="E54" s="101">
        <f>SUM(E46:E53)</f>
        <v>820</v>
      </c>
    </row>
    <row r="55" spans="1:5" x14ac:dyDescent="0.25">
      <c r="A55" s="213" t="s">
        <v>57</v>
      </c>
      <c r="B55" s="213"/>
      <c r="C55" s="213"/>
      <c r="D55" s="213"/>
      <c r="E55" s="101">
        <f>E54/12</f>
        <v>68.333333333333329</v>
      </c>
    </row>
    <row r="56" spans="1:5" x14ac:dyDescent="0.25">
      <c r="A56" s="109"/>
      <c r="B56" s="109"/>
      <c r="C56" s="116"/>
      <c r="D56" s="109"/>
      <c r="E56" s="109"/>
    </row>
  </sheetData>
  <mergeCells count="17">
    <mergeCell ref="A44:E44"/>
    <mergeCell ref="A54:D54"/>
    <mergeCell ref="A55:D55"/>
    <mergeCell ref="A32:E32"/>
    <mergeCell ref="A33:E33"/>
    <mergeCell ref="A41:D41"/>
    <mergeCell ref="A42:D42"/>
    <mergeCell ref="A30:D30"/>
    <mergeCell ref="A31:D31"/>
    <mergeCell ref="A11:D11"/>
    <mergeCell ref="A1:E1"/>
    <mergeCell ref="A2:E2"/>
    <mergeCell ref="A10:D10"/>
    <mergeCell ref="A13:E13"/>
    <mergeCell ref="A19:D19"/>
    <mergeCell ref="A20:D20"/>
    <mergeCell ref="A22:E22"/>
  </mergeCells>
  <printOptions horizontalCentered="1"/>
  <pageMargins left="0.31496062992125984" right="0.11811023622047245" top="0.78740157480314965" bottom="0.59055118110236227" header="0.31496062992125984" footer="0.31496062992125984"/>
  <pageSetup paperSize="9" scale="90" orientation="portrait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28"/>
  <sheetViews>
    <sheetView showGridLines="0" zoomScaleNormal="100" zoomScaleSheetLayoutView="85" workbookViewId="0">
      <selection activeCell="E67" sqref="E67"/>
    </sheetView>
  </sheetViews>
  <sheetFormatPr defaultColWidth="9" defaultRowHeight="12.75" x14ac:dyDescent="0.25"/>
  <cols>
    <col min="1" max="1" width="55.7109375" style="1" customWidth="1"/>
    <col min="2" max="3" width="9" style="2" customWidth="1"/>
    <col min="4" max="4" width="11.85546875" style="131" customWidth="1"/>
    <col min="5" max="5" width="11.28515625" style="131" customWidth="1"/>
    <col min="6" max="16384" width="9" style="1"/>
  </cols>
  <sheetData>
    <row r="1" spans="1:5" ht="15.75" customHeight="1" x14ac:dyDescent="0.25">
      <c r="A1" s="218" t="s">
        <v>94</v>
      </c>
      <c r="B1" s="218"/>
      <c r="C1" s="218"/>
      <c r="D1" s="218"/>
      <c r="E1" s="218"/>
    </row>
    <row r="2" spans="1:5" x14ac:dyDescent="0.25">
      <c r="A2" s="213" t="s">
        <v>160</v>
      </c>
      <c r="B2" s="213"/>
      <c r="C2" s="213"/>
      <c r="D2" s="213"/>
      <c r="E2" s="213"/>
    </row>
    <row r="3" spans="1:5" ht="25.5" x14ac:dyDescent="0.25">
      <c r="A3" s="98" t="s">
        <v>88</v>
      </c>
      <c r="B3" s="98" t="s">
        <v>197</v>
      </c>
      <c r="C3" s="98" t="s">
        <v>198</v>
      </c>
      <c r="D3" s="98" t="s">
        <v>24</v>
      </c>
      <c r="E3" s="128" t="s">
        <v>199</v>
      </c>
    </row>
    <row r="4" spans="1:5" ht="25.5" x14ac:dyDescent="0.25">
      <c r="A4" s="104" t="s">
        <v>89</v>
      </c>
      <c r="B4" s="96">
        <v>4</v>
      </c>
      <c r="C4" s="96">
        <f>B4*2</f>
        <v>8</v>
      </c>
      <c r="D4" s="105">
        <v>5.18</v>
      </c>
      <c r="E4" s="105">
        <f>C4*D4</f>
        <v>41.44</v>
      </c>
    </row>
    <row r="5" spans="1:5" x14ac:dyDescent="0.25">
      <c r="A5" s="104" t="s">
        <v>92</v>
      </c>
      <c r="B5" s="96">
        <v>2</v>
      </c>
      <c r="C5" s="96">
        <f t="shared" ref="C5:C10" si="0">B5*2</f>
        <v>4</v>
      </c>
      <c r="D5" s="105">
        <v>2.69</v>
      </c>
      <c r="E5" s="105">
        <f t="shared" ref="E5:E10" si="1">C5*D5</f>
        <v>10.76</v>
      </c>
    </row>
    <row r="6" spans="1:5" ht="38.25" x14ac:dyDescent="0.25">
      <c r="A6" s="103" t="s">
        <v>87</v>
      </c>
      <c r="B6" s="94">
        <v>1</v>
      </c>
      <c r="C6" s="96">
        <f t="shared" si="0"/>
        <v>2</v>
      </c>
      <c r="D6" s="129">
        <v>4.49</v>
      </c>
      <c r="E6" s="105">
        <f t="shared" si="1"/>
        <v>8.98</v>
      </c>
    </row>
    <row r="7" spans="1:5" ht="25.5" x14ac:dyDescent="0.25">
      <c r="A7" s="104" t="s">
        <v>141</v>
      </c>
      <c r="B7" s="96">
        <v>1</v>
      </c>
      <c r="C7" s="96">
        <f t="shared" si="0"/>
        <v>2</v>
      </c>
      <c r="D7" s="105">
        <v>2.29</v>
      </c>
      <c r="E7" s="105">
        <f t="shared" si="1"/>
        <v>4.58</v>
      </c>
    </row>
    <row r="8" spans="1:5" x14ac:dyDescent="0.25">
      <c r="A8" s="104" t="s">
        <v>90</v>
      </c>
      <c r="B8" s="96">
        <v>1</v>
      </c>
      <c r="C8" s="96">
        <f t="shared" si="0"/>
        <v>2</v>
      </c>
      <c r="D8" s="105">
        <v>37.049999999999997</v>
      </c>
      <c r="E8" s="105">
        <f t="shared" si="1"/>
        <v>74.099999999999994</v>
      </c>
    </row>
    <row r="9" spans="1:5" ht="25.5" x14ac:dyDescent="0.25">
      <c r="A9" s="104" t="s">
        <v>144</v>
      </c>
      <c r="B9" s="96">
        <v>2</v>
      </c>
      <c r="C9" s="96">
        <f t="shared" si="0"/>
        <v>4</v>
      </c>
      <c r="D9" s="105">
        <v>2.85</v>
      </c>
      <c r="E9" s="105">
        <f t="shared" si="1"/>
        <v>11.4</v>
      </c>
    </row>
    <row r="10" spans="1:5" x14ac:dyDescent="0.25">
      <c r="A10" s="104" t="s">
        <v>142</v>
      </c>
      <c r="B10" s="96">
        <v>1</v>
      </c>
      <c r="C10" s="96">
        <f t="shared" si="0"/>
        <v>2</v>
      </c>
      <c r="D10" s="105">
        <v>56.9</v>
      </c>
      <c r="E10" s="105">
        <f t="shared" si="1"/>
        <v>113.8</v>
      </c>
    </row>
    <row r="11" spans="1:5" ht="12.75" customHeight="1" x14ac:dyDescent="0.25">
      <c r="A11" s="213" t="s">
        <v>58</v>
      </c>
      <c r="B11" s="213"/>
      <c r="C11" s="213"/>
      <c r="D11" s="213"/>
      <c r="E11" s="130">
        <f>SUM(E4:E10)</f>
        <v>265.06</v>
      </c>
    </row>
    <row r="12" spans="1:5" x14ac:dyDescent="0.25">
      <c r="A12" s="215" t="s">
        <v>57</v>
      </c>
      <c r="B12" s="215"/>
      <c r="C12" s="215"/>
      <c r="D12" s="215"/>
      <c r="E12" s="132">
        <f>E11/12</f>
        <v>22.088333333333335</v>
      </c>
    </row>
    <row r="13" spans="1:5" x14ac:dyDescent="0.25">
      <c r="A13" s="127"/>
      <c r="B13" s="127"/>
      <c r="C13" s="127"/>
      <c r="D13" s="133"/>
      <c r="E13" s="133"/>
    </row>
    <row r="14" spans="1:5" x14ac:dyDescent="0.25">
      <c r="A14" s="216" t="s">
        <v>161</v>
      </c>
      <c r="B14" s="216"/>
      <c r="C14" s="216"/>
      <c r="D14" s="216"/>
      <c r="E14" s="216"/>
    </row>
    <row r="15" spans="1:5" ht="25.5" x14ac:dyDescent="0.25">
      <c r="A15" s="98" t="s">
        <v>88</v>
      </c>
      <c r="B15" s="98" t="s">
        <v>197</v>
      </c>
      <c r="C15" s="98" t="s">
        <v>198</v>
      </c>
      <c r="D15" s="98" t="s">
        <v>24</v>
      </c>
      <c r="E15" s="128" t="s">
        <v>199</v>
      </c>
    </row>
    <row r="16" spans="1:5" ht="25.5" x14ac:dyDescent="0.25">
      <c r="A16" s="104" t="s">
        <v>89</v>
      </c>
      <c r="B16" s="96">
        <v>4</v>
      </c>
      <c r="C16" s="96">
        <f>B16*2</f>
        <v>8</v>
      </c>
      <c r="D16" s="105">
        <v>5.18</v>
      </c>
      <c r="E16" s="105">
        <f>C16*D16</f>
        <v>41.44</v>
      </c>
    </row>
    <row r="17" spans="1:5" ht="25.5" x14ac:dyDescent="0.25">
      <c r="A17" s="104" t="s">
        <v>143</v>
      </c>
      <c r="B17" s="96">
        <v>4</v>
      </c>
      <c r="C17" s="96">
        <f t="shared" ref="C17:C26" si="2">B17*2</f>
        <v>8</v>
      </c>
      <c r="D17" s="105">
        <v>8.2899999999999991</v>
      </c>
      <c r="E17" s="105">
        <f t="shared" ref="E17:E26" si="3">C17*D17</f>
        <v>66.319999999999993</v>
      </c>
    </row>
    <row r="18" spans="1:5" ht="38.25" x14ac:dyDescent="0.25">
      <c r="A18" s="103" t="s">
        <v>87</v>
      </c>
      <c r="B18" s="94">
        <v>4</v>
      </c>
      <c r="C18" s="96">
        <f t="shared" si="2"/>
        <v>8</v>
      </c>
      <c r="D18" s="129">
        <v>4.49</v>
      </c>
      <c r="E18" s="105">
        <f t="shared" si="3"/>
        <v>35.92</v>
      </c>
    </row>
    <row r="19" spans="1:5" ht="25.5" x14ac:dyDescent="0.25">
      <c r="A19" s="104" t="s">
        <v>141</v>
      </c>
      <c r="B19" s="96">
        <v>2</v>
      </c>
      <c r="C19" s="96">
        <f t="shared" si="2"/>
        <v>4</v>
      </c>
      <c r="D19" s="105">
        <v>2.29</v>
      </c>
      <c r="E19" s="105">
        <f t="shared" si="3"/>
        <v>9.16</v>
      </c>
    </row>
    <row r="20" spans="1:5" ht="25.5" x14ac:dyDescent="0.25">
      <c r="A20" s="104" t="s">
        <v>215</v>
      </c>
      <c r="B20" s="96">
        <v>1</v>
      </c>
      <c r="C20" s="96">
        <f t="shared" si="2"/>
        <v>2</v>
      </c>
      <c r="D20" s="105">
        <v>291.89999999999998</v>
      </c>
      <c r="E20" s="105">
        <f t="shared" si="3"/>
        <v>583.79999999999995</v>
      </c>
    </row>
    <row r="21" spans="1:5" ht="25.5" x14ac:dyDescent="0.25">
      <c r="A21" s="104" t="s">
        <v>93</v>
      </c>
      <c r="B21" s="96">
        <v>1</v>
      </c>
      <c r="C21" s="96">
        <f t="shared" si="2"/>
        <v>2</v>
      </c>
      <c r="D21" s="105">
        <v>203.86</v>
      </c>
      <c r="E21" s="105">
        <f t="shared" si="3"/>
        <v>407.72</v>
      </c>
    </row>
    <row r="22" spans="1:5" ht="25.5" x14ac:dyDescent="0.25">
      <c r="A22" s="104" t="s">
        <v>148</v>
      </c>
      <c r="B22" s="96">
        <v>1</v>
      </c>
      <c r="C22" s="96">
        <f t="shared" si="2"/>
        <v>2</v>
      </c>
      <c r="D22" s="105">
        <v>389.9</v>
      </c>
      <c r="E22" s="105">
        <f t="shared" si="3"/>
        <v>779.8</v>
      </c>
    </row>
    <row r="23" spans="1:5" ht="25.5" x14ac:dyDescent="0.25">
      <c r="A23" s="103" t="s">
        <v>214</v>
      </c>
      <c r="B23" s="94">
        <v>1</v>
      </c>
      <c r="C23" s="96">
        <f t="shared" si="2"/>
        <v>2</v>
      </c>
      <c r="D23" s="129">
        <v>8.49</v>
      </c>
      <c r="E23" s="105">
        <f t="shared" si="3"/>
        <v>16.98</v>
      </c>
    </row>
    <row r="24" spans="1:5" ht="25.5" x14ac:dyDescent="0.25">
      <c r="A24" s="103" t="s">
        <v>216</v>
      </c>
      <c r="B24" s="94">
        <v>1</v>
      </c>
      <c r="C24" s="96">
        <f t="shared" si="2"/>
        <v>2</v>
      </c>
      <c r="D24" s="129">
        <f>134.92/2</f>
        <v>67.459999999999994</v>
      </c>
      <c r="E24" s="105">
        <f t="shared" si="3"/>
        <v>134.91999999999999</v>
      </c>
    </row>
    <row r="25" spans="1:5" x14ac:dyDescent="0.25">
      <c r="A25" s="104" t="s">
        <v>90</v>
      </c>
      <c r="B25" s="96">
        <v>1</v>
      </c>
      <c r="C25" s="96">
        <f t="shared" si="2"/>
        <v>2</v>
      </c>
      <c r="D25" s="105">
        <v>37.049999999999997</v>
      </c>
      <c r="E25" s="105">
        <f t="shared" si="3"/>
        <v>74.099999999999994</v>
      </c>
    </row>
    <row r="26" spans="1:5" ht="25.5" customHeight="1" x14ac:dyDescent="0.25">
      <c r="A26" s="104" t="s">
        <v>91</v>
      </c>
      <c r="B26" s="96">
        <v>1</v>
      </c>
      <c r="C26" s="96">
        <f t="shared" si="2"/>
        <v>2</v>
      </c>
      <c r="D26" s="105">
        <v>8.6</v>
      </c>
      <c r="E26" s="105">
        <f t="shared" si="3"/>
        <v>17.2</v>
      </c>
    </row>
    <row r="27" spans="1:5" x14ac:dyDescent="0.25">
      <c r="A27" s="213" t="s">
        <v>58</v>
      </c>
      <c r="B27" s="213"/>
      <c r="C27" s="213"/>
      <c r="D27" s="213"/>
      <c r="E27" s="130">
        <f>SUM(E16:E26)</f>
        <v>2167.3599999999997</v>
      </c>
    </row>
    <row r="28" spans="1:5" x14ac:dyDescent="0.25">
      <c r="A28" s="213" t="s">
        <v>57</v>
      </c>
      <c r="B28" s="213"/>
      <c r="C28" s="213"/>
      <c r="D28" s="213"/>
      <c r="E28" s="130">
        <f>E27/12</f>
        <v>180.61333333333332</v>
      </c>
    </row>
  </sheetData>
  <mergeCells count="7">
    <mergeCell ref="A28:D28"/>
    <mergeCell ref="A1:E1"/>
    <mergeCell ref="A2:E2"/>
    <mergeCell ref="A11:D11"/>
    <mergeCell ref="A12:D12"/>
    <mergeCell ref="A14:E14"/>
    <mergeCell ref="A27:D27"/>
  </mergeCells>
  <printOptions horizontalCentered="1"/>
  <pageMargins left="0.31496062992125984" right="0.11811023622047245" top="0.78740157480314965" bottom="0.59055118110236227" header="0.31496062992125984" footer="0.31496062992125984"/>
  <pageSetup paperSize="9" scale="90" orientation="portrait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" zoomScaleNormal="100" workbookViewId="0">
      <selection activeCell="J7" sqref="J7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 bestFit="1" customWidth="1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149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Salários!E3</f>
        <v>3714.11</v>
      </c>
      <c r="E4" s="156">
        <v>1</v>
      </c>
      <c r="F4" s="157" t="s">
        <v>259</v>
      </c>
      <c r="G4" s="242" t="s">
        <v>364</v>
      </c>
      <c r="H4" s="242"/>
    </row>
    <row r="5" spans="1:10" ht="15" customHeight="1" x14ac:dyDescent="0.25">
      <c r="A5" s="219" t="s">
        <v>31</v>
      </c>
      <c r="B5" s="219"/>
      <c r="C5" s="17">
        <f ca="1">SUM(C4:C4)</f>
        <v>3714.11</v>
      </c>
      <c r="E5" s="158">
        <v>2</v>
      </c>
      <c r="F5" s="159" t="s">
        <v>260</v>
      </c>
      <c r="G5" s="238" t="s">
        <v>365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3289.5</v>
      </c>
      <c r="H6" s="243"/>
    </row>
    <row r="7" spans="1:10" ht="67.5" customHeight="1" x14ac:dyDescent="0.2">
      <c r="A7" s="31" t="s">
        <v>32</v>
      </c>
      <c r="B7" s="111">
        <v>22</v>
      </c>
      <c r="C7" s="88">
        <f ca="1">ROUND((B7*11-C4*6%),2)</f>
        <v>19.149999999999999</v>
      </c>
      <c r="E7" s="158">
        <v>4</v>
      </c>
      <c r="F7" s="159" t="s">
        <v>262</v>
      </c>
      <c r="G7" s="235" t="s">
        <v>394</v>
      </c>
      <c r="H7" s="236"/>
    </row>
    <row r="8" spans="1:10" ht="15" customHeight="1" x14ac:dyDescent="0.25">
      <c r="A8" s="31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31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31" t="s">
        <v>96</v>
      </c>
      <c r="B10" s="10"/>
      <c r="C10" s="88">
        <v>10.63</v>
      </c>
    </row>
    <row r="11" spans="1:10" ht="15" customHeight="1" x14ac:dyDescent="0.25">
      <c r="A11" s="31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SUM(C7:C10)</f>
        <v>929.4899999999999</v>
      </c>
      <c r="E12" s="160">
        <v>1</v>
      </c>
      <c r="F12" s="240" t="s">
        <v>268</v>
      </c>
      <c r="G12" s="240"/>
      <c r="H12" s="161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Salários!E3</f>
        <v>3714.11</v>
      </c>
    </row>
    <row r="14" spans="1:10" ht="15" customHeight="1" x14ac:dyDescent="0.2">
      <c r="A14" s="9" t="s">
        <v>29</v>
      </c>
      <c r="B14" s="10"/>
      <c r="C14" s="88">
        <f>'TABELA 1 - UNIFORMES'!E11</f>
        <v>75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30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75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2851.69</v>
      </c>
      <c r="E19" s="245" t="s">
        <v>26</v>
      </c>
      <c r="F19" s="245"/>
      <c r="G19" s="245"/>
      <c r="H19" s="165">
        <f ca="1">SUM(H13:H18)</f>
        <v>3714.11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454.22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544.86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853.48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64.13</v>
      </c>
      <c r="E24" s="166" t="s">
        <v>280</v>
      </c>
      <c r="F24" s="166" t="s">
        <v>281</v>
      </c>
      <c r="G24" s="156" t="s">
        <v>282</v>
      </c>
      <c r="H24" s="166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296.01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337.61259899999999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493.34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450.15013200000004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787.76273100000003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1852.56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60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3714.11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929.4899999999999</v>
      </c>
    </row>
    <row r="32" spans="1:10" ht="15" customHeight="1" x14ac:dyDescent="0.25">
      <c r="A32" s="229" t="s">
        <v>4</v>
      </c>
      <c r="B32" s="229"/>
      <c r="C32" s="11">
        <v>65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2851.69</v>
      </c>
      <c r="E33" s="160" t="s">
        <v>289</v>
      </c>
      <c r="F33" s="161" t="s">
        <v>290</v>
      </c>
      <c r="G33" s="161" t="s">
        <v>282</v>
      </c>
      <c r="H33" s="160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7560.29</v>
      </c>
      <c r="E34" s="162" t="s">
        <v>10</v>
      </c>
      <c r="F34" s="167" t="s">
        <v>11</v>
      </c>
      <c r="G34" s="172">
        <v>0.2</v>
      </c>
      <c r="H34" s="173">
        <f ca="1">G34*($H$19+$H$27)</f>
        <v>900.37454620000017</v>
      </c>
    </row>
    <row r="35" spans="1:8" ht="15" customHeight="1" x14ac:dyDescent="0.2">
      <c r="A35" s="229" t="s">
        <v>37</v>
      </c>
      <c r="B35" s="229"/>
      <c r="C35" s="11">
        <f ca="1">C28</f>
        <v>1852.56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112.54681827500002</v>
      </c>
    </row>
    <row r="36" spans="1:8" ht="15" customHeight="1" x14ac:dyDescent="0.2">
      <c r="A36" s="219" t="s">
        <v>42</v>
      </c>
      <c r="B36" s="219"/>
      <c r="C36" s="17">
        <f ca="1">ROUND(SUM(C34:C35),2)</f>
        <v>9412.85</v>
      </c>
      <c r="E36" s="162" t="s">
        <v>13</v>
      </c>
      <c r="F36" s="167" t="s">
        <v>292</v>
      </c>
      <c r="G36" s="172">
        <v>0.03</v>
      </c>
      <c r="H36" s="173">
        <f t="shared" ca="1" si="0"/>
        <v>135.05618193000001</v>
      </c>
    </row>
    <row r="37" spans="1:8" ht="15" customHeight="1" x14ac:dyDescent="0.2">
      <c r="A37" s="232" t="s">
        <v>43</v>
      </c>
      <c r="B37" s="232"/>
      <c r="C37" s="89">
        <v>2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67.528090965000004</v>
      </c>
    </row>
    <row r="38" spans="1:8" ht="15" customHeight="1" x14ac:dyDescent="0.2">
      <c r="A38" s="219" t="s">
        <v>81</v>
      </c>
      <c r="B38" s="219"/>
      <c r="C38" s="17">
        <f ca="1">ROUND((C36*C37),2)</f>
        <v>18825.7</v>
      </c>
      <c r="E38" s="162" t="s">
        <v>16</v>
      </c>
      <c r="F38" s="167" t="s">
        <v>294</v>
      </c>
      <c r="G38" s="172">
        <v>0.01</v>
      </c>
      <c r="H38" s="173">
        <f t="shared" ca="1" si="0"/>
        <v>45.018727310000003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27.011236386000004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9.0037454620000013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360.14981848000002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1656.6891650080006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176" t="s">
        <v>301</v>
      </c>
      <c r="F50" s="156" t="s">
        <v>302</v>
      </c>
      <c r="G50" s="176" t="s">
        <v>303</v>
      </c>
      <c r="H50" s="156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186.35340000000005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1129.3534000000002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161">
        <v>2</v>
      </c>
      <c r="F61" s="253" t="s">
        <v>311</v>
      </c>
      <c r="G61" s="253"/>
      <c r="H61" s="161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787.76273100000003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1656.6891650080006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1129.3534000000002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3573.8052960080004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161">
        <v>3</v>
      </c>
      <c r="F68" s="161" t="s">
        <v>27</v>
      </c>
      <c r="G68" s="161" t="s">
        <v>282</v>
      </c>
      <c r="H68" s="161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18.907865470200001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1.3505618193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4.5018727309999998E-3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87.33633098140001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32.139769801155204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0.45018727310000006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157.11535831190002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297.30457552978623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176" t="s">
        <v>9</v>
      </c>
      <c r="F84" s="156" t="s">
        <v>325</v>
      </c>
      <c r="G84" s="156" t="s">
        <v>282</v>
      </c>
      <c r="H84" s="156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34.214232755600001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36.915356394200003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0.90037454620000013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1.3505618193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13.055430919900001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74.731087334600005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161.16704376980002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176" t="s">
        <v>22</v>
      </c>
      <c r="F95" s="156" t="s">
        <v>334</v>
      </c>
      <c r="G95" s="156" t="s">
        <v>269</v>
      </c>
      <c r="H95" s="176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160">
        <v>4</v>
      </c>
      <c r="F100" s="253" t="s">
        <v>337</v>
      </c>
      <c r="G100" s="253"/>
      <c r="H100" s="161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161.16704376980002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161.16704376980002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176">
        <v>5</v>
      </c>
      <c r="F106" s="258" t="s">
        <v>340</v>
      </c>
      <c r="G106" s="258"/>
      <c r="H106" s="156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UNIFORMES'!E11</f>
        <v>75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75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160">
        <v>6</v>
      </c>
      <c r="F116" s="161" t="s">
        <v>347</v>
      </c>
      <c r="G116" s="161" t="s">
        <v>282</v>
      </c>
      <c r="H116" s="160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469.28321491845526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531.07217154938519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834.42395746700333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1834.7793439348438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156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3714.11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3573.8052960080004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297.30457552978623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161.16704376980002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75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7821.3869153075875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1834.7793439348438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9656.1662592424309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40:H140"/>
    <mergeCell ref="F133:G133"/>
    <mergeCell ref="F134:G134"/>
    <mergeCell ref="E135:G135"/>
    <mergeCell ref="F136:G136"/>
    <mergeCell ref="E137:G137"/>
    <mergeCell ref="E128:H128"/>
    <mergeCell ref="E129:G129"/>
    <mergeCell ref="F130:G130"/>
    <mergeCell ref="F131:G131"/>
    <mergeCell ref="F132:G132"/>
    <mergeCell ref="E115:F115"/>
    <mergeCell ref="G115:H115"/>
    <mergeCell ref="E124:F124"/>
    <mergeCell ref="E125:H125"/>
    <mergeCell ref="E126:H126"/>
    <mergeCell ref="F109:G109"/>
    <mergeCell ref="F110:G110"/>
    <mergeCell ref="E111:G111"/>
    <mergeCell ref="E112:H112"/>
    <mergeCell ref="E114:H114"/>
    <mergeCell ref="E103:G103"/>
    <mergeCell ref="E105:H105"/>
    <mergeCell ref="F106:G106"/>
    <mergeCell ref="F107:G107"/>
    <mergeCell ref="F108:G108"/>
    <mergeCell ref="E94:H94"/>
    <mergeCell ref="E97:F97"/>
    <mergeCell ref="E99:H99"/>
    <mergeCell ref="F100:G100"/>
    <mergeCell ref="F101:G101"/>
    <mergeCell ref="E80:H80"/>
    <mergeCell ref="E81:H81"/>
    <mergeCell ref="E83:H83"/>
    <mergeCell ref="E91:F91"/>
    <mergeCell ref="E92:H92"/>
    <mergeCell ref="E65:G65"/>
    <mergeCell ref="E67:H67"/>
    <mergeCell ref="E76:F76"/>
    <mergeCell ref="E77:H77"/>
    <mergeCell ref="E78:H78"/>
    <mergeCell ref="E60:H60"/>
    <mergeCell ref="F61:G61"/>
    <mergeCell ref="F62:G62"/>
    <mergeCell ref="F63:G63"/>
    <mergeCell ref="F64:G64"/>
    <mergeCell ref="E47:H47"/>
    <mergeCell ref="E49:H49"/>
    <mergeCell ref="E56:G56"/>
    <mergeCell ref="E57:H57"/>
    <mergeCell ref="E58:H58"/>
    <mergeCell ref="E42:F42"/>
    <mergeCell ref="E43:H43"/>
    <mergeCell ref="E44:H44"/>
    <mergeCell ref="E45:H45"/>
    <mergeCell ref="E46:H46"/>
    <mergeCell ref="E27:F27"/>
    <mergeCell ref="E28:H28"/>
    <mergeCell ref="E29:H29"/>
    <mergeCell ref="E30:H30"/>
    <mergeCell ref="E32:H32"/>
    <mergeCell ref="F18:G18"/>
    <mergeCell ref="E19:G19"/>
    <mergeCell ref="E20:H20"/>
    <mergeCell ref="E22:H22"/>
    <mergeCell ref="E23:H23"/>
    <mergeCell ref="F13:G13"/>
    <mergeCell ref="F14:G14"/>
    <mergeCell ref="F15:G15"/>
    <mergeCell ref="F16:G16"/>
    <mergeCell ref="F17:G17"/>
    <mergeCell ref="G7:H7"/>
    <mergeCell ref="G8:H8"/>
    <mergeCell ref="G9:H9"/>
    <mergeCell ref="E11:H11"/>
    <mergeCell ref="F12:G12"/>
    <mergeCell ref="E1:H1"/>
    <mergeCell ref="E3:H3"/>
    <mergeCell ref="G4:H4"/>
    <mergeCell ref="G5:H5"/>
    <mergeCell ref="G6:H6"/>
    <mergeCell ref="A45:C45"/>
    <mergeCell ref="A46:C46"/>
    <mergeCell ref="A40:C40"/>
    <mergeCell ref="A41:C41"/>
    <mergeCell ref="A42:C42"/>
    <mergeCell ref="A43:C43"/>
    <mergeCell ref="A44:C44"/>
    <mergeCell ref="A16:B16"/>
    <mergeCell ref="A17:B18"/>
    <mergeCell ref="A19:B19"/>
    <mergeCell ref="A12:B12"/>
    <mergeCell ref="A13:B13"/>
    <mergeCell ref="A1:C1"/>
    <mergeCell ref="A2:B2"/>
    <mergeCell ref="A3:B3"/>
    <mergeCell ref="A5:B5"/>
    <mergeCell ref="A6:B6"/>
    <mergeCell ref="A4:B4"/>
    <mergeCell ref="A38:B38"/>
    <mergeCell ref="A31:B31"/>
    <mergeCell ref="A32:B32"/>
    <mergeCell ref="A33:B33"/>
    <mergeCell ref="A34:B34"/>
    <mergeCell ref="A35:B35"/>
    <mergeCell ref="A36:B36"/>
    <mergeCell ref="A30:B30"/>
    <mergeCell ref="A20:B20"/>
    <mergeCell ref="A28:B28"/>
    <mergeCell ref="A29:B29"/>
    <mergeCell ref="A37:B37"/>
  </mergeCells>
  <dataValidations disablePrompts="1"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7" max="16383" man="1"/>
    <brk id="10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03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 bestFit="1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151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Salários!E6</f>
        <v>1287.96</v>
      </c>
      <c r="E4" s="204">
        <v>1</v>
      </c>
      <c r="F4" s="157" t="s">
        <v>259</v>
      </c>
      <c r="G4" s="242" t="s">
        <v>367</v>
      </c>
      <c r="H4" s="242"/>
    </row>
    <row r="5" spans="1:10" ht="15" customHeight="1" x14ac:dyDescent="0.25">
      <c r="A5" s="219" t="s">
        <v>45</v>
      </c>
      <c r="B5" s="219"/>
      <c r="C5" s="17">
        <f ca="1">C4</f>
        <v>1287.96</v>
      </c>
      <c r="E5" s="158">
        <v>2</v>
      </c>
      <c r="F5" s="159" t="s">
        <v>260</v>
      </c>
      <c r="G5" s="238" t="s">
        <v>366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1287.96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164.72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1077.3599999999999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Salários!E6</f>
        <v>1287.96</v>
      </c>
    </row>
    <row r="14" spans="1:10" ht="15" customHeight="1" x14ac:dyDescent="0.2">
      <c r="A14" s="108" t="s">
        <v>29</v>
      </c>
      <c r="B14" s="10"/>
      <c r="C14" s="88">
        <f>'TABELA 1 - UNIFORMES'!E20</f>
        <v>40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f>'TABELA 2 - EPIS'!E12</f>
        <v>22.088333333333335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62.088333333333338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988.9</v>
      </c>
      <c r="E19" s="245" t="s">
        <v>26</v>
      </c>
      <c r="F19" s="245"/>
      <c r="G19" s="245"/>
      <c r="H19" s="165">
        <f ca="1">SUM(H13:H18)</f>
        <v>1287.96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204.98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245.89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385.16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28.94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133.58000000000001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117.075564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222.64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156.100752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273.17631599999999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836.03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1287.96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1077.3599999999999</v>
      </c>
    </row>
    <row r="32" spans="1:10" ht="15" customHeight="1" x14ac:dyDescent="0.25">
      <c r="A32" s="229" t="s">
        <v>4</v>
      </c>
      <c r="B32" s="229"/>
      <c r="C32" s="11">
        <f>C16</f>
        <v>62.088333333333338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988.9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3416.31</v>
      </c>
      <c r="E34" s="162" t="s">
        <v>10</v>
      </c>
      <c r="F34" s="167" t="s">
        <v>11</v>
      </c>
      <c r="G34" s="172">
        <v>0.2</v>
      </c>
      <c r="H34" s="173">
        <f ca="1">G34*($H$19+$H$27)</f>
        <v>312.22726320000004</v>
      </c>
    </row>
    <row r="35" spans="1:8" ht="15" customHeight="1" x14ac:dyDescent="0.2">
      <c r="A35" s="229" t="s">
        <v>37</v>
      </c>
      <c r="B35" s="229"/>
      <c r="C35" s="11">
        <f ca="1">C28</f>
        <v>836.03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39.028407900000005</v>
      </c>
    </row>
    <row r="36" spans="1:8" ht="15" customHeight="1" x14ac:dyDescent="0.2">
      <c r="A36" s="219" t="s">
        <v>42</v>
      </c>
      <c r="B36" s="219"/>
      <c r="C36" s="17">
        <f ca="1">ROUND(SUM(C34:C35),2)</f>
        <v>4252.34</v>
      </c>
      <c r="E36" s="162" t="s">
        <v>13</v>
      </c>
      <c r="F36" s="167" t="s">
        <v>292</v>
      </c>
      <c r="G36" s="172">
        <v>0.03</v>
      </c>
      <c r="H36" s="173">
        <f t="shared" ca="1" si="0"/>
        <v>46.834089480000003</v>
      </c>
    </row>
    <row r="37" spans="1:8" ht="15" customHeight="1" x14ac:dyDescent="0.2">
      <c r="A37" s="232" t="s">
        <v>43</v>
      </c>
      <c r="B37" s="232"/>
      <c r="C37" s="89">
        <v>27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23.417044740000001</v>
      </c>
    </row>
    <row r="38" spans="1:8" ht="15" customHeight="1" x14ac:dyDescent="0.2">
      <c r="A38" s="219" t="s">
        <v>46</v>
      </c>
      <c r="B38" s="219"/>
      <c r="C38" s="17">
        <f ca="1">ROUND((C36*C37),2)</f>
        <v>114813.18</v>
      </c>
      <c r="E38" s="162" t="s">
        <v>16</v>
      </c>
      <c r="F38" s="167" t="s">
        <v>294</v>
      </c>
      <c r="G38" s="172">
        <v>0.01</v>
      </c>
      <c r="H38" s="173">
        <f t="shared" ca="1" si="0"/>
        <v>15.611363160000002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9.3668178960000006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3.122272632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124.89090528000001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574.498164288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331.92240000000004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1274.9223999999999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273.17631599999999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574.498164288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1274.9223999999999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2122.5968802879997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6.5567725271999997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0.46834089479999996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1.5611363160000001E-3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30.286044530400002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11.145264387187202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0.15611363160000002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54.483657428400001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103.09775453590321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11.864636001600001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12.801317791200002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0.31222726320000005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0.46834089479999996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4.5272953164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25.914862845600002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55.888680112800003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55.888680112800003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55.888680112800003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UNIFORMES'!E20</f>
        <v>40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f>'TABELA 2 - EPIS'!E12</f>
        <v>22.088333333333335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62.088333333333338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217.89789889620218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246.58778891753548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387.44029477446304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851.92598258820067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1287.96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2122.5968802879997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103.09775453590321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55.888680112800003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62.088333333333338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3631.6316482700363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851.92598258820067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4483.5576308582367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F136:G136"/>
    <mergeCell ref="E137:G137"/>
    <mergeCell ref="E140:H140"/>
    <mergeCell ref="A4:B4"/>
    <mergeCell ref="G8:H8"/>
    <mergeCell ref="F131:G131"/>
    <mergeCell ref="F132:G132"/>
    <mergeCell ref="F133:G133"/>
    <mergeCell ref="F134:G134"/>
    <mergeCell ref="E135:G135"/>
    <mergeCell ref="E125:H125"/>
    <mergeCell ref="E126:H126"/>
    <mergeCell ref="E128:H128"/>
    <mergeCell ref="E129:G129"/>
    <mergeCell ref="F130:G130"/>
    <mergeCell ref="E112:H112"/>
    <mergeCell ref="E114:H114"/>
    <mergeCell ref="E115:F115"/>
    <mergeCell ref="G115:H115"/>
    <mergeCell ref="E124:F124"/>
    <mergeCell ref="F107:G107"/>
    <mergeCell ref="F108:G108"/>
    <mergeCell ref="F109:G109"/>
    <mergeCell ref="F110:G110"/>
    <mergeCell ref="E111:G111"/>
    <mergeCell ref="F100:G100"/>
    <mergeCell ref="F101:G101"/>
    <mergeCell ref="E103:G103"/>
    <mergeCell ref="E105:H105"/>
    <mergeCell ref="F106:G106"/>
    <mergeCell ref="E91:F91"/>
    <mergeCell ref="E92:H92"/>
    <mergeCell ref="E94:H94"/>
    <mergeCell ref="E97:F97"/>
    <mergeCell ref="E99:H99"/>
    <mergeCell ref="E77:H77"/>
    <mergeCell ref="E78:H78"/>
    <mergeCell ref="E80:H80"/>
    <mergeCell ref="E81:H81"/>
    <mergeCell ref="E83:H83"/>
    <mergeCell ref="F63:G63"/>
    <mergeCell ref="F64:G64"/>
    <mergeCell ref="E65:G65"/>
    <mergeCell ref="E67:H67"/>
    <mergeCell ref="E76:F76"/>
    <mergeCell ref="E58:H58"/>
    <mergeCell ref="E60:H60"/>
    <mergeCell ref="F61:G61"/>
    <mergeCell ref="F62:G62"/>
    <mergeCell ref="E45:H45"/>
    <mergeCell ref="E46:H46"/>
    <mergeCell ref="E47:H47"/>
    <mergeCell ref="E49:H49"/>
    <mergeCell ref="E56:G56"/>
    <mergeCell ref="E42:F42"/>
    <mergeCell ref="E43:H43"/>
    <mergeCell ref="E44:H44"/>
    <mergeCell ref="E22:H22"/>
    <mergeCell ref="E23:H23"/>
    <mergeCell ref="E27:F27"/>
    <mergeCell ref="E28:H28"/>
    <mergeCell ref="E29:H29"/>
    <mergeCell ref="E57:H57"/>
    <mergeCell ref="G7:H7"/>
    <mergeCell ref="G9:H9"/>
    <mergeCell ref="E11:H11"/>
    <mergeCell ref="F12:G12"/>
    <mergeCell ref="F13:G13"/>
    <mergeCell ref="E1:H1"/>
    <mergeCell ref="E3:H3"/>
    <mergeCell ref="G4:H4"/>
    <mergeCell ref="G5:H5"/>
    <mergeCell ref="G6:H6"/>
    <mergeCell ref="F14:G14"/>
    <mergeCell ref="F15:G15"/>
    <mergeCell ref="F16:G16"/>
    <mergeCell ref="F17:G17"/>
    <mergeCell ref="F18:G18"/>
    <mergeCell ref="E19:G19"/>
    <mergeCell ref="E20:H20"/>
    <mergeCell ref="A45:C45"/>
    <mergeCell ref="A46:C46"/>
    <mergeCell ref="A40:C40"/>
    <mergeCell ref="A41:C41"/>
    <mergeCell ref="A42:C42"/>
    <mergeCell ref="A43:C43"/>
    <mergeCell ref="A44:C44"/>
    <mergeCell ref="A38:B38"/>
    <mergeCell ref="A31:B31"/>
    <mergeCell ref="A32:B32"/>
    <mergeCell ref="A33:B33"/>
    <mergeCell ref="A34:B34"/>
    <mergeCell ref="A35:B35"/>
    <mergeCell ref="A36:B36"/>
    <mergeCell ref="A37:B37"/>
    <mergeCell ref="E30:H30"/>
    <mergeCell ref="E32:H32"/>
    <mergeCell ref="A1:C1"/>
    <mergeCell ref="A5:B5"/>
    <mergeCell ref="A6:B6"/>
    <mergeCell ref="A12:B12"/>
    <mergeCell ref="A13:B13"/>
    <mergeCell ref="A2:B2"/>
    <mergeCell ref="A3:B3"/>
    <mergeCell ref="A30:B30"/>
    <mergeCell ref="A16:B16"/>
    <mergeCell ref="A17:B18"/>
    <mergeCell ref="A19:B19"/>
    <mergeCell ref="A28:B28"/>
    <mergeCell ref="A29:B29"/>
    <mergeCell ref="A20:B20"/>
  </mergeCells>
  <dataValidations disablePrompts="1"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06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153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Salários!E8</f>
        <v>1287.96</v>
      </c>
      <c r="E4" s="204">
        <v>1</v>
      </c>
      <c r="F4" s="157" t="s">
        <v>259</v>
      </c>
      <c r="G4" s="242" t="s">
        <v>368</v>
      </c>
      <c r="H4" s="242"/>
    </row>
    <row r="5" spans="1:10" ht="15" customHeight="1" x14ac:dyDescent="0.25">
      <c r="A5" s="219" t="s">
        <v>45</v>
      </c>
      <c r="B5" s="219"/>
      <c r="C5" s="17">
        <f ca="1">C4</f>
        <v>1287.96</v>
      </c>
      <c r="E5" s="158">
        <v>2</v>
      </c>
      <c r="F5" s="159" t="s">
        <v>260</v>
      </c>
      <c r="G5" s="238" t="s">
        <v>369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1287.96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164.72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1077.3599999999999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Salários!E8</f>
        <v>1287.96</v>
      </c>
    </row>
    <row r="14" spans="1:10" ht="15" customHeight="1" x14ac:dyDescent="0.2">
      <c r="A14" s="108" t="s">
        <v>29</v>
      </c>
      <c r="B14" s="10"/>
      <c r="C14" s="88">
        <f>'TABELA 1 - UNIFORMES'!E11</f>
        <v>75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75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988.9</v>
      </c>
      <c r="E19" s="245" t="s">
        <v>26</v>
      </c>
      <c r="F19" s="245"/>
      <c r="G19" s="245"/>
      <c r="H19" s="165">
        <f ca="1">SUM(H13:H18)</f>
        <v>1287.96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205.75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246.81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386.62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29.05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134.09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117.075564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223.48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156.100752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273.17631599999999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839.18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1287.96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1077.3599999999999</v>
      </c>
    </row>
    <row r="32" spans="1:10" ht="15" customHeight="1" x14ac:dyDescent="0.25">
      <c r="A32" s="229" t="s">
        <v>4</v>
      </c>
      <c r="B32" s="229"/>
      <c r="C32" s="11">
        <f>C16</f>
        <v>75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988.9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3429.22</v>
      </c>
      <c r="E34" s="162" t="s">
        <v>10</v>
      </c>
      <c r="F34" s="167" t="s">
        <v>11</v>
      </c>
      <c r="G34" s="172">
        <v>0.2</v>
      </c>
      <c r="H34" s="173">
        <f ca="1">G34*($H$19+$H$27)</f>
        <v>312.22726320000004</v>
      </c>
    </row>
    <row r="35" spans="1:8" ht="15" customHeight="1" x14ac:dyDescent="0.2">
      <c r="A35" s="229" t="s">
        <v>37</v>
      </c>
      <c r="B35" s="229"/>
      <c r="C35" s="11">
        <f ca="1">C28</f>
        <v>839.18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39.028407900000005</v>
      </c>
    </row>
    <row r="36" spans="1:8" ht="15" customHeight="1" x14ac:dyDescent="0.2">
      <c r="A36" s="219" t="s">
        <v>42</v>
      </c>
      <c r="B36" s="219"/>
      <c r="C36" s="17">
        <f ca="1">ROUND(SUM(C34:C35),2)</f>
        <v>4268.3999999999996</v>
      </c>
      <c r="E36" s="162" t="s">
        <v>13</v>
      </c>
      <c r="F36" s="167" t="s">
        <v>292</v>
      </c>
      <c r="G36" s="172">
        <v>0.03</v>
      </c>
      <c r="H36" s="173">
        <f t="shared" ca="1" si="0"/>
        <v>46.834089480000003</v>
      </c>
    </row>
    <row r="37" spans="1:8" ht="15" customHeight="1" x14ac:dyDescent="0.2">
      <c r="A37" s="232" t="s">
        <v>43</v>
      </c>
      <c r="B37" s="232"/>
      <c r="C37" s="89">
        <v>1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23.417044740000001</v>
      </c>
    </row>
    <row r="38" spans="1:8" ht="15" customHeight="1" x14ac:dyDescent="0.2">
      <c r="A38" s="219" t="s">
        <v>46</v>
      </c>
      <c r="B38" s="219"/>
      <c r="C38" s="17">
        <f ca="1">ROUND((C36*C37),2)</f>
        <v>4268.3999999999996</v>
      </c>
      <c r="E38" s="162" t="s">
        <v>16</v>
      </c>
      <c r="F38" s="167" t="s">
        <v>294</v>
      </c>
      <c r="G38" s="172">
        <v>0.01</v>
      </c>
      <c r="H38" s="173">
        <f t="shared" ca="1" si="0"/>
        <v>15.611363160000002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9.3668178960000006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3.122272632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124.89090528000001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574.498164288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331.92240000000004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1274.9223999999999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273.17631599999999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574.498164288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1274.9223999999999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2122.5968802879997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6.5567725271999997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0.46834089479999996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1.5611363160000001E-3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30.286044530400002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11.145264387187202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0.15611363160000002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54.483657428400001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103.09775453590321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11.864636001600001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12.801317791200002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0.31222726320000005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0.46834089479999996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4.5272953164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25.914862845600002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55.888680112800003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55.888680112800003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55.888680112800003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UNIFORMES'!E11</f>
        <v>75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75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218.67259889620217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247.46449108420214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388.81777476799323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854.95486474839754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1287.96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2122.5968802879997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103.09775453590321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55.888680112800003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75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3644.5433149367032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854.95486474839754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4499.4981796851007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disablePrompts="1"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09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155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Salários!E7</f>
        <v>1287.96</v>
      </c>
      <c r="E4" s="204">
        <v>1</v>
      </c>
      <c r="F4" s="157" t="s">
        <v>259</v>
      </c>
      <c r="G4" s="242" t="s">
        <v>370</v>
      </c>
      <c r="H4" s="242"/>
    </row>
    <row r="5" spans="1:10" ht="15" customHeight="1" x14ac:dyDescent="0.25">
      <c r="A5" s="219" t="s">
        <v>45</v>
      </c>
      <c r="B5" s="219"/>
      <c r="C5" s="17">
        <f ca="1">C4</f>
        <v>1287.96</v>
      </c>
      <c r="E5" s="158">
        <v>2</v>
      </c>
      <c r="F5" s="159" t="s">
        <v>260</v>
      </c>
      <c r="G5" s="238" t="s">
        <v>371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1287.96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164.72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1077.3599999999999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Salários!E7</f>
        <v>1287.96</v>
      </c>
    </row>
    <row r="14" spans="1:10" ht="15" customHeight="1" x14ac:dyDescent="0.2">
      <c r="A14" s="108" t="s">
        <v>29</v>
      </c>
      <c r="B14" s="10"/>
      <c r="C14" s="88">
        <f>'TABELA 1 - UNIFORMES'!E11</f>
        <v>75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75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988.9</v>
      </c>
      <c r="E19" s="245" t="s">
        <v>26</v>
      </c>
      <c r="F19" s="245"/>
      <c r="G19" s="245"/>
      <c r="H19" s="165">
        <f ca="1">SUM(H13:H18)</f>
        <v>1287.96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205.75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246.81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386.62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29.05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134.09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117.075564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223.48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156.100752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273.17631599999999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839.18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1287.96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1077.3599999999999</v>
      </c>
    </row>
    <row r="32" spans="1:10" ht="15" customHeight="1" x14ac:dyDescent="0.25">
      <c r="A32" s="229" t="s">
        <v>4</v>
      </c>
      <c r="B32" s="229"/>
      <c r="C32" s="11">
        <f>C16</f>
        <v>75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988.9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3429.22</v>
      </c>
      <c r="E34" s="162" t="s">
        <v>10</v>
      </c>
      <c r="F34" s="167" t="s">
        <v>11</v>
      </c>
      <c r="G34" s="172">
        <v>0.2</v>
      </c>
      <c r="H34" s="173">
        <f ca="1">G34*($H$19+$H$27)</f>
        <v>312.22726320000004</v>
      </c>
    </row>
    <row r="35" spans="1:8" ht="15" customHeight="1" x14ac:dyDescent="0.2">
      <c r="A35" s="229" t="s">
        <v>37</v>
      </c>
      <c r="B35" s="229"/>
      <c r="C35" s="11">
        <f ca="1">C28</f>
        <v>839.18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39.028407900000005</v>
      </c>
    </row>
    <row r="36" spans="1:8" ht="15" customHeight="1" x14ac:dyDescent="0.2">
      <c r="A36" s="219" t="s">
        <v>42</v>
      </c>
      <c r="B36" s="219"/>
      <c r="C36" s="17">
        <f ca="1">ROUND(SUM(C34:C35),2)</f>
        <v>4268.3999999999996</v>
      </c>
      <c r="E36" s="162" t="s">
        <v>13</v>
      </c>
      <c r="F36" s="167" t="s">
        <v>292</v>
      </c>
      <c r="G36" s="172">
        <v>0.03</v>
      </c>
      <c r="H36" s="173">
        <f t="shared" ca="1" si="0"/>
        <v>46.834089480000003</v>
      </c>
    </row>
    <row r="37" spans="1:8" ht="15" customHeight="1" x14ac:dyDescent="0.2">
      <c r="A37" s="232" t="s">
        <v>43</v>
      </c>
      <c r="B37" s="232"/>
      <c r="C37" s="89">
        <v>1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23.417044740000001</v>
      </c>
    </row>
    <row r="38" spans="1:8" ht="15" customHeight="1" x14ac:dyDescent="0.2">
      <c r="A38" s="219" t="s">
        <v>46</v>
      </c>
      <c r="B38" s="219"/>
      <c r="C38" s="17">
        <f ca="1">ROUND((C36*C37),2)</f>
        <v>4268.3999999999996</v>
      </c>
      <c r="E38" s="162" t="s">
        <v>16</v>
      </c>
      <c r="F38" s="167" t="s">
        <v>294</v>
      </c>
      <c r="G38" s="172">
        <v>0.01</v>
      </c>
      <c r="H38" s="173">
        <f t="shared" ca="1" si="0"/>
        <v>15.611363160000002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9.3668178960000006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3.122272632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124.89090528000001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574.498164288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331.92240000000004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1274.9223999999999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273.17631599999999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574.498164288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1274.9223999999999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2122.5968802879997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6.5567725271999997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0.46834089479999996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1.5611363160000001E-3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30.286044530400002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11.145264387187202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0.15611363160000002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54.483657428400001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103.09775453590321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11.864636001600001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12.801317791200002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0.31222726320000005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0.46834089479999996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4.5272953164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25.914862845600002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55.888680112800003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55.888680112800003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55.888680112800003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UNIFORMES'!E11</f>
        <v>75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75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218.67259889620217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247.46449108420214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388.81777476799323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854.95486474839754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1287.96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2122.5968802879997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103.09775453590321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55.888680112800003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75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3644.5433149367032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854.95486474839754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4499.4981796851007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>
        <f ca="1">Salários!E4</f>
        <v>2492.25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Salários!E4</f>
        <v>2492.25</v>
      </c>
      <c r="E4" s="204">
        <v>1</v>
      </c>
      <c r="F4" s="157" t="s">
        <v>259</v>
      </c>
      <c r="G4" s="242" t="s">
        <v>372</v>
      </c>
      <c r="H4" s="242"/>
    </row>
    <row r="5" spans="1:10" ht="15" customHeight="1" x14ac:dyDescent="0.25">
      <c r="A5" s="219" t="s">
        <v>45</v>
      </c>
      <c r="B5" s="219"/>
      <c r="C5" s="17">
        <f ca="1">C4</f>
        <v>2492.25</v>
      </c>
      <c r="E5" s="158">
        <v>2</v>
      </c>
      <c r="F5" s="159" t="s">
        <v>260</v>
      </c>
      <c r="G5" s="238" t="s">
        <v>373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1901.53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92.47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1005.11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Salários!E4</f>
        <v>2492.25</v>
      </c>
    </row>
    <row r="14" spans="1:10" ht="15" customHeight="1" x14ac:dyDescent="0.2">
      <c r="A14" s="108" t="s">
        <v>29</v>
      </c>
      <c r="B14" s="10"/>
      <c r="C14" s="88">
        <f>'TABELA 1 - UNIFORMES'!E42</f>
        <v>67.5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67.5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1913.55</v>
      </c>
      <c r="E19" s="245" t="s">
        <v>26</v>
      </c>
      <c r="F19" s="245"/>
      <c r="G19" s="245"/>
      <c r="H19" s="165">
        <f ca="1">SUM(H13:H18)</f>
        <v>2492.25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328.7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394.3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617.64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46.41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214.21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226.545525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357.02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302.0607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528.60622499999999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1340.64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2492.25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1005.11</v>
      </c>
    </row>
    <row r="32" spans="1:10" ht="15" customHeight="1" x14ac:dyDescent="0.25">
      <c r="A32" s="229" t="s">
        <v>4</v>
      </c>
      <c r="B32" s="229"/>
      <c r="C32" s="11">
        <f>C16</f>
        <v>67.5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1913.55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5478.41</v>
      </c>
      <c r="E34" s="162" t="s">
        <v>10</v>
      </c>
      <c r="F34" s="167" t="s">
        <v>11</v>
      </c>
      <c r="G34" s="172">
        <v>0.2</v>
      </c>
      <c r="H34" s="173">
        <f ca="1">G34*($H$19+$H$27)</f>
        <v>604.171245</v>
      </c>
    </row>
    <row r="35" spans="1:8" ht="15" customHeight="1" x14ac:dyDescent="0.2">
      <c r="A35" s="229" t="s">
        <v>37</v>
      </c>
      <c r="B35" s="229"/>
      <c r="C35" s="11">
        <f ca="1">C28</f>
        <v>1340.64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75.521405625</v>
      </c>
    </row>
    <row r="36" spans="1:8" ht="15" customHeight="1" x14ac:dyDescent="0.2">
      <c r="A36" s="219" t="s">
        <v>42</v>
      </c>
      <c r="B36" s="219"/>
      <c r="C36" s="17">
        <f ca="1">ROUND(SUM(C34:C35),2)</f>
        <v>6819.05</v>
      </c>
      <c r="E36" s="162" t="s">
        <v>13</v>
      </c>
      <c r="F36" s="167" t="s">
        <v>292</v>
      </c>
      <c r="G36" s="172">
        <v>0.03</v>
      </c>
      <c r="H36" s="173">
        <f t="shared" ca="1" si="0"/>
        <v>90.62568675</v>
      </c>
    </row>
    <row r="37" spans="1:8" ht="15" customHeight="1" x14ac:dyDescent="0.2">
      <c r="A37" s="232" t="s">
        <v>43</v>
      </c>
      <c r="B37" s="232"/>
      <c r="C37" s="89">
        <v>3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45.312843375</v>
      </c>
    </row>
    <row r="38" spans="1:8" ht="15" customHeight="1" x14ac:dyDescent="0.2">
      <c r="A38" s="219" t="s">
        <v>46</v>
      </c>
      <c r="B38" s="219"/>
      <c r="C38" s="17">
        <f ca="1">ROUND((C36*C37),2)</f>
        <v>20457.150000000001</v>
      </c>
      <c r="E38" s="162" t="s">
        <v>16</v>
      </c>
      <c r="F38" s="167" t="s">
        <v>294</v>
      </c>
      <c r="G38" s="172">
        <v>0.01</v>
      </c>
      <c r="H38" s="173">
        <f t="shared" ca="1" si="0"/>
        <v>30.20856225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18.125137349999999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6.0417124500000003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241.668498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1111.6750907999999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259.66500000000008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1202.665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528.60622499999999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1111.6750907999999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1202.665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2842.9463157999999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12.687596144999999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0.9062568674999999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3.0208562249999997E-3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58.604610765000004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21.566496761520003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0.30208562250000004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105.4278822525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199.49794927024499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22.958507310000002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24.771021045000001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0.60417124500000008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0.9062568674999999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8.7604830524999997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50.146213334999999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108.146652855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108.146652855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108.146652855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UNIFORMES'!E42</f>
        <v>67.5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67.5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342.62045507551466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387.73214832712415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609.2072056805489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1339.5598090831877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2492.25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2842.9463157999999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199.49794927024499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108.146652855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67.5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5710.3409179252449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1339.5598090831877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7049.900727008433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150"/>
  <sheetViews>
    <sheetView showGridLines="0" topLeftCell="D106" zoomScaleNormal="100" workbookViewId="0">
      <selection activeCell="H130" sqref="H130"/>
    </sheetView>
  </sheetViews>
  <sheetFormatPr defaultColWidth="8.85546875" defaultRowHeight="15" customHeight="1" x14ac:dyDescent="0.2"/>
  <cols>
    <col min="1" max="1" width="38.7109375" style="7" hidden="1" customWidth="1"/>
    <col min="2" max="2" width="6.7109375" style="24" hidden="1" customWidth="1"/>
    <col min="3" max="3" width="12.140625" style="90" hidden="1" customWidth="1"/>
    <col min="4" max="4" width="28.85546875" style="7" customWidth="1"/>
    <col min="5" max="5" width="8.85546875" style="154"/>
    <col min="6" max="6" width="46.42578125" style="155" customWidth="1"/>
    <col min="7" max="7" width="17.7109375" style="155" customWidth="1"/>
    <col min="8" max="8" width="16.85546875" style="154" customWidth="1"/>
    <col min="9" max="16384" width="8.85546875" style="7"/>
  </cols>
  <sheetData>
    <row r="1" spans="1:10" ht="19.899999999999999" customHeight="1" x14ac:dyDescent="0.2">
      <c r="A1" s="221" t="s">
        <v>156</v>
      </c>
      <c r="B1" s="222"/>
      <c r="C1" s="223"/>
      <c r="E1" s="241" t="s">
        <v>257</v>
      </c>
      <c r="F1" s="241"/>
      <c r="G1" s="241"/>
      <c r="H1" s="241"/>
    </row>
    <row r="2" spans="1:10" ht="25.5" x14ac:dyDescent="0.2">
      <c r="A2" s="224" t="s">
        <v>95</v>
      </c>
      <c r="B2" s="225"/>
      <c r="C2" s="5" t="s">
        <v>138</v>
      </c>
      <c r="I2" s="20"/>
      <c r="J2" s="20"/>
    </row>
    <row r="3" spans="1:10" ht="12.75" x14ac:dyDescent="0.2">
      <c r="A3" s="226" t="s">
        <v>2</v>
      </c>
      <c r="B3" s="226"/>
      <c r="C3" s="8" t="s">
        <v>8</v>
      </c>
      <c r="E3" s="240" t="s">
        <v>258</v>
      </c>
      <c r="F3" s="240"/>
      <c r="G3" s="240"/>
      <c r="H3" s="240"/>
      <c r="I3" s="20"/>
      <c r="J3" s="20"/>
    </row>
    <row r="4" spans="1:10" ht="25.5" x14ac:dyDescent="0.25">
      <c r="A4" s="227" t="s">
        <v>5</v>
      </c>
      <c r="B4" s="228"/>
      <c r="C4" s="11">
        <f ca="1">Salários!E5</f>
        <v>1739.15</v>
      </c>
      <c r="E4" s="204">
        <v>1</v>
      </c>
      <c r="F4" s="157" t="s">
        <v>259</v>
      </c>
      <c r="G4" s="242" t="s">
        <v>374</v>
      </c>
      <c r="H4" s="242"/>
    </row>
    <row r="5" spans="1:10" ht="15" customHeight="1" x14ac:dyDescent="0.25">
      <c r="A5" s="219" t="s">
        <v>45</v>
      </c>
      <c r="B5" s="219"/>
      <c r="C5" s="17">
        <f ca="1">C4</f>
        <v>1739.15</v>
      </c>
      <c r="E5" s="158">
        <v>2</v>
      </c>
      <c r="F5" s="159" t="s">
        <v>260</v>
      </c>
      <c r="G5" s="238" t="s">
        <v>375</v>
      </c>
      <c r="H5" s="238"/>
    </row>
    <row r="6" spans="1:10" ht="19.899999999999999" customHeight="1" x14ac:dyDescent="0.25">
      <c r="A6" s="220" t="s">
        <v>3</v>
      </c>
      <c r="B6" s="220"/>
      <c r="C6" s="12" t="s">
        <v>8</v>
      </c>
      <c r="E6" s="158">
        <v>3</v>
      </c>
      <c r="F6" s="159" t="s">
        <v>261</v>
      </c>
      <c r="G6" s="243">
        <v>1287.96</v>
      </c>
      <c r="H6" s="243"/>
    </row>
    <row r="7" spans="1:10" ht="67.5" customHeight="1" x14ac:dyDescent="0.2">
      <c r="A7" s="108" t="s">
        <v>32</v>
      </c>
      <c r="B7" s="111">
        <v>22</v>
      </c>
      <c r="C7" s="88">
        <f ca="1">ROUND((B7*11-C4*6%),2)</f>
        <v>137.65</v>
      </c>
      <c r="E7" s="158">
        <v>4</v>
      </c>
      <c r="F7" s="159" t="s">
        <v>262</v>
      </c>
      <c r="G7" s="235" t="s">
        <v>263</v>
      </c>
      <c r="H7" s="236"/>
    </row>
    <row r="8" spans="1:10" ht="15" customHeight="1" x14ac:dyDescent="0.25">
      <c r="A8" s="108" t="s">
        <v>25</v>
      </c>
      <c r="B8" s="111">
        <v>22</v>
      </c>
      <c r="C8" s="88">
        <f>B8*33.62</f>
        <v>739.64</v>
      </c>
      <c r="D8" s="21"/>
      <c r="E8" s="158">
        <v>5</v>
      </c>
      <c r="F8" s="159" t="s">
        <v>264</v>
      </c>
      <c r="G8" s="237" t="s">
        <v>265</v>
      </c>
      <c r="H8" s="238"/>
    </row>
    <row r="9" spans="1:10" ht="15" customHeight="1" x14ac:dyDescent="0.25">
      <c r="A9" s="108" t="s">
        <v>97</v>
      </c>
      <c r="B9" s="10"/>
      <c r="C9" s="88">
        <v>160.07</v>
      </c>
      <c r="E9" s="158">
        <v>6</v>
      </c>
      <c r="F9" s="159" t="s">
        <v>266</v>
      </c>
      <c r="G9" s="237" t="s">
        <v>267</v>
      </c>
      <c r="H9" s="238"/>
    </row>
    <row r="10" spans="1:10" ht="15" customHeight="1" x14ac:dyDescent="0.2">
      <c r="A10" s="108" t="s">
        <v>96</v>
      </c>
      <c r="B10" s="10"/>
      <c r="C10" s="88">
        <v>10.63</v>
      </c>
    </row>
    <row r="11" spans="1:10" ht="15" customHeight="1" x14ac:dyDescent="0.25">
      <c r="A11" s="108" t="s">
        <v>98</v>
      </c>
      <c r="B11" s="10"/>
      <c r="C11" s="88">
        <v>2.2999999999999998</v>
      </c>
      <c r="E11" s="239" t="s">
        <v>2</v>
      </c>
      <c r="F11" s="239"/>
      <c r="G11" s="239"/>
      <c r="H11" s="239"/>
    </row>
    <row r="12" spans="1:10" ht="15" customHeight="1" x14ac:dyDescent="0.2">
      <c r="A12" s="219" t="s">
        <v>33</v>
      </c>
      <c r="B12" s="219"/>
      <c r="C12" s="87">
        <f ca="1">ROUND(SUM(C7:C11),2)</f>
        <v>1050.29</v>
      </c>
      <c r="E12" s="203">
        <v>1</v>
      </c>
      <c r="F12" s="240" t="s">
        <v>268</v>
      </c>
      <c r="G12" s="240"/>
      <c r="H12" s="206" t="s">
        <v>269</v>
      </c>
    </row>
    <row r="13" spans="1:10" ht="19.899999999999999" customHeight="1" x14ac:dyDescent="0.2">
      <c r="A13" s="220" t="s">
        <v>4</v>
      </c>
      <c r="B13" s="220"/>
      <c r="C13" s="12" t="s">
        <v>8</v>
      </c>
      <c r="E13" s="162" t="s">
        <v>10</v>
      </c>
      <c r="F13" s="244" t="s">
        <v>270</v>
      </c>
      <c r="G13" s="244"/>
      <c r="H13" s="163">
        <f ca="1">Salários!E5</f>
        <v>1739.15</v>
      </c>
    </row>
    <row r="14" spans="1:10" ht="15" customHeight="1" x14ac:dyDescent="0.2">
      <c r="A14" s="108" t="s">
        <v>29</v>
      </c>
      <c r="B14" s="10"/>
      <c r="C14" s="88">
        <f>'TABELA 1 - UNIFORMES'!E55</f>
        <v>68.333333333333329</v>
      </c>
      <c r="E14" s="162" t="s">
        <v>12</v>
      </c>
      <c r="F14" s="247" t="s">
        <v>271</v>
      </c>
      <c r="G14" s="248"/>
      <c r="H14" s="164">
        <v>0</v>
      </c>
    </row>
    <row r="15" spans="1:10" ht="15" customHeight="1" x14ac:dyDescent="0.2">
      <c r="A15" s="108" t="s">
        <v>150</v>
      </c>
      <c r="B15" s="10"/>
      <c r="C15" s="86">
        <v>0</v>
      </c>
      <c r="E15" s="162" t="s">
        <v>13</v>
      </c>
      <c r="F15" s="244" t="s">
        <v>273</v>
      </c>
      <c r="G15" s="244"/>
      <c r="H15" s="164">
        <v>0</v>
      </c>
    </row>
    <row r="16" spans="1:10" ht="15" customHeight="1" x14ac:dyDescent="0.2">
      <c r="A16" s="219" t="s">
        <v>44</v>
      </c>
      <c r="B16" s="219"/>
      <c r="C16" s="87">
        <f>SUM(C14:C15)</f>
        <v>68.333333333333329</v>
      </c>
      <c r="E16" s="162" t="s">
        <v>14</v>
      </c>
      <c r="F16" s="244" t="s">
        <v>274</v>
      </c>
      <c r="G16" s="244"/>
      <c r="H16" s="164">
        <v>0</v>
      </c>
    </row>
    <row r="17" spans="1:10" ht="15" customHeight="1" x14ac:dyDescent="0.2">
      <c r="A17" s="220" t="s">
        <v>34</v>
      </c>
      <c r="B17" s="220"/>
      <c r="C17" s="12" t="s">
        <v>35</v>
      </c>
      <c r="E17" s="162" t="s">
        <v>16</v>
      </c>
      <c r="F17" s="244" t="s">
        <v>275</v>
      </c>
      <c r="G17" s="244"/>
      <c r="H17" s="164">
        <v>0</v>
      </c>
    </row>
    <row r="18" spans="1:10" ht="15" customHeight="1" x14ac:dyDescent="0.2">
      <c r="A18" s="220"/>
      <c r="B18" s="220"/>
      <c r="C18" s="13">
        <v>0.76780000000000004</v>
      </c>
      <c r="E18" s="162" t="s">
        <v>17</v>
      </c>
      <c r="F18" s="244" t="s">
        <v>276</v>
      </c>
      <c r="G18" s="244"/>
      <c r="H18" s="164">
        <v>0</v>
      </c>
    </row>
    <row r="19" spans="1:10" ht="15" customHeight="1" x14ac:dyDescent="0.2">
      <c r="A19" s="219" t="s">
        <v>36</v>
      </c>
      <c r="B19" s="219"/>
      <c r="C19" s="87">
        <f ca="1">ROUND((C5*C18),2)</f>
        <v>1335.32</v>
      </c>
      <c r="E19" s="245" t="s">
        <v>26</v>
      </c>
      <c r="F19" s="245"/>
      <c r="G19" s="245"/>
      <c r="H19" s="165">
        <f ca="1">SUM(H13:H18)</f>
        <v>1739.15</v>
      </c>
    </row>
    <row r="20" spans="1:10" ht="30" hidden="1" customHeight="1" x14ac:dyDescent="0.25">
      <c r="A20" s="230" t="s">
        <v>37</v>
      </c>
      <c r="B20" s="231"/>
      <c r="C20" s="12" t="s">
        <v>8</v>
      </c>
      <c r="E20" s="246" t="s">
        <v>277</v>
      </c>
      <c r="F20" s="246"/>
      <c r="G20" s="246"/>
      <c r="H20" s="246"/>
    </row>
    <row r="21" spans="1:10" ht="15" customHeight="1" x14ac:dyDescent="0.2">
      <c r="A21" s="14" t="s">
        <v>0</v>
      </c>
      <c r="B21" s="15">
        <v>0.06</v>
      </c>
      <c r="C21" s="91">
        <f ca="1">ROUND(((C5+C12+C16+C19)*$B$21),2)</f>
        <v>251.59</v>
      </c>
    </row>
    <row r="22" spans="1:10" ht="15" customHeight="1" x14ac:dyDescent="0.25">
      <c r="A22" s="14" t="s">
        <v>1</v>
      </c>
      <c r="B22" s="15">
        <v>6.7900000000000002E-2</v>
      </c>
      <c r="C22" s="87">
        <f ca="1">ROUND(((C5+C12+C16+C19+C21)*$B$22),2)</f>
        <v>301.79000000000002</v>
      </c>
      <c r="E22" s="239" t="s">
        <v>278</v>
      </c>
      <c r="F22" s="239"/>
      <c r="G22" s="239"/>
      <c r="H22" s="239"/>
    </row>
    <row r="23" spans="1:10" ht="15" customHeight="1" x14ac:dyDescent="0.2">
      <c r="A23" s="14" t="s">
        <v>28</v>
      </c>
      <c r="B23" s="15">
        <v>0.13150000000000001</v>
      </c>
      <c r="C23" s="87">
        <f ca="1">ROUND((C24+C25+C26+C27),2)</f>
        <v>472.73</v>
      </c>
      <c r="E23" s="245" t="s">
        <v>279</v>
      </c>
      <c r="F23" s="245"/>
      <c r="G23" s="245"/>
      <c r="H23" s="245"/>
    </row>
    <row r="24" spans="1:10" ht="25.5" x14ac:dyDescent="0.25">
      <c r="A24" s="18" t="s">
        <v>7</v>
      </c>
      <c r="B24" s="16">
        <v>6.4999999999999997E-3</v>
      </c>
      <c r="C24" s="88">
        <f ca="1">ROUND(((C5+C12+C16+C19+C21+C22)/0.8685*$B$24),2)</f>
        <v>35.520000000000003</v>
      </c>
      <c r="E24" s="207" t="s">
        <v>280</v>
      </c>
      <c r="F24" s="207" t="s">
        <v>281</v>
      </c>
      <c r="G24" s="204" t="s">
        <v>282</v>
      </c>
      <c r="H24" s="207" t="s">
        <v>269</v>
      </c>
    </row>
    <row r="25" spans="1:10" ht="15" customHeight="1" x14ac:dyDescent="0.2">
      <c r="A25" s="18" t="s">
        <v>23</v>
      </c>
      <c r="B25" s="16">
        <v>0.03</v>
      </c>
      <c r="C25" s="88">
        <f ca="1">ROUND(((C5+C12+C16+C19+C21+C22)/0.8685*$B$25),2)</f>
        <v>163.95</v>
      </c>
      <c r="D25" s="19"/>
      <c r="E25" s="162" t="s">
        <v>10</v>
      </c>
      <c r="F25" s="167" t="s">
        <v>283</v>
      </c>
      <c r="G25" s="168">
        <v>9.0899999999999995E-2</v>
      </c>
      <c r="H25" s="169">
        <f ca="1">G25*$H$19</f>
        <v>158.08873499999999</v>
      </c>
    </row>
    <row r="26" spans="1:10" ht="15" customHeight="1" x14ac:dyDescent="0.2">
      <c r="A26" s="18" t="s">
        <v>6</v>
      </c>
      <c r="B26" s="16">
        <v>0.05</v>
      </c>
      <c r="C26" s="88">
        <f ca="1">ROUND(((C5+C12+C16+C19+C21+C22)/0.8685*$B$26),2)</f>
        <v>273.26</v>
      </c>
      <c r="D26" s="19"/>
      <c r="E26" s="162" t="s">
        <v>12</v>
      </c>
      <c r="F26" s="167" t="s">
        <v>284</v>
      </c>
      <c r="G26" s="168">
        <v>0.1212</v>
      </c>
      <c r="H26" s="169">
        <f ca="1">G26*$H$19</f>
        <v>210.78498000000002</v>
      </c>
    </row>
    <row r="27" spans="1:10" ht="15" customHeight="1" x14ac:dyDescent="0.2">
      <c r="A27" s="18" t="s">
        <v>38</v>
      </c>
      <c r="B27" s="16">
        <v>0</v>
      </c>
      <c r="C27" s="88">
        <f ca="1">ROUND(((C5+C12+C16+C19+C21+C22)/0.8685*$B$27),2)</f>
        <v>0</v>
      </c>
      <c r="D27" s="19"/>
      <c r="E27" s="245" t="s">
        <v>26</v>
      </c>
      <c r="F27" s="245"/>
      <c r="G27" s="170">
        <f>SUM(G25:G26)</f>
        <v>0.21210000000000001</v>
      </c>
      <c r="H27" s="171">
        <f ca="1">SUM(H25:H26)</f>
        <v>368.873715</v>
      </c>
    </row>
    <row r="28" spans="1:10" ht="41.25" hidden="1" customHeight="1" x14ac:dyDescent="0.25">
      <c r="A28" s="219" t="s">
        <v>39</v>
      </c>
      <c r="B28" s="219"/>
      <c r="C28" s="17">
        <f ca="1">ROUND((C21+C22+C23),2)</f>
        <v>1026.1099999999999</v>
      </c>
      <c r="D28" s="19"/>
      <c r="E28" s="251" t="s">
        <v>285</v>
      </c>
      <c r="F28" s="251"/>
      <c r="G28" s="251"/>
      <c r="H28" s="251"/>
    </row>
    <row r="29" spans="1:10" ht="12.75" hidden="1" customHeight="1" x14ac:dyDescent="0.25">
      <c r="A29" s="226" t="s">
        <v>40</v>
      </c>
      <c r="B29" s="226"/>
      <c r="C29" s="8" t="s">
        <v>8</v>
      </c>
      <c r="D29" s="6"/>
      <c r="E29" s="251" t="s">
        <v>286</v>
      </c>
      <c r="F29" s="251"/>
      <c r="G29" s="251"/>
      <c r="H29" s="251"/>
      <c r="I29" s="6"/>
      <c r="J29" s="6"/>
    </row>
    <row r="30" spans="1:10" ht="15" hidden="1" customHeight="1" x14ac:dyDescent="0.25">
      <c r="A30" s="229" t="s">
        <v>2</v>
      </c>
      <c r="B30" s="229"/>
      <c r="C30" s="11">
        <f ca="1">C5</f>
        <v>1739.15</v>
      </c>
      <c r="E30" s="251" t="s">
        <v>287</v>
      </c>
      <c r="F30" s="251"/>
      <c r="G30" s="251"/>
      <c r="H30" s="251"/>
    </row>
    <row r="31" spans="1:10" ht="15" customHeight="1" x14ac:dyDescent="0.2">
      <c r="A31" s="229" t="s">
        <v>3</v>
      </c>
      <c r="B31" s="229"/>
      <c r="C31" s="11">
        <f ca="1">C12</f>
        <v>1050.29</v>
      </c>
    </row>
    <row r="32" spans="1:10" ht="15" customHeight="1" x14ac:dyDescent="0.25">
      <c r="A32" s="229" t="s">
        <v>4</v>
      </c>
      <c r="B32" s="229"/>
      <c r="C32" s="11">
        <f>C16</f>
        <v>68.333333333333329</v>
      </c>
      <c r="E32" s="252" t="s">
        <v>288</v>
      </c>
      <c r="F32" s="252"/>
      <c r="G32" s="252"/>
      <c r="H32" s="252"/>
    </row>
    <row r="33" spans="1:8" ht="15" customHeight="1" x14ac:dyDescent="0.2">
      <c r="A33" s="229" t="s">
        <v>34</v>
      </c>
      <c r="B33" s="229"/>
      <c r="C33" s="11">
        <f ca="1">C19</f>
        <v>1335.32</v>
      </c>
      <c r="E33" s="203" t="s">
        <v>289</v>
      </c>
      <c r="F33" s="206" t="s">
        <v>290</v>
      </c>
      <c r="G33" s="206" t="s">
        <v>282</v>
      </c>
      <c r="H33" s="203" t="s">
        <v>269</v>
      </c>
    </row>
    <row r="34" spans="1:8" ht="15" customHeight="1" x14ac:dyDescent="0.2">
      <c r="A34" s="220" t="s">
        <v>41</v>
      </c>
      <c r="B34" s="220"/>
      <c r="C34" s="17">
        <f ca="1">ROUND(SUM(C30:C33),2)</f>
        <v>4193.09</v>
      </c>
      <c r="E34" s="162" t="s">
        <v>10</v>
      </c>
      <c r="F34" s="167" t="s">
        <v>11</v>
      </c>
      <c r="G34" s="172">
        <v>0.2</v>
      </c>
      <c r="H34" s="173">
        <f ca="1">G34*($H$19+$H$27)</f>
        <v>421.6047430000001</v>
      </c>
    </row>
    <row r="35" spans="1:8" ht="15" customHeight="1" x14ac:dyDescent="0.2">
      <c r="A35" s="229" t="s">
        <v>37</v>
      </c>
      <c r="B35" s="229"/>
      <c r="C35" s="11">
        <f ca="1">C28</f>
        <v>1026.1099999999999</v>
      </c>
      <c r="E35" s="162" t="s">
        <v>12</v>
      </c>
      <c r="F35" s="167" t="s">
        <v>291</v>
      </c>
      <c r="G35" s="172">
        <v>2.5000000000000001E-2</v>
      </c>
      <c r="H35" s="173">
        <f t="shared" ref="H35:H41" ca="1" si="0">G35*($H$19+$H$27)</f>
        <v>52.700592875000012</v>
      </c>
    </row>
    <row r="36" spans="1:8" ht="15" customHeight="1" x14ac:dyDescent="0.2">
      <c r="A36" s="219" t="s">
        <v>42</v>
      </c>
      <c r="B36" s="219"/>
      <c r="C36" s="17">
        <f ca="1">ROUND(SUM(C34:C35),2)</f>
        <v>5219.2</v>
      </c>
      <c r="E36" s="162" t="s">
        <v>13</v>
      </c>
      <c r="F36" s="167" t="s">
        <v>292</v>
      </c>
      <c r="G36" s="172">
        <v>0.03</v>
      </c>
      <c r="H36" s="173">
        <f t="shared" ca="1" si="0"/>
        <v>63.240711450000006</v>
      </c>
    </row>
    <row r="37" spans="1:8" ht="15" customHeight="1" x14ac:dyDescent="0.2">
      <c r="A37" s="232" t="s">
        <v>43</v>
      </c>
      <c r="B37" s="232"/>
      <c r="C37" s="89">
        <v>3</v>
      </c>
      <c r="E37" s="162" t="s">
        <v>14</v>
      </c>
      <c r="F37" s="167" t="s">
        <v>293</v>
      </c>
      <c r="G37" s="172">
        <v>1.4999999999999999E-2</v>
      </c>
      <c r="H37" s="173">
        <f t="shared" ca="1" si="0"/>
        <v>31.620355725000003</v>
      </c>
    </row>
    <row r="38" spans="1:8" ht="15" customHeight="1" x14ac:dyDescent="0.2">
      <c r="A38" s="219" t="s">
        <v>46</v>
      </c>
      <c r="B38" s="219"/>
      <c r="C38" s="17">
        <f ca="1">ROUND((C36*C37),2)</f>
        <v>15657.6</v>
      </c>
      <c r="E38" s="162" t="s">
        <v>16</v>
      </c>
      <c r="F38" s="167" t="s">
        <v>294</v>
      </c>
      <c r="G38" s="172">
        <v>0.01</v>
      </c>
      <c r="H38" s="173">
        <f t="shared" ca="1" si="0"/>
        <v>21.080237150000002</v>
      </c>
    </row>
    <row r="39" spans="1:8" ht="15" customHeight="1" x14ac:dyDescent="0.2">
      <c r="A39" s="22"/>
      <c r="B39" s="23"/>
      <c r="E39" s="162" t="s">
        <v>17</v>
      </c>
      <c r="F39" s="167" t="s">
        <v>21</v>
      </c>
      <c r="G39" s="172">
        <v>6.0000000000000001E-3</v>
      </c>
      <c r="H39" s="173">
        <f t="shared" ca="1" si="0"/>
        <v>12.648142290000003</v>
      </c>
    </row>
    <row r="40" spans="1:8" s="4" customFormat="1" ht="15" customHeight="1" x14ac:dyDescent="0.2">
      <c r="A40" s="234" t="s">
        <v>85</v>
      </c>
      <c r="B40" s="234"/>
      <c r="C40" s="234"/>
      <c r="E40" s="162" t="s">
        <v>19</v>
      </c>
      <c r="F40" s="167" t="s">
        <v>15</v>
      </c>
      <c r="G40" s="172">
        <v>2E-3</v>
      </c>
      <c r="H40" s="173">
        <f t="shared" ca="1" si="0"/>
        <v>4.2160474300000006</v>
      </c>
    </row>
    <row r="41" spans="1:8" ht="16.5" customHeight="1" x14ac:dyDescent="0.2">
      <c r="A41" s="233" t="s">
        <v>82</v>
      </c>
      <c r="B41" s="233"/>
      <c r="C41" s="233"/>
      <c r="E41" s="142" t="s">
        <v>20</v>
      </c>
      <c r="F41" s="167" t="s">
        <v>18</v>
      </c>
      <c r="G41" s="172">
        <v>0.08</v>
      </c>
      <c r="H41" s="173">
        <f t="shared" ca="1" si="0"/>
        <v>168.64189720000002</v>
      </c>
    </row>
    <row r="42" spans="1:8" ht="15" customHeight="1" x14ac:dyDescent="0.2">
      <c r="A42" s="233" t="s">
        <v>76</v>
      </c>
      <c r="B42" s="233"/>
      <c r="C42" s="233"/>
      <c r="E42" s="249" t="s">
        <v>26</v>
      </c>
      <c r="F42" s="250"/>
      <c r="G42" s="174">
        <f>SUM(G34:G41)</f>
        <v>0.36800000000000005</v>
      </c>
      <c r="H42" s="175">
        <f ca="1">SUM(H34:H41)</f>
        <v>775.75272712000015</v>
      </c>
    </row>
    <row r="43" spans="1:8" ht="15" hidden="1" customHeight="1" x14ac:dyDescent="0.25">
      <c r="A43" s="233" t="s">
        <v>77</v>
      </c>
      <c r="B43" s="233"/>
      <c r="C43" s="233"/>
      <c r="E43" s="251" t="s">
        <v>295</v>
      </c>
      <c r="F43" s="251"/>
      <c r="G43" s="251"/>
      <c r="H43" s="251"/>
    </row>
    <row r="44" spans="1:8" ht="15" hidden="1" customHeight="1" x14ac:dyDescent="0.25">
      <c r="A44" s="233" t="s">
        <v>84</v>
      </c>
      <c r="B44" s="233"/>
      <c r="C44" s="233"/>
      <c r="E44" s="251" t="s">
        <v>296</v>
      </c>
      <c r="F44" s="251"/>
      <c r="G44" s="251"/>
      <c r="H44" s="251"/>
    </row>
    <row r="45" spans="1:8" ht="30" hidden="1" customHeight="1" x14ac:dyDescent="0.25">
      <c r="A45" s="233" t="s">
        <v>83</v>
      </c>
      <c r="B45" s="233"/>
      <c r="C45" s="233"/>
      <c r="E45" s="251" t="s">
        <v>297</v>
      </c>
      <c r="F45" s="251"/>
      <c r="G45" s="251"/>
      <c r="H45" s="251"/>
    </row>
    <row r="46" spans="1:8" s="4" customFormat="1" ht="15" hidden="1" customHeight="1" x14ac:dyDescent="0.25">
      <c r="A46" s="233" t="s">
        <v>86</v>
      </c>
      <c r="B46" s="233"/>
      <c r="C46" s="233"/>
      <c r="E46" s="251" t="s">
        <v>298</v>
      </c>
      <c r="F46" s="251"/>
      <c r="G46" s="251"/>
      <c r="H46" s="251"/>
    </row>
    <row r="47" spans="1:8" ht="15" hidden="1" customHeight="1" x14ac:dyDescent="0.25">
      <c r="A47" s="6"/>
      <c r="B47" s="23"/>
      <c r="E47" s="251" t="s">
        <v>299</v>
      </c>
      <c r="F47" s="251"/>
      <c r="G47" s="251"/>
      <c r="H47" s="251"/>
    </row>
    <row r="48" spans="1:8" ht="15" customHeight="1" x14ac:dyDescent="0.2">
      <c r="A48" s="6"/>
      <c r="B48" s="23"/>
    </row>
    <row r="49" spans="1:8" ht="15" customHeight="1" x14ac:dyDescent="0.25">
      <c r="A49" s="22"/>
      <c r="B49" s="23"/>
      <c r="E49" s="252" t="s">
        <v>300</v>
      </c>
      <c r="F49" s="252"/>
      <c r="G49" s="252"/>
      <c r="H49" s="252"/>
    </row>
    <row r="50" spans="1:8" ht="15" customHeight="1" x14ac:dyDescent="0.2">
      <c r="A50" s="6"/>
      <c r="B50" s="23"/>
      <c r="E50" s="205" t="s">
        <v>301</v>
      </c>
      <c r="F50" s="204" t="s">
        <v>302</v>
      </c>
      <c r="G50" s="205" t="s">
        <v>303</v>
      </c>
      <c r="H50" s="204" t="s">
        <v>269</v>
      </c>
    </row>
    <row r="51" spans="1:8" ht="15" customHeight="1" x14ac:dyDescent="0.2">
      <c r="A51" s="6"/>
      <c r="B51" s="23"/>
      <c r="E51" s="162" t="s">
        <v>10</v>
      </c>
      <c r="F51" s="167" t="s">
        <v>304</v>
      </c>
      <c r="G51" s="177">
        <v>22</v>
      </c>
      <c r="H51" s="169">
        <f ca="1">(18.6*G51)-0.06*H13</f>
        <v>304.85100000000006</v>
      </c>
    </row>
    <row r="52" spans="1:8" ht="15" customHeight="1" x14ac:dyDescent="0.2">
      <c r="A52" s="6"/>
      <c r="B52" s="23"/>
      <c r="E52" s="162" t="s">
        <v>12</v>
      </c>
      <c r="F52" s="167" t="s">
        <v>305</v>
      </c>
      <c r="G52" s="177">
        <v>22</v>
      </c>
      <c r="H52" s="169">
        <f>35*G52</f>
        <v>770</v>
      </c>
    </row>
    <row r="53" spans="1:8" ht="15" customHeight="1" x14ac:dyDescent="0.2">
      <c r="A53" s="6"/>
      <c r="B53" s="23"/>
      <c r="E53" s="162" t="s">
        <v>13</v>
      </c>
      <c r="F53" s="167" t="s">
        <v>306</v>
      </c>
      <c r="G53" s="177"/>
      <c r="H53" s="169">
        <v>160.07</v>
      </c>
    </row>
    <row r="54" spans="1:8" ht="15" customHeight="1" x14ac:dyDescent="0.2">
      <c r="A54" s="6"/>
      <c r="B54" s="23"/>
      <c r="E54" s="162" t="s">
        <v>14</v>
      </c>
      <c r="F54" s="167" t="s">
        <v>96</v>
      </c>
      <c r="G54" s="177"/>
      <c r="H54" s="169">
        <v>10.63</v>
      </c>
    </row>
    <row r="55" spans="1:8" ht="15" customHeight="1" x14ac:dyDescent="0.2">
      <c r="A55" s="6"/>
      <c r="B55" s="23"/>
      <c r="E55" s="162" t="s">
        <v>16</v>
      </c>
      <c r="F55" s="167" t="s">
        <v>307</v>
      </c>
      <c r="G55" s="177"/>
      <c r="H55" s="169">
        <v>2.2999999999999998</v>
      </c>
    </row>
    <row r="56" spans="1:8" ht="15" customHeight="1" x14ac:dyDescent="0.2">
      <c r="A56" s="6"/>
      <c r="B56" s="23"/>
      <c r="E56" s="255" t="s">
        <v>26</v>
      </c>
      <c r="F56" s="255"/>
      <c r="G56" s="255"/>
      <c r="H56" s="178">
        <f ca="1">SUM(H51:H55)</f>
        <v>1247.8510000000001</v>
      </c>
    </row>
    <row r="57" spans="1:8" ht="15" hidden="1" customHeight="1" x14ac:dyDescent="0.25">
      <c r="A57" s="6"/>
      <c r="B57" s="23"/>
      <c r="E57" s="251" t="s">
        <v>308</v>
      </c>
      <c r="F57" s="251"/>
      <c r="G57" s="251"/>
      <c r="H57" s="251"/>
    </row>
    <row r="58" spans="1:8" ht="15" hidden="1" customHeight="1" x14ac:dyDescent="0.25">
      <c r="A58" s="22"/>
      <c r="B58" s="23"/>
      <c r="E58" s="251" t="s">
        <v>309</v>
      </c>
      <c r="F58" s="251"/>
      <c r="G58" s="251"/>
      <c r="H58" s="251"/>
    </row>
    <row r="59" spans="1:8" ht="15" customHeight="1" x14ac:dyDescent="0.2">
      <c r="A59" s="6"/>
      <c r="B59" s="23"/>
    </row>
    <row r="60" spans="1:8" ht="15" customHeight="1" x14ac:dyDescent="0.25">
      <c r="A60" s="22"/>
      <c r="B60" s="23"/>
      <c r="E60" s="239" t="s">
        <v>310</v>
      </c>
      <c r="F60" s="239"/>
      <c r="G60" s="239"/>
      <c r="H60" s="239"/>
    </row>
    <row r="61" spans="1:8" ht="15" customHeight="1" x14ac:dyDescent="0.25">
      <c r="A61" s="6"/>
      <c r="B61" s="23"/>
      <c r="E61" s="206">
        <v>2</v>
      </c>
      <c r="F61" s="253" t="s">
        <v>311</v>
      </c>
      <c r="G61" s="253"/>
      <c r="H61" s="206" t="s">
        <v>269</v>
      </c>
    </row>
    <row r="62" spans="1:8" ht="15" customHeight="1" x14ac:dyDescent="0.25">
      <c r="A62" s="6"/>
      <c r="B62" s="23"/>
      <c r="E62" s="142" t="s">
        <v>280</v>
      </c>
      <c r="F62" s="254" t="s">
        <v>281</v>
      </c>
      <c r="G62" s="254"/>
      <c r="H62" s="169">
        <f ca="1">H27</f>
        <v>368.873715</v>
      </c>
    </row>
    <row r="63" spans="1:8" ht="15" customHeight="1" x14ac:dyDescent="0.25">
      <c r="A63" s="6"/>
      <c r="B63" s="23"/>
      <c r="E63" s="142" t="s">
        <v>289</v>
      </c>
      <c r="F63" s="244" t="s">
        <v>290</v>
      </c>
      <c r="G63" s="244"/>
      <c r="H63" s="169">
        <f ca="1">H42</f>
        <v>775.75272712000015</v>
      </c>
    </row>
    <row r="64" spans="1:8" ht="15" customHeight="1" x14ac:dyDescent="0.25">
      <c r="A64" s="6"/>
      <c r="B64" s="23"/>
      <c r="E64" s="142" t="s">
        <v>301</v>
      </c>
      <c r="F64" s="244" t="s">
        <v>302</v>
      </c>
      <c r="G64" s="244"/>
      <c r="H64" s="169">
        <f ca="1">H56</f>
        <v>1247.8510000000001</v>
      </c>
    </row>
    <row r="65" spans="1:8" ht="15" customHeight="1" x14ac:dyDescent="0.2">
      <c r="A65" s="6"/>
      <c r="B65" s="23"/>
      <c r="E65" s="249" t="s">
        <v>26</v>
      </c>
      <c r="F65" s="257"/>
      <c r="G65" s="250"/>
      <c r="H65" s="171">
        <f ca="1">SUM(H62:H64)</f>
        <v>2392.47744212</v>
      </c>
    </row>
    <row r="66" spans="1:8" ht="15" customHeight="1" x14ac:dyDescent="0.2">
      <c r="A66" s="6"/>
      <c r="B66" s="23"/>
    </row>
    <row r="67" spans="1:8" ht="15" customHeight="1" x14ac:dyDescent="0.25">
      <c r="A67" s="6"/>
      <c r="B67" s="23"/>
      <c r="E67" s="239" t="s">
        <v>312</v>
      </c>
      <c r="F67" s="239"/>
      <c r="G67" s="239"/>
      <c r="H67" s="239"/>
    </row>
    <row r="68" spans="1:8" ht="15" customHeight="1" x14ac:dyDescent="0.25">
      <c r="A68" s="6"/>
      <c r="B68" s="23"/>
      <c r="E68" s="206">
        <v>3</v>
      </c>
      <c r="F68" s="206" t="s">
        <v>27</v>
      </c>
      <c r="G68" s="206" t="s">
        <v>282</v>
      </c>
      <c r="H68" s="206" t="s">
        <v>269</v>
      </c>
    </row>
    <row r="69" spans="1:8" ht="15" customHeight="1" x14ac:dyDescent="0.2">
      <c r="A69" s="6"/>
      <c r="B69" s="23"/>
      <c r="E69" s="142" t="s">
        <v>10</v>
      </c>
      <c r="F69" s="159" t="s">
        <v>313</v>
      </c>
      <c r="G69" s="172">
        <v>4.1999999999999997E-3</v>
      </c>
      <c r="H69" s="173">
        <f ca="1">G69*($H$19+$H$27)</f>
        <v>8.8536996030000008</v>
      </c>
    </row>
    <row r="70" spans="1:8" ht="15" customHeight="1" x14ac:dyDescent="0.2">
      <c r="A70" s="6"/>
      <c r="B70" s="23"/>
      <c r="E70" s="142" t="s">
        <v>12</v>
      </c>
      <c r="F70" s="159" t="s">
        <v>314</v>
      </c>
      <c r="G70" s="172">
        <v>2.9999999999999997E-4</v>
      </c>
      <c r="H70" s="173">
        <f t="shared" ref="H70:H75" ca="1" si="1">G70*($H$19+$H$27)</f>
        <v>0.63240711449999998</v>
      </c>
    </row>
    <row r="71" spans="1:8" ht="25.5" x14ac:dyDescent="0.2">
      <c r="A71" s="6"/>
      <c r="B71" s="23"/>
      <c r="E71" s="142" t="s">
        <v>13</v>
      </c>
      <c r="F71" s="159" t="s">
        <v>315</v>
      </c>
      <c r="G71" s="179">
        <v>9.9999999999999995E-7</v>
      </c>
      <c r="H71" s="173">
        <f t="shared" ca="1" si="1"/>
        <v>2.1080237150000003E-3</v>
      </c>
    </row>
    <row r="72" spans="1:8" ht="15" customHeight="1" x14ac:dyDescent="0.2">
      <c r="A72" s="6"/>
      <c r="B72" s="23"/>
      <c r="E72" s="142" t="s">
        <v>14</v>
      </c>
      <c r="F72" s="159" t="s">
        <v>316</v>
      </c>
      <c r="G72" s="180">
        <v>1.9400000000000001E-2</v>
      </c>
      <c r="H72" s="173">
        <f t="shared" ca="1" si="1"/>
        <v>40.895660071000009</v>
      </c>
    </row>
    <row r="73" spans="1:8" ht="25.5" x14ac:dyDescent="0.2">
      <c r="A73" s="6"/>
      <c r="B73" s="23"/>
      <c r="E73" s="142" t="s">
        <v>16</v>
      </c>
      <c r="F73" s="159" t="s">
        <v>317</v>
      </c>
      <c r="G73" s="172">
        <f>(G42*G72)</f>
        <v>7.1392000000000009E-3</v>
      </c>
      <c r="H73" s="173">
        <f t="shared" ca="1" si="1"/>
        <v>15.049602906128003</v>
      </c>
    </row>
    <row r="74" spans="1:8" ht="25.5" x14ac:dyDescent="0.2">
      <c r="A74" s="6"/>
      <c r="B74" s="23"/>
      <c r="E74" s="142" t="s">
        <v>17</v>
      </c>
      <c r="F74" s="159" t="s">
        <v>318</v>
      </c>
      <c r="G74" s="172">
        <v>1E-4</v>
      </c>
      <c r="H74" s="173">
        <f t="shared" ca="1" si="1"/>
        <v>0.21080237150000003</v>
      </c>
    </row>
    <row r="75" spans="1:8" ht="15" customHeight="1" x14ac:dyDescent="0.2">
      <c r="A75" s="6"/>
      <c r="B75" s="23"/>
      <c r="E75" s="144" t="s">
        <v>19</v>
      </c>
      <c r="F75" s="181" t="s">
        <v>319</v>
      </c>
      <c r="G75" s="172">
        <v>3.49E-2</v>
      </c>
      <c r="H75" s="173">
        <f t="shared" ca="1" si="1"/>
        <v>73.570027653500006</v>
      </c>
    </row>
    <row r="76" spans="1:8" ht="15" customHeight="1" x14ac:dyDescent="0.2">
      <c r="A76" s="6"/>
      <c r="B76" s="23"/>
      <c r="E76" s="249" t="s">
        <v>26</v>
      </c>
      <c r="F76" s="250"/>
      <c r="G76" s="170">
        <f>SUM(G69:G75)</f>
        <v>6.6040199999999993E-2</v>
      </c>
      <c r="H76" s="171">
        <f ca="1">SUM(H69:H75)</f>
        <v>139.214307743343</v>
      </c>
    </row>
    <row r="77" spans="1:8" ht="15" hidden="1" customHeight="1" x14ac:dyDescent="0.25">
      <c r="A77" s="22"/>
      <c r="B77" s="23"/>
      <c r="E77" s="251" t="s">
        <v>320</v>
      </c>
      <c r="F77" s="251"/>
      <c r="G77" s="251"/>
      <c r="H77" s="251"/>
    </row>
    <row r="78" spans="1:8" ht="15" hidden="1" customHeight="1" x14ac:dyDescent="0.25">
      <c r="A78" s="6"/>
      <c r="B78" s="23"/>
      <c r="E78" s="251" t="s">
        <v>321</v>
      </c>
      <c r="F78" s="251"/>
      <c r="G78" s="251"/>
      <c r="H78" s="251"/>
    </row>
    <row r="79" spans="1:8" ht="15" customHeight="1" x14ac:dyDescent="0.2">
      <c r="A79" s="6"/>
      <c r="B79" s="23"/>
    </row>
    <row r="80" spans="1:8" ht="15" customHeight="1" x14ac:dyDescent="0.25">
      <c r="A80" s="6"/>
      <c r="B80" s="23"/>
      <c r="E80" s="239" t="s">
        <v>322</v>
      </c>
      <c r="F80" s="239"/>
      <c r="G80" s="239"/>
      <c r="H80" s="239"/>
    </row>
    <row r="81" spans="1:8" ht="15" customHeight="1" x14ac:dyDescent="0.25">
      <c r="A81" s="6"/>
      <c r="B81" s="23"/>
      <c r="E81" s="256" t="s">
        <v>323</v>
      </c>
      <c r="F81" s="256"/>
      <c r="G81" s="256"/>
      <c r="H81" s="256"/>
    </row>
    <row r="82" spans="1:8" ht="15" customHeight="1" x14ac:dyDescent="0.2">
      <c r="A82" s="6"/>
      <c r="B82" s="23"/>
    </row>
    <row r="83" spans="1:8" ht="15" customHeight="1" x14ac:dyDescent="0.25">
      <c r="A83" s="6"/>
      <c r="B83" s="23"/>
      <c r="E83" s="252" t="s">
        <v>324</v>
      </c>
      <c r="F83" s="252"/>
      <c r="G83" s="252"/>
      <c r="H83" s="252"/>
    </row>
    <row r="84" spans="1:8" ht="15" customHeight="1" x14ac:dyDescent="0.2">
      <c r="A84" s="6"/>
      <c r="B84" s="23"/>
      <c r="E84" s="205" t="s">
        <v>9</v>
      </c>
      <c r="F84" s="204" t="s">
        <v>325</v>
      </c>
      <c r="G84" s="204" t="s">
        <v>282</v>
      </c>
      <c r="H84" s="204" t="s">
        <v>269</v>
      </c>
    </row>
    <row r="85" spans="1:8" ht="15" customHeight="1" x14ac:dyDescent="0.2">
      <c r="A85" s="6"/>
      <c r="B85" s="23"/>
      <c r="E85" s="142" t="s">
        <v>10</v>
      </c>
      <c r="F85" s="159" t="s">
        <v>326</v>
      </c>
      <c r="G85" s="172">
        <v>7.6E-3</v>
      </c>
      <c r="H85" s="173">
        <f ca="1">G85*($H$19+$H$27)</f>
        <v>16.020980234000003</v>
      </c>
    </row>
    <row r="86" spans="1:8" ht="15" customHeight="1" x14ac:dyDescent="0.2">
      <c r="A86" s="22"/>
      <c r="B86" s="23"/>
      <c r="E86" s="142" t="s">
        <v>12</v>
      </c>
      <c r="F86" s="159" t="s">
        <v>327</v>
      </c>
      <c r="G86" s="172">
        <v>8.2000000000000007E-3</v>
      </c>
      <c r="H86" s="173">
        <f t="shared" ref="H86:H90" ca="1" si="2">G86*($H$19+$H$27)</f>
        <v>17.285794463000002</v>
      </c>
    </row>
    <row r="87" spans="1:8" ht="15" customHeight="1" x14ac:dyDescent="0.2">
      <c r="A87" s="6"/>
      <c r="B87" s="23"/>
      <c r="E87" s="142" t="s">
        <v>13</v>
      </c>
      <c r="F87" s="159" t="s">
        <v>328</v>
      </c>
      <c r="G87" s="172">
        <v>2.0000000000000001E-4</v>
      </c>
      <c r="H87" s="173">
        <f t="shared" ca="1" si="2"/>
        <v>0.42160474300000006</v>
      </c>
    </row>
    <row r="88" spans="1:8" ht="25.5" x14ac:dyDescent="0.2">
      <c r="A88" s="22"/>
      <c r="B88" s="23"/>
      <c r="E88" s="142" t="s">
        <v>14</v>
      </c>
      <c r="F88" s="159" t="s">
        <v>329</v>
      </c>
      <c r="G88" s="172">
        <v>2.9999999999999997E-4</v>
      </c>
      <c r="H88" s="173">
        <f t="shared" ca="1" si="2"/>
        <v>0.63240711449999998</v>
      </c>
    </row>
    <row r="89" spans="1:8" ht="15" customHeight="1" x14ac:dyDescent="0.2">
      <c r="A89" s="6"/>
      <c r="B89" s="23"/>
      <c r="E89" s="142" t="s">
        <v>16</v>
      </c>
      <c r="F89" s="159" t="s">
        <v>330</v>
      </c>
      <c r="G89" s="172">
        <v>2.8999999999999998E-3</v>
      </c>
      <c r="H89" s="173">
        <f t="shared" ca="1" si="2"/>
        <v>6.1132687735000006</v>
      </c>
    </row>
    <row r="90" spans="1:8" ht="25.5" x14ac:dyDescent="0.2">
      <c r="A90" s="6"/>
      <c r="B90" s="23"/>
      <c r="E90" s="142" t="s">
        <v>17</v>
      </c>
      <c r="F90" s="159" t="s">
        <v>331</v>
      </c>
      <c r="G90" s="172">
        <v>1.66E-2</v>
      </c>
      <c r="H90" s="173">
        <f t="shared" ca="1" si="2"/>
        <v>34.993193669000007</v>
      </c>
    </row>
    <row r="91" spans="1:8" ht="15" customHeight="1" x14ac:dyDescent="0.2">
      <c r="A91" s="6"/>
      <c r="B91" s="23"/>
      <c r="E91" s="249" t="s">
        <v>26</v>
      </c>
      <c r="F91" s="250"/>
      <c r="G91" s="170">
        <f>SUM(G85:G90)</f>
        <v>3.5799999999999998E-2</v>
      </c>
      <c r="H91" s="182">
        <f ca="1">SUM(H85:H90)</f>
        <v>75.467248997000013</v>
      </c>
    </row>
    <row r="92" spans="1:8" ht="15" hidden="1" customHeight="1" x14ac:dyDescent="0.25">
      <c r="A92" s="6"/>
      <c r="B92" s="23"/>
      <c r="E92" s="251" t="s">
        <v>332</v>
      </c>
      <c r="F92" s="251"/>
      <c r="G92" s="251"/>
      <c r="H92" s="251"/>
    </row>
    <row r="93" spans="1:8" ht="15" customHeight="1" x14ac:dyDescent="0.2">
      <c r="A93" s="6"/>
      <c r="B93" s="23"/>
    </row>
    <row r="94" spans="1:8" ht="15" customHeight="1" x14ac:dyDescent="0.2">
      <c r="A94" s="6"/>
      <c r="B94" s="23"/>
      <c r="E94" s="255" t="s">
        <v>333</v>
      </c>
      <c r="F94" s="255"/>
      <c r="G94" s="255"/>
      <c r="H94" s="255"/>
    </row>
    <row r="95" spans="1:8" ht="15" customHeight="1" x14ac:dyDescent="0.2">
      <c r="A95" s="6"/>
      <c r="B95" s="23"/>
      <c r="E95" s="205" t="s">
        <v>22</v>
      </c>
      <c r="F95" s="204" t="s">
        <v>334</v>
      </c>
      <c r="G95" s="204" t="s">
        <v>269</v>
      </c>
      <c r="H95" s="205"/>
    </row>
    <row r="96" spans="1:8" ht="25.5" x14ac:dyDescent="0.2">
      <c r="A96" s="6"/>
      <c r="B96" s="23"/>
      <c r="E96" s="142" t="s">
        <v>10</v>
      </c>
      <c r="F96" s="159" t="s">
        <v>335</v>
      </c>
      <c r="G96" s="183"/>
      <c r="H96" s="184"/>
    </row>
    <row r="97" spans="1:8" ht="15" customHeight="1" x14ac:dyDescent="0.2">
      <c r="A97" s="6"/>
      <c r="B97" s="23"/>
      <c r="E97" s="259" t="s">
        <v>26</v>
      </c>
      <c r="F97" s="260"/>
      <c r="G97" s="169">
        <f>SUM(G96)</f>
        <v>0</v>
      </c>
      <c r="H97" s="184"/>
    </row>
    <row r="98" spans="1:8" ht="15" customHeight="1" x14ac:dyDescent="0.2">
      <c r="A98" s="6"/>
      <c r="B98" s="23"/>
    </row>
    <row r="99" spans="1:8" ht="15" customHeight="1" x14ac:dyDescent="0.25">
      <c r="A99" s="6"/>
      <c r="B99" s="23"/>
      <c r="E99" s="239" t="s">
        <v>336</v>
      </c>
      <c r="F99" s="239"/>
      <c r="G99" s="239"/>
      <c r="H99" s="239"/>
    </row>
    <row r="100" spans="1:8" ht="15" customHeight="1" x14ac:dyDescent="0.2">
      <c r="A100" s="6"/>
      <c r="B100" s="23"/>
      <c r="E100" s="203">
        <v>4</v>
      </c>
      <c r="F100" s="253" t="s">
        <v>337</v>
      </c>
      <c r="G100" s="253"/>
      <c r="H100" s="206" t="s">
        <v>269</v>
      </c>
    </row>
    <row r="101" spans="1:8" ht="15" customHeight="1" x14ac:dyDescent="0.2">
      <c r="A101" s="6"/>
      <c r="B101" s="23"/>
      <c r="E101" s="162" t="s">
        <v>9</v>
      </c>
      <c r="F101" s="244" t="s">
        <v>325</v>
      </c>
      <c r="G101" s="244"/>
      <c r="H101" s="169">
        <f ca="1">H91</f>
        <v>75.467248997000013</v>
      </c>
    </row>
    <row r="102" spans="1:8" ht="15" customHeight="1" x14ac:dyDescent="0.2">
      <c r="A102" s="6"/>
      <c r="B102" s="23"/>
      <c r="E102" s="162" t="s">
        <v>22</v>
      </c>
      <c r="F102" s="167" t="s">
        <v>338</v>
      </c>
      <c r="G102" s="167"/>
      <c r="H102" s="183">
        <f>G97</f>
        <v>0</v>
      </c>
    </row>
    <row r="103" spans="1:8" ht="15" customHeight="1" x14ac:dyDescent="0.2">
      <c r="A103" s="6"/>
      <c r="B103" s="23"/>
      <c r="E103" s="245" t="s">
        <v>26</v>
      </c>
      <c r="F103" s="245"/>
      <c r="G103" s="245"/>
      <c r="H103" s="171">
        <f ca="1">SUM(H101:H102)</f>
        <v>75.467248997000013</v>
      </c>
    </row>
    <row r="104" spans="1:8" ht="15" customHeight="1" x14ac:dyDescent="0.2">
      <c r="A104" s="6"/>
      <c r="B104" s="23"/>
    </row>
    <row r="105" spans="1:8" ht="15" customHeight="1" x14ac:dyDescent="0.25">
      <c r="A105" s="22"/>
      <c r="B105" s="23"/>
      <c r="E105" s="239" t="s">
        <v>339</v>
      </c>
      <c r="F105" s="239"/>
      <c r="G105" s="239"/>
      <c r="H105" s="239"/>
    </row>
    <row r="106" spans="1:8" ht="15" customHeight="1" x14ac:dyDescent="0.2">
      <c r="A106" s="6"/>
      <c r="B106" s="23"/>
      <c r="E106" s="205">
        <v>5</v>
      </c>
      <c r="F106" s="258" t="s">
        <v>340</v>
      </c>
      <c r="G106" s="258"/>
      <c r="H106" s="204" t="s">
        <v>269</v>
      </c>
    </row>
    <row r="107" spans="1:8" ht="15" customHeight="1" x14ac:dyDescent="0.2">
      <c r="A107" s="6"/>
      <c r="B107" s="23"/>
      <c r="E107" s="162" t="s">
        <v>10</v>
      </c>
      <c r="F107" s="244" t="s">
        <v>29</v>
      </c>
      <c r="G107" s="244"/>
      <c r="H107" s="185">
        <f>'TABELA 1 - UNIFORMES'!E55</f>
        <v>68.333333333333329</v>
      </c>
    </row>
    <row r="108" spans="1:8" ht="15" customHeight="1" x14ac:dyDescent="0.2">
      <c r="A108" s="6"/>
      <c r="B108" s="23"/>
      <c r="E108" s="162" t="s">
        <v>12</v>
      </c>
      <c r="F108" s="244" t="s">
        <v>341</v>
      </c>
      <c r="G108" s="244"/>
      <c r="H108" s="185">
        <v>0</v>
      </c>
    </row>
    <row r="109" spans="1:8" ht="15" customHeight="1" x14ac:dyDescent="0.2">
      <c r="A109" s="6"/>
      <c r="B109" s="23"/>
      <c r="E109" s="162" t="s">
        <v>13</v>
      </c>
      <c r="F109" s="244" t="s">
        <v>342</v>
      </c>
      <c r="G109" s="244"/>
      <c r="H109" s="169">
        <v>0</v>
      </c>
    </row>
    <row r="110" spans="1:8" ht="15" customHeight="1" x14ac:dyDescent="0.2">
      <c r="A110" s="6"/>
      <c r="B110" s="23"/>
      <c r="E110" s="162" t="s">
        <v>14</v>
      </c>
      <c r="F110" s="244" t="s">
        <v>276</v>
      </c>
      <c r="G110" s="244"/>
      <c r="H110" s="169">
        <v>0</v>
      </c>
    </row>
    <row r="111" spans="1:8" ht="15" customHeight="1" x14ac:dyDescent="0.2">
      <c r="A111" s="6"/>
      <c r="B111" s="23"/>
      <c r="E111" s="245" t="s">
        <v>26</v>
      </c>
      <c r="F111" s="245"/>
      <c r="G111" s="245"/>
      <c r="H111" s="182">
        <f>SUM(H107:H110)</f>
        <v>68.333333333333329</v>
      </c>
    </row>
    <row r="112" spans="1:8" ht="15" hidden="1" customHeight="1" x14ac:dyDescent="0.25">
      <c r="A112" s="6"/>
      <c r="B112" s="23"/>
      <c r="E112" s="251" t="s">
        <v>343</v>
      </c>
      <c r="F112" s="251"/>
      <c r="G112" s="251"/>
      <c r="H112" s="251"/>
    </row>
    <row r="113" spans="1:8" ht="15" customHeight="1" x14ac:dyDescent="0.2">
      <c r="A113" s="6"/>
      <c r="B113" s="23"/>
    </row>
    <row r="114" spans="1:8" ht="15" customHeight="1" x14ac:dyDescent="0.25">
      <c r="A114" s="22"/>
      <c r="B114" s="23"/>
      <c r="E114" s="239" t="s">
        <v>344</v>
      </c>
      <c r="F114" s="239"/>
      <c r="G114" s="239"/>
      <c r="H114" s="239"/>
    </row>
    <row r="115" spans="1:8" ht="15" customHeight="1" x14ac:dyDescent="0.2">
      <c r="A115" s="6"/>
      <c r="B115" s="23"/>
      <c r="E115" s="261" t="s">
        <v>345</v>
      </c>
      <c r="F115" s="261"/>
      <c r="G115" s="262" t="s">
        <v>346</v>
      </c>
      <c r="H115" s="262"/>
    </row>
    <row r="116" spans="1:8" ht="15" customHeight="1" x14ac:dyDescent="0.2">
      <c r="A116" s="22"/>
      <c r="B116" s="23"/>
      <c r="E116" s="203">
        <v>6</v>
      </c>
      <c r="F116" s="206" t="s">
        <v>347</v>
      </c>
      <c r="G116" s="206" t="s">
        <v>282</v>
      </c>
      <c r="H116" s="203" t="s">
        <v>269</v>
      </c>
    </row>
    <row r="117" spans="1:8" ht="15" customHeight="1" x14ac:dyDescent="0.2">
      <c r="A117" s="6"/>
      <c r="B117" s="23"/>
      <c r="E117" s="162" t="s">
        <v>10</v>
      </c>
      <c r="F117" s="167" t="s">
        <v>0</v>
      </c>
      <c r="G117" s="172">
        <v>0.06</v>
      </c>
      <c r="H117" s="173">
        <f ca="1">G117*H135</f>
        <v>264.87853993162054</v>
      </c>
    </row>
    <row r="118" spans="1:8" ht="15" customHeight="1" x14ac:dyDescent="0.2">
      <c r="A118" s="6"/>
      <c r="B118" s="23"/>
      <c r="E118" s="162" t="s">
        <v>12</v>
      </c>
      <c r="F118" s="167" t="s">
        <v>1</v>
      </c>
      <c r="G118" s="172">
        <v>6.7900000000000002E-2</v>
      </c>
      <c r="H118" s="173">
        <f ca="1">G118*H135</f>
        <v>299.75421435595058</v>
      </c>
    </row>
    <row r="119" spans="1:8" ht="15" customHeight="1" x14ac:dyDescent="0.2">
      <c r="A119" s="6"/>
      <c r="B119" s="23"/>
      <c r="E119" s="162" t="s">
        <v>13</v>
      </c>
      <c r="F119" s="167" t="s">
        <v>348</v>
      </c>
      <c r="G119" s="186">
        <f>SUM(G120:G122)</f>
        <v>8.6499999999999994E-2</v>
      </c>
      <c r="H119" s="173">
        <f ca="1">(H135+H118+H117)*(G119/IF(G115="Lucro presumido",91.45%,85.75%))</f>
        <v>470.9757189509325</v>
      </c>
    </row>
    <row r="120" spans="1:8" ht="15" customHeight="1" x14ac:dyDescent="0.2">
      <c r="A120" s="6"/>
      <c r="B120" s="23"/>
      <c r="E120" s="162" t="s">
        <v>349</v>
      </c>
      <c r="F120" s="167" t="s">
        <v>350</v>
      </c>
      <c r="G120" s="186">
        <f>IF(G115="Lucro presumido",0.65%,1.65%)</f>
        <v>6.5000000000000006E-3</v>
      </c>
      <c r="H120" s="187" t="s">
        <v>272</v>
      </c>
    </row>
    <row r="121" spans="1:8" ht="15" customHeight="1" x14ac:dyDescent="0.2">
      <c r="A121" s="6"/>
      <c r="B121" s="23"/>
      <c r="E121" s="162" t="s">
        <v>351</v>
      </c>
      <c r="F121" s="167" t="s">
        <v>352</v>
      </c>
      <c r="G121" s="186">
        <f>IF(G115="Lucro presumido",3%,7.6%)</f>
        <v>0.03</v>
      </c>
      <c r="H121" s="187" t="s">
        <v>272</v>
      </c>
    </row>
    <row r="122" spans="1:8" ht="15" customHeight="1" x14ac:dyDescent="0.2">
      <c r="A122" s="6"/>
      <c r="B122" s="23"/>
      <c r="E122" s="162" t="s">
        <v>353</v>
      </c>
      <c r="F122" s="167" t="s">
        <v>354</v>
      </c>
      <c r="G122" s="186">
        <v>0.05</v>
      </c>
      <c r="H122" s="187" t="s">
        <v>272</v>
      </c>
    </row>
    <row r="123" spans="1:8" ht="25.5" x14ac:dyDescent="0.25">
      <c r="A123" s="6"/>
      <c r="B123" s="23"/>
      <c r="E123" s="142" t="s">
        <v>14</v>
      </c>
      <c r="F123" s="159" t="s">
        <v>355</v>
      </c>
      <c r="G123" s="188">
        <v>0</v>
      </c>
      <c r="H123" s="189">
        <f ca="1">(H135+H118+H117)*(G123/IF(G115="Lucro presumido",91.45%,85.75%))</f>
        <v>0</v>
      </c>
    </row>
    <row r="124" spans="1:8" ht="15" customHeight="1" x14ac:dyDescent="0.2">
      <c r="A124" s="6"/>
      <c r="B124" s="23"/>
      <c r="E124" s="245" t="s">
        <v>26</v>
      </c>
      <c r="F124" s="245"/>
      <c r="G124" s="174">
        <f>SUM(G117:G119)+(G123)</f>
        <v>0.21440000000000001</v>
      </c>
      <c r="H124" s="182">
        <f ca="1">SUM(H117:H122)</f>
        <v>1035.6084732385036</v>
      </c>
    </row>
    <row r="125" spans="1:8" ht="15" hidden="1" customHeight="1" x14ac:dyDescent="0.25">
      <c r="A125" s="6"/>
      <c r="B125" s="23"/>
      <c r="E125" s="251" t="s">
        <v>356</v>
      </c>
      <c r="F125" s="251"/>
      <c r="G125" s="251"/>
      <c r="H125" s="251"/>
    </row>
    <row r="126" spans="1:8" ht="15" hidden="1" customHeight="1" x14ac:dyDescent="0.25">
      <c r="A126" s="6"/>
      <c r="B126" s="23"/>
      <c r="E126" s="251" t="s">
        <v>357</v>
      </c>
      <c r="F126" s="251"/>
      <c r="G126" s="251"/>
      <c r="H126" s="251"/>
    </row>
    <row r="127" spans="1:8" ht="15" customHeight="1" x14ac:dyDescent="0.2">
      <c r="A127" s="6"/>
      <c r="B127" s="23"/>
    </row>
    <row r="128" spans="1:8" ht="15" customHeight="1" x14ac:dyDescent="0.25">
      <c r="A128" s="6"/>
      <c r="B128" s="23"/>
      <c r="E128" s="239" t="s">
        <v>358</v>
      </c>
      <c r="F128" s="239"/>
      <c r="G128" s="239"/>
      <c r="H128" s="239"/>
    </row>
    <row r="129" spans="1:8" ht="15" customHeight="1" x14ac:dyDescent="0.2">
      <c r="A129" s="6"/>
      <c r="B129" s="23"/>
      <c r="E129" s="259" t="s">
        <v>359</v>
      </c>
      <c r="F129" s="264"/>
      <c r="G129" s="260"/>
      <c r="H129" s="204" t="s">
        <v>360</v>
      </c>
    </row>
    <row r="130" spans="1:8" ht="15" customHeight="1" x14ac:dyDescent="0.25">
      <c r="A130" s="6"/>
      <c r="B130" s="23"/>
      <c r="E130" s="142" t="s">
        <v>10</v>
      </c>
      <c r="F130" s="254" t="s">
        <v>2</v>
      </c>
      <c r="G130" s="254"/>
      <c r="H130" s="169">
        <f ca="1">H19</f>
        <v>1739.15</v>
      </c>
    </row>
    <row r="131" spans="1:8" ht="15" customHeight="1" x14ac:dyDescent="0.25">
      <c r="A131" s="6"/>
      <c r="B131" s="23"/>
      <c r="E131" s="142" t="s">
        <v>12</v>
      </c>
      <c r="F131" s="254" t="s">
        <v>278</v>
      </c>
      <c r="G131" s="254"/>
      <c r="H131" s="169">
        <f ca="1">H65</f>
        <v>2392.47744212</v>
      </c>
    </row>
    <row r="132" spans="1:8" ht="15" customHeight="1" x14ac:dyDescent="0.25">
      <c r="A132" s="6"/>
      <c r="B132" s="23"/>
      <c r="E132" s="142" t="s">
        <v>13</v>
      </c>
      <c r="F132" s="254" t="s">
        <v>312</v>
      </c>
      <c r="G132" s="254"/>
      <c r="H132" s="169">
        <f ca="1">H76</f>
        <v>139.214307743343</v>
      </c>
    </row>
    <row r="133" spans="1:8" ht="15" customHeight="1" x14ac:dyDescent="0.25">
      <c r="A133" s="22"/>
      <c r="B133" s="23"/>
      <c r="E133" s="142" t="s">
        <v>14</v>
      </c>
      <c r="F133" s="254" t="s">
        <v>322</v>
      </c>
      <c r="G133" s="254"/>
      <c r="H133" s="169">
        <f ca="1">H103</f>
        <v>75.467248997000013</v>
      </c>
    </row>
    <row r="134" spans="1:8" ht="15" customHeight="1" x14ac:dyDescent="0.25">
      <c r="A134" s="6"/>
      <c r="B134" s="23"/>
      <c r="E134" s="142" t="s">
        <v>16</v>
      </c>
      <c r="F134" s="254" t="s">
        <v>339</v>
      </c>
      <c r="G134" s="254"/>
      <c r="H134" s="169">
        <f>H111</f>
        <v>68.333333333333329</v>
      </c>
    </row>
    <row r="135" spans="1:8" ht="15" customHeight="1" x14ac:dyDescent="0.2">
      <c r="A135" s="6"/>
      <c r="B135" s="23"/>
      <c r="E135" s="245" t="s">
        <v>361</v>
      </c>
      <c r="F135" s="245"/>
      <c r="G135" s="245"/>
      <c r="H135" s="171">
        <f ca="1">SUM(H130:H134)</f>
        <v>4414.6423321936754</v>
      </c>
    </row>
    <row r="136" spans="1:8" ht="15" customHeight="1" x14ac:dyDescent="0.2">
      <c r="A136" s="6"/>
      <c r="B136" s="23"/>
      <c r="E136" s="162" t="s">
        <v>17</v>
      </c>
      <c r="F136" s="244" t="s">
        <v>344</v>
      </c>
      <c r="G136" s="244"/>
      <c r="H136" s="169">
        <f ca="1">H124</f>
        <v>1035.6084732385036</v>
      </c>
    </row>
    <row r="137" spans="1:8" ht="15" customHeight="1" x14ac:dyDescent="0.25">
      <c r="A137" s="6"/>
      <c r="B137" s="23"/>
      <c r="E137" s="239" t="s">
        <v>362</v>
      </c>
      <c r="F137" s="239"/>
      <c r="G137" s="239"/>
      <c r="H137" s="190">
        <f ca="1">SUM(H135:H136)</f>
        <v>5450.2508054321788</v>
      </c>
    </row>
    <row r="138" spans="1:8" ht="15" hidden="1" customHeight="1" x14ac:dyDescent="0.2">
      <c r="A138" s="6"/>
      <c r="B138" s="23"/>
    </row>
    <row r="139" spans="1:8" ht="15" hidden="1" customHeight="1" x14ac:dyDescent="0.2">
      <c r="A139" s="6"/>
      <c r="B139" s="23"/>
    </row>
    <row r="140" spans="1:8" ht="15" hidden="1" customHeight="1" x14ac:dyDescent="0.25">
      <c r="A140" s="6"/>
      <c r="B140" s="23"/>
      <c r="E140" s="263" t="s">
        <v>363</v>
      </c>
      <c r="F140" s="263"/>
      <c r="G140" s="263"/>
      <c r="H140" s="263"/>
    </row>
    <row r="141" spans="1:8" ht="15" customHeight="1" x14ac:dyDescent="0.2">
      <c r="A141" s="6"/>
      <c r="B141" s="23"/>
    </row>
    <row r="142" spans="1:8" ht="15" customHeight="1" x14ac:dyDescent="0.2">
      <c r="A142" s="6"/>
      <c r="B142" s="23"/>
    </row>
    <row r="143" spans="1:8" ht="15" customHeight="1" x14ac:dyDescent="0.2">
      <c r="A143" s="6"/>
      <c r="B143" s="23"/>
    </row>
    <row r="144" spans="1:8" ht="15" customHeight="1" x14ac:dyDescent="0.2">
      <c r="A144" s="6"/>
      <c r="B144" s="23"/>
    </row>
    <row r="145" spans="1:2" ht="15" customHeight="1" x14ac:dyDescent="0.2">
      <c r="A145" s="6"/>
      <c r="B145" s="23"/>
    </row>
    <row r="146" spans="1:2" ht="15" customHeight="1" x14ac:dyDescent="0.2">
      <c r="A146" s="6"/>
      <c r="B146" s="23"/>
    </row>
    <row r="147" spans="1:2" ht="15" customHeight="1" x14ac:dyDescent="0.2">
      <c r="A147" s="6"/>
      <c r="B147" s="23"/>
    </row>
    <row r="148" spans="1:2" ht="15" customHeight="1" x14ac:dyDescent="0.2">
      <c r="A148" s="6"/>
      <c r="B148" s="23"/>
    </row>
    <row r="149" spans="1:2" ht="15" customHeight="1" x14ac:dyDescent="0.2">
      <c r="A149" s="6"/>
      <c r="B149" s="23"/>
    </row>
    <row r="150" spans="1:2" ht="15" customHeight="1" x14ac:dyDescent="0.2">
      <c r="A150" s="6"/>
      <c r="B150" s="23"/>
    </row>
  </sheetData>
  <mergeCells count="111">
    <mergeCell ref="E135:G135"/>
    <mergeCell ref="F136:G136"/>
    <mergeCell ref="E137:G137"/>
    <mergeCell ref="E140:H140"/>
    <mergeCell ref="A4:B4"/>
    <mergeCell ref="G8:H8"/>
    <mergeCell ref="F130:G130"/>
    <mergeCell ref="F131:G131"/>
    <mergeCell ref="F132:G132"/>
    <mergeCell ref="F133:G133"/>
    <mergeCell ref="F134:G134"/>
    <mergeCell ref="E124:F124"/>
    <mergeCell ref="E125:H125"/>
    <mergeCell ref="E126:H126"/>
    <mergeCell ref="E128:H128"/>
    <mergeCell ref="E129:G129"/>
    <mergeCell ref="E111:G111"/>
    <mergeCell ref="E112:H112"/>
    <mergeCell ref="E114:H114"/>
    <mergeCell ref="E115:F115"/>
    <mergeCell ref="G115:H115"/>
    <mergeCell ref="F106:G106"/>
    <mergeCell ref="F107:G107"/>
    <mergeCell ref="F108:G108"/>
    <mergeCell ref="F109:G109"/>
    <mergeCell ref="F110:G110"/>
    <mergeCell ref="E99:H99"/>
    <mergeCell ref="F100:G100"/>
    <mergeCell ref="F101:G101"/>
    <mergeCell ref="E103:G103"/>
    <mergeCell ref="E105:H105"/>
    <mergeCell ref="E83:H83"/>
    <mergeCell ref="E91:F91"/>
    <mergeCell ref="E92:H92"/>
    <mergeCell ref="E94:H94"/>
    <mergeCell ref="E97:F97"/>
    <mergeCell ref="E76:F76"/>
    <mergeCell ref="E77:H77"/>
    <mergeCell ref="E78:H78"/>
    <mergeCell ref="E80:H80"/>
    <mergeCell ref="E81:H81"/>
    <mergeCell ref="F62:G62"/>
    <mergeCell ref="F63:G63"/>
    <mergeCell ref="F64:G64"/>
    <mergeCell ref="E65:G65"/>
    <mergeCell ref="E67:H67"/>
    <mergeCell ref="E56:G56"/>
    <mergeCell ref="E57:H57"/>
    <mergeCell ref="E58:H58"/>
    <mergeCell ref="E60:H60"/>
    <mergeCell ref="F61:G61"/>
    <mergeCell ref="E44:H44"/>
    <mergeCell ref="E45:H45"/>
    <mergeCell ref="E46:H46"/>
    <mergeCell ref="E47:H47"/>
    <mergeCell ref="E49:H49"/>
    <mergeCell ref="E29:H29"/>
    <mergeCell ref="E30:H30"/>
    <mergeCell ref="E32:H32"/>
    <mergeCell ref="E42:F42"/>
    <mergeCell ref="E43:H43"/>
    <mergeCell ref="E20:H20"/>
    <mergeCell ref="E22:H22"/>
    <mergeCell ref="E23:H23"/>
    <mergeCell ref="E27:F27"/>
    <mergeCell ref="E28:H28"/>
    <mergeCell ref="F15:G15"/>
    <mergeCell ref="F16:G16"/>
    <mergeCell ref="F17:G17"/>
    <mergeCell ref="F18:G18"/>
    <mergeCell ref="E19:G19"/>
    <mergeCell ref="G9:H9"/>
    <mergeCell ref="E11:H11"/>
    <mergeCell ref="F12:G12"/>
    <mergeCell ref="F13:G13"/>
    <mergeCell ref="F14:G14"/>
    <mergeCell ref="A46:C46"/>
    <mergeCell ref="A34:B34"/>
    <mergeCell ref="A35:B35"/>
    <mergeCell ref="A36:B36"/>
    <mergeCell ref="A37:B37"/>
    <mergeCell ref="A38:B38"/>
    <mergeCell ref="A40:C40"/>
    <mergeCell ref="A41:C41"/>
    <mergeCell ref="A42:C42"/>
    <mergeCell ref="A43:C43"/>
    <mergeCell ref="A44:C44"/>
    <mergeCell ref="A45:C45"/>
    <mergeCell ref="A33:B33"/>
    <mergeCell ref="A12:B12"/>
    <mergeCell ref="A13:B13"/>
    <mergeCell ref="A16:B16"/>
    <mergeCell ref="A17:B18"/>
    <mergeCell ref="A19:B19"/>
    <mergeCell ref="A20:B20"/>
    <mergeCell ref="A28:B28"/>
    <mergeCell ref="A29:B29"/>
    <mergeCell ref="A30:B30"/>
    <mergeCell ref="A31:B31"/>
    <mergeCell ref="A32:B32"/>
    <mergeCell ref="G7:H7"/>
    <mergeCell ref="A1:C1"/>
    <mergeCell ref="A2:B2"/>
    <mergeCell ref="A3:B3"/>
    <mergeCell ref="A5:B5"/>
    <mergeCell ref="A6:B6"/>
    <mergeCell ref="E1:H1"/>
    <mergeCell ref="E3:H3"/>
    <mergeCell ref="G4:H4"/>
    <mergeCell ref="G5:H5"/>
    <mergeCell ref="G6:H6"/>
  </mergeCells>
  <dataValidations count="1">
    <dataValidation type="list" allowBlank="1" showInputMessage="1" showErrorMessage="1" sqref="G115:H115">
      <formula1>"Lucro presumido,Lucro real"</formula1>
    </dataValidation>
  </dataValidations>
  <pageMargins left="0.11811023622047245" right="0.11811023622047245" top="0.39370078740157483" bottom="0.39370078740157483" header="0.31496062992125984" footer="0.31496062992125984"/>
  <pageSetup paperSize="9" scale="95" orientation="portrait" verticalDpi="4" r:id="rId1"/>
  <rowBreaks count="2" manualBreakCount="2">
    <brk id="44" max="16383" man="1"/>
    <brk id="10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22</vt:i4>
      </vt:variant>
    </vt:vector>
  </HeadingPairs>
  <TitlesOfParts>
    <vt:vector size="39" baseType="lpstr">
      <vt:lpstr>ÁREAS CJF</vt:lpstr>
      <vt:lpstr>TABELA 1 - UNIFORMES</vt:lpstr>
      <vt:lpstr>TABELA 2 - EPIS</vt:lpstr>
      <vt:lpstr>ENCARREGADO DE MANUTENÇÃO</vt:lpstr>
      <vt:lpstr>Servente</vt:lpstr>
      <vt:lpstr>Mensageiro</vt:lpstr>
      <vt:lpstr>Operador</vt:lpstr>
      <vt:lpstr>Garçom</vt:lpstr>
      <vt:lpstr>Copeira</vt:lpstr>
      <vt:lpstr>Recepcionista</vt:lpstr>
      <vt:lpstr>Tec Secretariado</vt:lpstr>
      <vt:lpstr>Jauzeiro</vt:lpstr>
      <vt:lpstr>Notas</vt:lpstr>
      <vt:lpstr>Salários</vt:lpstr>
      <vt:lpstr>TABELA 8 - LUCRO REAL</vt:lpstr>
      <vt:lpstr>TABELA 9 - LUCRO PRESUMIDO</vt:lpstr>
      <vt:lpstr>TABELA 5 - PLANILHA DE FORM...</vt:lpstr>
      <vt:lpstr>Copeira!Area_de_impressao</vt:lpstr>
      <vt:lpstr>'ENCARREGADO DE MANUTENÇÃO'!Area_de_impressao</vt:lpstr>
      <vt:lpstr>Garçom!Area_de_impressao</vt:lpstr>
      <vt:lpstr>Jauzeiro!Area_de_impressao</vt:lpstr>
      <vt:lpstr>Mensageiro!Area_de_impressao</vt:lpstr>
      <vt:lpstr>Notas!Area_de_impressao</vt:lpstr>
      <vt:lpstr>Operador!Area_de_impressao</vt:lpstr>
      <vt:lpstr>Recepcionista!Area_de_impressao</vt:lpstr>
      <vt:lpstr>Servente!Area_de_impressao</vt:lpstr>
      <vt:lpstr>'Tec Secretariado'!Area_de_impressao</vt:lpstr>
      <vt:lpstr>Copeira!Print_Area</vt:lpstr>
      <vt:lpstr>'ENCARREGADO DE MANUTENÇÃO'!Print_Area</vt:lpstr>
      <vt:lpstr>Garçom!Print_Area</vt:lpstr>
      <vt:lpstr>Jauzeiro!Print_Area</vt:lpstr>
      <vt:lpstr>Mensageiro!Print_Area</vt:lpstr>
      <vt:lpstr>Notas!Print_Area</vt:lpstr>
      <vt:lpstr>Operador!Print_Area</vt:lpstr>
      <vt:lpstr>Recepcionista!Print_Area</vt:lpstr>
      <vt:lpstr>Servente!Print_Area</vt:lpstr>
      <vt:lpstr>'TABELA 1 - UNIFORMES'!Print_Area</vt:lpstr>
      <vt:lpstr>'TABELA 2 - EPIS'!Print_Area</vt:lpstr>
      <vt:lpstr>'Tec Secretariado'!Print_Area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mfarias</dc:creator>
  <cp:lastModifiedBy>Ana Elisa de Oliveira Falqueto</cp:lastModifiedBy>
  <cp:lastPrinted>2021-07-27T17:09:43Z</cp:lastPrinted>
  <dcterms:created xsi:type="dcterms:W3CDTF">2009-05-26T13:22:20Z</dcterms:created>
  <dcterms:modified xsi:type="dcterms:W3CDTF">2021-09-17T16:22:51Z</dcterms:modified>
</cp:coreProperties>
</file>