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 codeName="EstaPastaDeTrabalho"/>
  <mc:AlternateContent xmlns:mc="http://schemas.openxmlformats.org/markup-compatibility/2006">
    <mc:Choice Requires="x15">
      <x15ac:absPath xmlns:x15ac="http://schemas.microsoft.com/office/spreadsheetml/2010/11/ac" url="https://d.docs.live.net/23223c20f9b5cfc2/Área de Trabalho/Secomp/Julho 2022/0001095-30.2022 materiais de expediente/"/>
    </mc:Choice>
  </mc:AlternateContent>
  <xr:revisionPtr revIDLastSave="2653" documentId="13_ncr:1_{18F62440-580D-4CCE-B3C6-F0EAD2A99316}" xr6:coauthVersionLast="47" xr6:coauthVersionMax="47" xr10:uidLastSave="{5D736090-04B4-4B9F-BD69-D07DF34301AA}"/>
  <bookViews>
    <workbookView xWindow="-108" yWindow="-108" windowWidth="23256" windowHeight="12576" tabRatio="920" activeTab="12" xr2:uid="{00000000-000D-0000-FFFF-FFFF00000000}"/>
  </bookViews>
  <sheets>
    <sheet name="Grupo 1 " sheetId="76" r:id="rId1"/>
    <sheet name="Grupo 2" sheetId="93" r:id="rId2"/>
    <sheet name="Grupo 3 " sheetId="81" r:id="rId3"/>
    <sheet name="Grupo 4 " sheetId="83" r:id="rId4"/>
    <sheet name="Grupo 5" sheetId="94" r:id="rId5"/>
    <sheet name="ITEM 35 - Resma papel" sheetId="85" r:id="rId6"/>
    <sheet name="ITEM 36- Tesoura" sheetId="95" r:id="rId7"/>
    <sheet name="ITEM 37" sheetId="96" r:id="rId8"/>
    <sheet name="ITEM 38" sheetId="97" r:id="rId9"/>
    <sheet name="ITEM 39" sheetId="98" r:id="rId10"/>
    <sheet name="ITEM 40" sheetId="99" r:id="rId11"/>
    <sheet name="ITEM 41" sheetId="89" r:id="rId12"/>
    <sheet name="TOTAL" sheetId="48" r:id="rId13"/>
    <sheet name="GRUPO - 19" sheetId="54" state="hidden" r:id="rId14"/>
  </sheets>
  <definedNames>
    <definedName name="_xlnm._FilterDatabase" localSheetId="0" hidden="1">'Grupo 1 '!$F$49:$F$50</definedName>
    <definedName name="_xlnm._FilterDatabase" localSheetId="4" hidden="1">'Grupo 5'!$F$42:$F$42</definedName>
    <definedName name="_Hlk16782509" localSheetId="0">'Grupo 1 '!$K$6</definedName>
    <definedName name="_Hlk16782509" localSheetId="4">'Grupo 5'!$K$1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" i="89" l="1"/>
  <c r="P20" i="99"/>
  <c r="P20" i="97"/>
  <c r="P20" i="96"/>
  <c r="P20" i="95"/>
  <c r="O20" i="85"/>
  <c r="P58" i="94"/>
  <c r="P31" i="83"/>
  <c r="P21" i="83"/>
  <c r="P94" i="81"/>
  <c r="P101" i="81"/>
  <c r="I107" i="81"/>
  <c r="P84" i="81"/>
  <c r="P75" i="81"/>
  <c r="P63" i="81"/>
  <c r="P37" i="81"/>
  <c r="P28" i="81"/>
  <c r="P58" i="93"/>
  <c r="Q52" i="93"/>
  <c r="P52" i="93"/>
  <c r="N44" i="93"/>
  <c r="P44" i="93"/>
  <c r="P35" i="93"/>
  <c r="P27" i="93"/>
  <c r="P140" i="76"/>
  <c r="P125" i="76"/>
  <c r="P134" i="76"/>
  <c r="P114" i="76"/>
  <c r="P103" i="76"/>
  <c r="P88" i="76"/>
  <c r="P78" i="76"/>
  <c r="P70" i="76"/>
  <c r="P20" i="98"/>
  <c r="N13" i="89"/>
  <c r="I26" i="96"/>
  <c r="I24" i="85"/>
  <c r="I66" i="76"/>
  <c r="P62" i="76" s="1"/>
  <c r="I68" i="76"/>
  <c r="I27" i="97"/>
  <c r="I42" i="93"/>
  <c r="I16" i="89"/>
  <c r="I19" i="89"/>
  <c r="I27" i="95"/>
  <c r="I21" i="99"/>
  <c r="I31" i="98"/>
  <c r="I25" i="97"/>
  <c r="I24" i="97"/>
  <c r="I93" i="81"/>
  <c r="I24" i="96"/>
  <c r="D20" i="96"/>
  <c r="I20" i="96" l="1"/>
  <c r="I21" i="96"/>
  <c r="E7" i="95"/>
  <c r="J20" i="96" l="1"/>
  <c r="Q20" i="96"/>
  <c r="D20" i="95"/>
  <c r="P42" i="94"/>
  <c r="M58" i="94"/>
  <c r="M65" i="94"/>
  <c r="P80" i="94"/>
  <c r="K20" i="96" l="1"/>
  <c r="M24" i="96" s="1"/>
  <c r="L20" i="96"/>
  <c r="O9" i="81"/>
  <c r="I100" i="81"/>
  <c r="O12" i="81" s="1"/>
  <c r="I114" i="81"/>
  <c r="P108" i="81" s="1"/>
  <c r="I91" i="81"/>
  <c r="O2" i="81" s="1"/>
  <c r="I83" i="81"/>
  <c r="I74" i="81"/>
  <c r="J63" i="81" s="1"/>
  <c r="I60" i="81"/>
  <c r="I52" i="81"/>
  <c r="P47" i="81" s="1"/>
  <c r="I56" i="93"/>
  <c r="I51" i="93"/>
  <c r="I34" i="93"/>
  <c r="I32" i="93"/>
  <c r="J27" i="93" s="1"/>
  <c r="N33" i="93" s="1"/>
  <c r="J101" i="81" l="1"/>
  <c r="O8" i="81"/>
  <c r="J94" i="81"/>
  <c r="N94" i="81" s="1"/>
  <c r="O14" i="81"/>
  <c r="O15" i="81"/>
  <c r="O16" i="81" s="1"/>
  <c r="O17" i="81" s="1"/>
  <c r="O18" i="81"/>
  <c r="J55" i="81"/>
  <c r="P55" i="81"/>
  <c r="O3" i="81"/>
  <c r="O6" i="81"/>
  <c r="M23" i="96"/>
  <c r="M20" i="96"/>
  <c r="L94" i="81"/>
  <c r="L101" i="81"/>
  <c r="O10" i="81"/>
  <c r="O11" i="81" s="1"/>
  <c r="J75" i="81"/>
  <c r="N75" i="81" s="1"/>
  <c r="J84" i="81"/>
  <c r="L63" i="81"/>
  <c r="N62" i="81"/>
  <c r="N55" i="81"/>
  <c r="K55" i="81"/>
  <c r="L55" i="81"/>
  <c r="N34" i="93"/>
  <c r="K94" i="81" l="1"/>
  <c r="M95" i="81" s="1"/>
  <c r="K101" i="81"/>
  <c r="M99" i="81"/>
  <c r="M98" i="81"/>
  <c r="M97" i="81"/>
  <c r="M96" i="81"/>
  <c r="M100" i="81"/>
  <c r="O4" i="81"/>
  <c r="O5" i="81" s="1"/>
  <c r="N84" i="81"/>
  <c r="N88" i="81"/>
  <c r="N86" i="81"/>
  <c r="N87" i="81"/>
  <c r="N92" i="81"/>
  <c r="N89" i="81"/>
  <c r="K75" i="81"/>
  <c r="M83" i="81" s="1"/>
  <c r="N91" i="81"/>
  <c r="L75" i="81"/>
  <c r="N77" i="81"/>
  <c r="N83" i="81"/>
  <c r="N76" i="81"/>
  <c r="N93" i="81"/>
  <c r="K84" i="81"/>
  <c r="N85" i="81"/>
  <c r="L84" i="81"/>
  <c r="K63" i="81"/>
  <c r="N74" i="81"/>
  <c r="M94" i="81" l="1"/>
  <c r="M107" i="81"/>
  <c r="M105" i="81"/>
  <c r="M101" i="81"/>
  <c r="M106" i="81"/>
  <c r="M80" i="81"/>
  <c r="M81" i="81"/>
  <c r="M75" i="81"/>
  <c r="M82" i="81"/>
  <c r="M77" i="81"/>
  <c r="M79" i="81"/>
  <c r="M92" i="81"/>
  <c r="M91" i="81"/>
  <c r="M78" i="81"/>
  <c r="M76" i="81"/>
  <c r="M87" i="81"/>
  <c r="M86" i="81"/>
  <c r="M89" i="81"/>
  <c r="M93" i="81"/>
  <c r="M88" i="81"/>
  <c r="M85" i="81"/>
  <c r="M90" i="81"/>
  <c r="M84" i="81"/>
  <c r="M70" i="81"/>
  <c r="M72" i="81"/>
  <c r="M71" i="81"/>
  <c r="M69" i="81"/>
  <c r="M68" i="81"/>
  <c r="M67" i="81"/>
  <c r="M64" i="81"/>
  <c r="M74" i="81"/>
  <c r="M66" i="81"/>
  <c r="M65" i="81"/>
  <c r="M63" i="81"/>
  <c r="M73" i="81"/>
  <c r="I25" i="93" l="1"/>
  <c r="I24" i="93"/>
  <c r="I22" i="93"/>
  <c r="P21" i="93" s="1"/>
  <c r="P65" i="94" l="1"/>
  <c r="I36" i="81"/>
  <c r="J28" i="81" s="1"/>
  <c r="I61" i="93"/>
  <c r="I63" i="93"/>
  <c r="I60" i="93"/>
  <c r="I54" i="93"/>
  <c r="I53" i="93"/>
  <c r="I49" i="93"/>
  <c r="I48" i="93"/>
  <c r="I44" i="93"/>
  <c r="N35" i="81" l="1"/>
  <c r="N36" i="81"/>
  <c r="J58" i="93"/>
  <c r="N29" i="81"/>
  <c r="N28" i="81"/>
  <c r="O12" i="93"/>
  <c r="O3" i="93"/>
  <c r="O4" i="93"/>
  <c r="I16" i="93"/>
  <c r="O7" i="93"/>
  <c r="I12" i="93"/>
  <c r="I13" i="93"/>
  <c r="J52" i="93"/>
  <c r="N56" i="93" s="1"/>
  <c r="J44" i="93"/>
  <c r="N50" i="93" s="1"/>
  <c r="E44" i="76"/>
  <c r="I102" i="76"/>
  <c r="I124" i="76"/>
  <c r="I34" i="76" s="1"/>
  <c r="I133" i="76"/>
  <c r="I40" i="76" s="1"/>
  <c r="I149" i="76"/>
  <c r="J103" i="76"/>
  <c r="N107" i="76" s="1"/>
  <c r="I25" i="76"/>
  <c r="I24" i="76"/>
  <c r="E41" i="76"/>
  <c r="E40" i="76"/>
  <c r="I36" i="76" l="1"/>
  <c r="N104" i="76"/>
  <c r="N105" i="76"/>
  <c r="J125" i="76"/>
  <c r="I37" i="76"/>
  <c r="N106" i="76"/>
  <c r="N58" i="93"/>
  <c r="N59" i="93"/>
  <c r="N63" i="93"/>
  <c r="K52" i="93"/>
  <c r="M56" i="93" s="1"/>
  <c r="N57" i="93"/>
  <c r="N52" i="93"/>
  <c r="L52" i="93"/>
  <c r="I14" i="93"/>
  <c r="N51" i="93"/>
  <c r="K44" i="93"/>
  <c r="M50" i="93" s="1"/>
  <c r="N45" i="93"/>
  <c r="L44" i="93"/>
  <c r="J78" i="76"/>
  <c r="N86" i="76" s="1"/>
  <c r="E38" i="76"/>
  <c r="E35" i="76"/>
  <c r="E34" i="76"/>
  <c r="I77" i="76"/>
  <c r="E32" i="76" s="1"/>
  <c r="I21" i="94"/>
  <c r="I18" i="94"/>
  <c r="I17" i="94"/>
  <c r="J73" i="94"/>
  <c r="P73" i="94"/>
  <c r="E37" i="94"/>
  <c r="E34" i="94"/>
  <c r="E33" i="94"/>
  <c r="E31" i="94"/>
  <c r="E28" i="94"/>
  <c r="E27" i="94"/>
  <c r="J58" i="94"/>
  <c r="N58" i="94" s="1"/>
  <c r="P51" i="94"/>
  <c r="E25" i="94"/>
  <c r="E19" i="94"/>
  <c r="E13" i="94"/>
  <c r="I45" i="81"/>
  <c r="J37" i="81" s="1"/>
  <c r="N44" i="81" s="1"/>
  <c r="N127" i="76" l="1"/>
  <c r="N126" i="76"/>
  <c r="N132" i="76"/>
  <c r="N125" i="76"/>
  <c r="M46" i="93"/>
  <c r="N46" i="81"/>
  <c r="N40" i="81"/>
  <c r="N45" i="81"/>
  <c r="M52" i="93"/>
  <c r="M53" i="93"/>
  <c r="M57" i="93"/>
  <c r="M54" i="93"/>
  <c r="M55" i="93"/>
  <c r="M47" i="93"/>
  <c r="M44" i="93"/>
  <c r="M51" i="93"/>
  <c r="M48" i="93"/>
  <c r="M49" i="93"/>
  <c r="M45" i="93"/>
  <c r="E22" i="76"/>
  <c r="E26" i="76"/>
  <c r="J62" i="76"/>
  <c r="N64" i="76" s="1"/>
  <c r="E23" i="76"/>
  <c r="N40" i="83"/>
  <c r="N39" i="83"/>
  <c r="N33" i="83"/>
  <c r="N32" i="83"/>
  <c r="N31" i="83"/>
  <c r="N29" i="83"/>
  <c r="E8" i="83"/>
  <c r="M25" i="83"/>
  <c r="E13" i="83"/>
  <c r="I37" i="83"/>
  <c r="I35" i="83"/>
  <c r="I36" i="83"/>
  <c r="I32" i="83"/>
  <c r="E16" i="83" s="1"/>
  <c r="I38" i="83"/>
  <c r="I39" i="83"/>
  <c r="I40" i="83"/>
  <c r="I41" i="83"/>
  <c r="E16" i="94"/>
  <c r="E15" i="94"/>
  <c r="E9" i="94"/>
  <c r="E10" i="94"/>
  <c r="D20" i="85"/>
  <c r="N69" i="76" l="1"/>
  <c r="N68" i="76"/>
  <c r="E12" i="83"/>
  <c r="I30" i="83"/>
  <c r="E3" i="97"/>
  <c r="J21" i="83" l="1"/>
  <c r="E5" i="83"/>
  <c r="E4" i="83"/>
  <c r="J31" i="83"/>
  <c r="N23" i="83" l="1"/>
  <c r="N22" i="83"/>
  <c r="N21" i="83"/>
  <c r="I61" i="76"/>
  <c r="I57" i="76"/>
  <c r="P49" i="76" s="1"/>
  <c r="D49" i="76"/>
  <c r="Q49" i="76" l="1"/>
  <c r="E20" i="76"/>
  <c r="E16" i="76"/>
  <c r="E17" i="76"/>
  <c r="J49" i="76"/>
  <c r="N60" i="76" l="1"/>
  <c r="N51" i="76"/>
  <c r="N61" i="76"/>
  <c r="N50" i="76"/>
  <c r="K49" i="76"/>
  <c r="L49" i="76"/>
  <c r="N49" i="76"/>
  <c r="M65" i="76" l="1"/>
  <c r="M66" i="76"/>
  <c r="M52" i="76"/>
  <c r="M61" i="76"/>
  <c r="M49" i="76"/>
  <c r="M50" i="76"/>
  <c r="M60" i="76"/>
  <c r="M59" i="76"/>
  <c r="M56" i="76"/>
  <c r="M53" i="76"/>
  <c r="M51" i="76"/>
  <c r="E16" i="81" l="1"/>
  <c r="E13" i="81"/>
  <c r="E12" i="81"/>
  <c r="E23" i="81"/>
  <c r="E20" i="81"/>
  <c r="E19" i="81"/>
  <c r="I8" i="81"/>
  <c r="I5" i="81"/>
  <c r="I4" i="81"/>
  <c r="I16" i="81"/>
  <c r="I13" i="81"/>
  <c r="I12" i="81"/>
  <c r="I23" i="81"/>
  <c r="I20" i="81"/>
  <c r="I19" i="81"/>
  <c r="O24" i="81"/>
  <c r="O21" i="81"/>
  <c r="O20" i="81"/>
  <c r="Q36" i="76"/>
  <c r="Q33" i="76"/>
  <c r="Q32" i="76"/>
  <c r="Q29" i="76"/>
  <c r="Q26" i="76"/>
  <c r="Q25" i="76"/>
  <c r="J134" i="76"/>
  <c r="N139" i="76" s="1"/>
  <c r="D12" i="89"/>
  <c r="D20" i="99"/>
  <c r="Q20" i="99"/>
  <c r="Q29" i="99" s="1"/>
  <c r="C14" i="48" s="1"/>
  <c r="J20" i="99"/>
  <c r="E7" i="99"/>
  <c r="E4" i="99"/>
  <c r="E3" i="99"/>
  <c r="D20" i="98"/>
  <c r="J20" i="98"/>
  <c r="E7" i="98"/>
  <c r="E4" i="98"/>
  <c r="E3" i="98"/>
  <c r="D20" i="97"/>
  <c r="J20" i="97"/>
  <c r="E7" i="97"/>
  <c r="E4" i="97"/>
  <c r="E5" i="97" s="1"/>
  <c r="E6" i="97" s="1"/>
  <c r="E7" i="96"/>
  <c r="E4" i="96"/>
  <c r="E3" i="96"/>
  <c r="J20" i="95"/>
  <c r="E4" i="95"/>
  <c r="E3" i="95"/>
  <c r="Q80" i="94"/>
  <c r="J80" i="94"/>
  <c r="Q73" i="94"/>
  <c r="K73" i="94"/>
  <c r="Q65" i="94"/>
  <c r="J65" i="94"/>
  <c r="L58" i="94"/>
  <c r="Q51" i="94"/>
  <c r="J51" i="94"/>
  <c r="J42" i="94"/>
  <c r="L42" i="94" s="1"/>
  <c r="E22" i="94"/>
  <c r="E21" i="94"/>
  <c r="D31" i="83"/>
  <c r="D21" i="83"/>
  <c r="D108" i="81"/>
  <c r="D101" i="81"/>
  <c r="Q101" i="81" s="1"/>
  <c r="D94" i="81"/>
  <c r="Q94" i="81" s="1"/>
  <c r="D84" i="81"/>
  <c r="Q84" i="81" s="1"/>
  <c r="D75" i="81"/>
  <c r="Q75" i="81" s="1"/>
  <c r="D63" i="81"/>
  <c r="Q63" i="81" s="1"/>
  <c r="D55" i="81"/>
  <c r="Q55" i="81" s="1"/>
  <c r="D47" i="81"/>
  <c r="D37" i="81"/>
  <c r="D28" i="81"/>
  <c r="O16" i="93"/>
  <c r="O13" i="93"/>
  <c r="D58" i="93"/>
  <c r="D52" i="93"/>
  <c r="D44" i="93"/>
  <c r="Q44" i="93" s="1"/>
  <c r="D35" i="93"/>
  <c r="D27" i="93"/>
  <c r="D21" i="93"/>
  <c r="J35" i="93"/>
  <c r="K27" i="93"/>
  <c r="J21" i="93"/>
  <c r="K21" i="93" s="1"/>
  <c r="E16" i="93"/>
  <c r="E13" i="93"/>
  <c r="E12" i="93"/>
  <c r="I8" i="93"/>
  <c r="E8" i="93"/>
  <c r="I5" i="93"/>
  <c r="E5" i="93"/>
  <c r="I4" i="93"/>
  <c r="E4" i="93"/>
  <c r="L20" i="98" l="1"/>
  <c r="N20" i="98"/>
  <c r="K20" i="99"/>
  <c r="N28" i="99"/>
  <c r="E5" i="99"/>
  <c r="E6" i="99" s="1"/>
  <c r="L20" i="99"/>
  <c r="L20" i="97"/>
  <c r="N20" i="97"/>
  <c r="N27" i="96"/>
  <c r="N26" i="96"/>
  <c r="E5" i="96"/>
  <c r="E6" i="96" s="1"/>
  <c r="L20" i="95"/>
  <c r="N20" i="95"/>
  <c r="N28" i="95"/>
  <c r="N62" i="93"/>
  <c r="Q35" i="93"/>
  <c r="O5" i="93"/>
  <c r="O6" i="93" s="1"/>
  <c r="O14" i="93"/>
  <c r="O15" i="93" s="1"/>
  <c r="E5" i="95"/>
  <c r="E6" i="95" s="1"/>
  <c r="I15" i="93"/>
  <c r="E14" i="93"/>
  <c r="E15" i="93" s="1"/>
  <c r="E5" i="98"/>
  <c r="E6" i="98" s="1"/>
  <c r="Q20" i="98"/>
  <c r="Q33" i="98" s="1"/>
  <c r="C13" i="48" s="1"/>
  <c r="E21" i="81"/>
  <c r="E22" i="81" s="1"/>
  <c r="I21" i="81"/>
  <c r="I22" i="81" s="1"/>
  <c r="O22" i="81"/>
  <c r="O23" i="81" s="1"/>
  <c r="Q34" i="76"/>
  <c r="Q35" i="76" s="1"/>
  <c r="Q27" i="76"/>
  <c r="Q28" i="76" s="1"/>
  <c r="K20" i="98"/>
  <c r="Q20" i="97"/>
  <c r="Q28" i="97" s="1"/>
  <c r="C12" i="48" s="1"/>
  <c r="K20" i="97"/>
  <c r="Q28" i="96"/>
  <c r="C11" i="48" s="1"/>
  <c r="M22" i="96"/>
  <c r="Q20" i="95"/>
  <c r="Q29" i="95" s="1"/>
  <c r="C10" i="48" s="1"/>
  <c r="K20" i="95"/>
  <c r="E11" i="94"/>
  <c r="E12" i="94" s="1"/>
  <c r="E29" i="94"/>
  <c r="E30" i="94" s="1"/>
  <c r="K51" i="94"/>
  <c r="L51" i="94"/>
  <c r="E35" i="94"/>
  <c r="E36" i="94" s="1"/>
  <c r="K58" i="94"/>
  <c r="L73" i="94"/>
  <c r="M78" i="94" s="1"/>
  <c r="L80" i="94"/>
  <c r="E17" i="94"/>
  <c r="E18" i="94" s="1"/>
  <c r="I19" i="94"/>
  <c r="I20" i="94" s="1"/>
  <c r="Q42" i="94"/>
  <c r="Q58" i="94"/>
  <c r="Q86" i="94" s="1"/>
  <c r="K42" i="94"/>
  <c r="M49" i="94" s="1"/>
  <c r="K80" i="94"/>
  <c r="E23" i="94"/>
  <c r="E24" i="94" s="1"/>
  <c r="L65" i="94"/>
  <c r="K65" i="94"/>
  <c r="N35" i="93"/>
  <c r="N43" i="93"/>
  <c r="Q58" i="93"/>
  <c r="L27" i="93"/>
  <c r="M31" i="93" s="1"/>
  <c r="N27" i="93"/>
  <c r="E6" i="93"/>
  <c r="E7" i="93" s="1"/>
  <c r="I6" i="93"/>
  <c r="I7" i="93" s="1"/>
  <c r="L21" i="93"/>
  <c r="M23" i="93" s="1"/>
  <c r="K35" i="93"/>
  <c r="L58" i="93"/>
  <c r="L35" i="93"/>
  <c r="Q27" i="93"/>
  <c r="Q21" i="93"/>
  <c r="N28" i="93"/>
  <c r="K58" i="93"/>
  <c r="M29" i="98" l="1"/>
  <c r="M28" i="98"/>
  <c r="M27" i="98"/>
  <c r="M25" i="98"/>
  <c r="M24" i="98"/>
  <c r="M23" i="98"/>
  <c r="M22" i="98"/>
  <c r="M21" i="98"/>
  <c r="M30" i="98"/>
  <c r="M32" i="98"/>
  <c r="M24" i="99"/>
  <c r="M22" i="99"/>
  <c r="M25" i="97"/>
  <c r="M23" i="97"/>
  <c r="M22" i="97"/>
  <c r="M27" i="97"/>
  <c r="M42" i="93"/>
  <c r="M26" i="99"/>
  <c r="M28" i="99"/>
  <c r="M27" i="99"/>
  <c r="M21" i="99"/>
  <c r="M20" i="99"/>
  <c r="M23" i="99"/>
  <c r="M25" i="99"/>
  <c r="M24" i="97"/>
  <c r="M21" i="96"/>
  <c r="M26" i="96"/>
  <c r="M20" i="95"/>
  <c r="M26" i="95"/>
  <c r="M27" i="95"/>
  <c r="M24" i="95"/>
  <c r="M64" i="94"/>
  <c r="M58" i="93"/>
  <c r="M63" i="93"/>
  <c r="M60" i="93"/>
  <c r="M62" i="93"/>
  <c r="Q64" i="93"/>
  <c r="C5" i="48" s="1"/>
  <c r="M39" i="93"/>
  <c r="M41" i="93"/>
  <c r="M40" i="93"/>
  <c r="M38" i="93"/>
  <c r="M32" i="93"/>
  <c r="M30" i="93"/>
  <c r="M29" i="93"/>
  <c r="M25" i="93"/>
  <c r="M26" i="93"/>
  <c r="M22" i="93"/>
  <c r="M24" i="93"/>
  <c r="M79" i="94"/>
  <c r="M85" i="94"/>
  <c r="M74" i="94"/>
  <c r="M75" i="94"/>
  <c r="M76" i="94"/>
  <c r="M77" i="94"/>
  <c r="M73" i="94"/>
  <c r="M68" i="94"/>
  <c r="M71" i="94"/>
  <c r="M70" i="94"/>
  <c r="M72" i="94"/>
  <c r="M69" i="94"/>
  <c r="M61" i="93"/>
  <c r="M59" i="93"/>
  <c r="M21" i="93"/>
  <c r="M27" i="93"/>
  <c r="M84" i="94"/>
  <c r="M45" i="94"/>
  <c r="M51" i="94"/>
  <c r="M52" i="94"/>
  <c r="M66" i="94"/>
  <c r="M62" i="94"/>
  <c r="M63" i="94"/>
  <c r="M54" i="94"/>
  <c r="M44" i="94"/>
  <c r="M67" i="94"/>
  <c r="M59" i="94"/>
  <c r="M83" i="94"/>
  <c r="M81" i="94"/>
  <c r="M80" i="94"/>
  <c r="W103" i="94"/>
  <c r="M43" i="94"/>
  <c r="M57" i="94"/>
  <c r="M20" i="98"/>
  <c r="M31" i="98"/>
  <c r="M26" i="98"/>
  <c r="M20" i="97"/>
  <c r="M21" i="97"/>
  <c r="M26" i="97"/>
  <c r="M27" i="96"/>
  <c r="M25" i="96"/>
  <c r="M28" i="95"/>
  <c r="M25" i="95"/>
  <c r="M23" i="95"/>
  <c r="M22" i="95"/>
  <c r="M21" i="95"/>
  <c r="M55" i="94"/>
  <c r="M53" i="94"/>
  <c r="M56" i="94"/>
  <c r="M42" i="94"/>
  <c r="M46" i="94"/>
  <c r="M50" i="94"/>
  <c r="M48" i="94"/>
  <c r="M47" i="94"/>
  <c r="M61" i="94"/>
  <c r="C8" i="48"/>
  <c r="M60" i="94"/>
  <c r="M82" i="94"/>
  <c r="M35" i="93"/>
  <c r="M37" i="93"/>
  <c r="M43" i="93"/>
  <c r="M33" i="93"/>
  <c r="M34" i="93"/>
  <c r="M28" i="93"/>
  <c r="M36" i="93"/>
  <c r="D140" i="76" l="1"/>
  <c r="D134" i="76"/>
  <c r="D125" i="76"/>
  <c r="D114" i="76"/>
  <c r="D103" i="76"/>
  <c r="D88" i="76"/>
  <c r="D78" i="76"/>
  <c r="D70" i="76"/>
  <c r="D62" i="76"/>
  <c r="L139" i="76" l="1"/>
  <c r="K139" i="76"/>
  <c r="Q134" i="76"/>
  <c r="L134" i="76"/>
  <c r="Q125" i="76"/>
  <c r="L125" i="76" l="1"/>
  <c r="N133" i="76"/>
  <c r="K134" i="76"/>
  <c r="M134" i="76" s="1"/>
  <c r="K125" i="76"/>
  <c r="M132" i="76" l="1"/>
  <c r="M130" i="76"/>
  <c r="M127" i="76"/>
  <c r="M126" i="76"/>
  <c r="M125" i="76"/>
  <c r="M133" i="76"/>
  <c r="M128" i="76"/>
  <c r="M131" i="76"/>
  <c r="M129" i="76"/>
  <c r="Q31" i="83" l="1"/>
  <c r="Q37" i="81"/>
  <c r="E8" i="81"/>
  <c r="E14" i="83" l="1"/>
  <c r="E15" i="83" s="1"/>
  <c r="E3" i="85" l="1"/>
  <c r="Q47" i="81"/>
  <c r="J140" i="76" l="1"/>
  <c r="I31" i="76"/>
  <c r="I30" i="76"/>
  <c r="Q114" i="76"/>
  <c r="I28" i="76"/>
  <c r="Q103" i="76"/>
  <c r="N112" i="76"/>
  <c r="Q88" i="76"/>
  <c r="Q78" i="76"/>
  <c r="L78" i="76"/>
  <c r="Q62" i="76"/>
  <c r="E7" i="89"/>
  <c r="E4" i="89"/>
  <c r="E3" i="89"/>
  <c r="J12" i="89"/>
  <c r="Q12" i="89"/>
  <c r="J47" i="81"/>
  <c r="J88" i="76"/>
  <c r="Q70" i="76"/>
  <c r="J70" i="76"/>
  <c r="E29" i="76"/>
  <c r="E28" i="76"/>
  <c r="N22" i="89" l="1"/>
  <c r="N20" i="89"/>
  <c r="N21" i="89"/>
  <c r="N102" i="76"/>
  <c r="N94" i="76"/>
  <c r="N88" i="76"/>
  <c r="N93" i="76"/>
  <c r="N92" i="76"/>
  <c r="N91" i="76"/>
  <c r="N90" i="76"/>
  <c r="N89" i="76"/>
  <c r="Q23" i="89"/>
  <c r="C15" i="48" s="1"/>
  <c r="N150" i="76"/>
  <c r="N149" i="76"/>
  <c r="N81" i="76"/>
  <c r="N79" i="76"/>
  <c r="N80" i="76"/>
  <c r="K62" i="76"/>
  <c r="N76" i="76"/>
  <c r="N77" i="76"/>
  <c r="K140" i="76"/>
  <c r="M149" i="76" s="1"/>
  <c r="N140" i="76"/>
  <c r="K103" i="76"/>
  <c r="L47" i="81"/>
  <c r="N54" i="81"/>
  <c r="N47" i="81"/>
  <c r="N39" i="81"/>
  <c r="N38" i="81"/>
  <c r="N37" i="81"/>
  <c r="N103" i="76"/>
  <c r="N113" i="76"/>
  <c r="L103" i="76"/>
  <c r="N78" i="76"/>
  <c r="N87" i="76"/>
  <c r="N70" i="76"/>
  <c r="N62" i="76"/>
  <c r="N63" i="76"/>
  <c r="I26" i="76"/>
  <c r="I27" i="76" s="1"/>
  <c r="E30" i="76"/>
  <c r="E31" i="76" s="1"/>
  <c r="L12" i="89"/>
  <c r="N12" i="89"/>
  <c r="K12" i="89"/>
  <c r="M20" i="89" s="1"/>
  <c r="K47" i="81"/>
  <c r="I32" i="76"/>
  <c r="I33" i="76" s="1"/>
  <c r="I38" i="76"/>
  <c r="I39" i="76" s="1"/>
  <c r="E24" i="76"/>
  <c r="E25" i="76" s="1"/>
  <c r="E36" i="76"/>
  <c r="E37" i="76" s="1"/>
  <c r="E42" i="76"/>
  <c r="E43" i="76" s="1"/>
  <c r="K78" i="76"/>
  <c r="M112" i="76" l="1"/>
  <c r="M107" i="76"/>
  <c r="M106" i="76"/>
  <c r="M105" i="76"/>
  <c r="M104" i="76"/>
  <c r="M14" i="89"/>
  <c r="M18" i="89"/>
  <c r="M17" i="89"/>
  <c r="M15" i="89"/>
  <c r="M21" i="89"/>
  <c r="M19" i="89"/>
  <c r="M16" i="89"/>
  <c r="M51" i="81"/>
  <c r="M59" i="81"/>
  <c r="M52" i="81"/>
  <c r="M58" i="81"/>
  <c r="M61" i="81"/>
  <c r="M60" i="81"/>
  <c r="M57" i="81"/>
  <c r="M56" i="81"/>
  <c r="M62" i="81"/>
  <c r="M55" i="81"/>
  <c r="M111" i="76"/>
  <c r="M110" i="76"/>
  <c r="M109" i="76"/>
  <c r="M108" i="76"/>
  <c r="M81" i="76"/>
  <c r="M80" i="76"/>
  <c r="M79" i="76"/>
  <c r="M86" i="76"/>
  <c r="M84" i="76"/>
  <c r="M83" i="76"/>
  <c r="M85" i="76"/>
  <c r="M82" i="76"/>
  <c r="M22" i="89"/>
  <c r="M113" i="76"/>
  <c r="M48" i="81"/>
  <c r="M50" i="81"/>
  <c r="M54" i="81"/>
  <c r="M49" i="81"/>
  <c r="M103" i="76"/>
  <c r="M87" i="76"/>
  <c r="M57" i="76"/>
  <c r="M58" i="76"/>
  <c r="M55" i="76"/>
  <c r="M54" i="76"/>
  <c r="M12" i="89"/>
  <c r="M13" i="89"/>
  <c r="M47" i="81"/>
  <c r="M53" i="81"/>
  <c r="M78" i="76"/>
  <c r="L70" i="76" l="1"/>
  <c r="K70" i="76"/>
  <c r="E18" i="76"/>
  <c r="E19" i="76" s="1"/>
  <c r="M75" i="76" l="1"/>
  <c r="M71" i="76"/>
  <c r="M72" i="76"/>
  <c r="M77" i="76"/>
  <c r="M70" i="76"/>
  <c r="M74" i="76"/>
  <c r="M73" i="76"/>
  <c r="M76" i="76"/>
  <c r="L140" i="76" l="1"/>
  <c r="N41" i="83"/>
  <c r="J108" i="81"/>
  <c r="N108" i="81" s="1"/>
  <c r="N101" i="81" l="1"/>
  <c r="M147" i="76"/>
  <c r="M145" i="76"/>
  <c r="M142" i="76"/>
  <c r="M141" i="76"/>
  <c r="M150" i="76"/>
  <c r="M148" i="76"/>
  <c r="M140" i="76"/>
  <c r="M146" i="76"/>
  <c r="M144" i="76"/>
  <c r="M143" i="76"/>
  <c r="L108" i="81"/>
  <c r="K31" i="83"/>
  <c r="L31" i="83"/>
  <c r="K108" i="81"/>
  <c r="J114" i="76"/>
  <c r="J20" i="85"/>
  <c r="L37" i="81"/>
  <c r="M109" i="81" l="1"/>
  <c r="M108" i="81"/>
  <c r="K20" i="85"/>
  <c r="M102" i="81"/>
  <c r="M104" i="81"/>
  <c r="M103" i="81"/>
  <c r="M114" i="81"/>
  <c r="M113" i="81"/>
  <c r="M111" i="81"/>
  <c r="M110" i="81"/>
  <c r="M112" i="81"/>
  <c r="N115" i="76"/>
  <c r="N114" i="76"/>
  <c r="K114" i="76"/>
  <c r="N124" i="76"/>
  <c r="M37" i="83"/>
  <c r="M35" i="83"/>
  <c r="M36" i="83"/>
  <c r="M31" i="83"/>
  <c r="M40" i="83"/>
  <c r="M39" i="83"/>
  <c r="M38" i="83"/>
  <c r="M34" i="83"/>
  <c r="M41" i="83"/>
  <c r="M33" i="83"/>
  <c r="K28" i="81"/>
  <c r="M32" i="83"/>
  <c r="L88" i="76"/>
  <c r="K88" i="76"/>
  <c r="L114" i="76"/>
  <c r="L62" i="76"/>
  <c r="K37" i="81"/>
  <c r="L28" i="81"/>
  <c r="L20" i="85"/>
  <c r="M35" i="81" l="1"/>
  <c r="M30" i="81"/>
  <c r="M23" i="85"/>
  <c r="M24" i="85"/>
  <c r="M96" i="76"/>
  <c r="M97" i="76"/>
  <c r="M95" i="76"/>
  <c r="M94" i="76"/>
  <c r="M90" i="76"/>
  <c r="M93" i="76"/>
  <c r="M92" i="76"/>
  <c r="M89" i="76"/>
  <c r="M91" i="76"/>
  <c r="M34" i="81"/>
  <c r="M28" i="81"/>
  <c r="M31" i="81"/>
  <c r="M36" i="81"/>
  <c r="M33" i="81"/>
  <c r="M32" i="81"/>
  <c r="M123" i="76"/>
  <c r="M138" i="76"/>
  <c r="M139" i="76"/>
  <c r="M114" i="76"/>
  <c r="M120" i="76"/>
  <c r="M115" i="76"/>
  <c r="M116" i="76"/>
  <c r="M117" i="76"/>
  <c r="M124" i="76"/>
  <c r="M122" i="76"/>
  <c r="M121" i="76"/>
  <c r="M119" i="76"/>
  <c r="M136" i="76"/>
  <c r="M137" i="76"/>
  <c r="M135" i="76"/>
  <c r="M88" i="76"/>
  <c r="M101" i="76"/>
  <c r="M100" i="76"/>
  <c r="M98" i="76"/>
  <c r="M99" i="76"/>
  <c r="M45" i="81"/>
  <c r="M44" i="81"/>
  <c r="M43" i="81"/>
  <c r="M42" i="81"/>
  <c r="M29" i="81"/>
  <c r="M69" i="76"/>
  <c r="M68" i="76"/>
  <c r="M67" i="76"/>
  <c r="M63" i="76"/>
  <c r="M64" i="76"/>
  <c r="M46" i="81"/>
  <c r="K21" i="83"/>
  <c r="N30" i="83"/>
  <c r="M41" i="81"/>
  <c r="M118" i="76"/>
  <c r="M102" i="76"/>
  <c r="M62" i="76"/>
  <c r="E5" i="89"/>
  <c r="E6" i="89" s="1"/>
  <c r="M39" i="81"/>
  <c r="M40" i="81"/>
  <c r="M38" i="81"/>
  <c r="M37" i="81"/>
  <c r="L21" i="83"/>
  <c r="M29" i="83" l="1"/>
  <c r="M27" i="83"/>
  <c r="M21" i="83"/>
  <c r="M28" i="83"/>
  <c r="M26" i="83"/>
  <c r="M24" i="83"/>
  <c r="M23" i="83"/>
  <c r="M22" i="83"/>
  <c r="M30" i="83"/>
  <c r="E4" i="85"/>
  <c r="P20" i="85"/>
  <c r="Q21" i="83"/>
  <c r="Q42" i="83" s="1"/>
  <c r="C7" i="48" s="1"/>
  <c r="Q108" i="81"/>
  <c r="Q28" i="81"/>
  <c r="E5" i="81"/>
  <c r="E4" i="81"/>
  <c r="M22" i="85" l="1"/>
  <c r="M26" i="85"/>
  <c r="M21" i="85"/>
  <c r="M25" i="85"/>
  <c r="M20" i="85"/>
  <c r="E6" i="83"/>
  <c r="E7" i="83" s="1"/>
  <c r="E5" i="85"/>
  <c r="E6" i="85" s="1"/>
  <c r="P27" i="85"/>
  <c r="C9" i="48" s="1"/>
  <c r="E14" i="81"/>
  <c r="E15" i="81" s="1"/>
  <c r="E6" i="81"/>
  <c r="E7" i="81" s="1"/>
  <c r="I6" i="81"/>
  <c r="I7" i="81" s="1"/>
  <c r="Q115" i="81"/>
  <c r="C6" i="48" s="1"/>
  <c r="E7" i="85" l="1"/>
  <c r="Q140" i="76"/>
  <c r="Q151" i="76" s="1"/>
  <c r="C4" i="48" s="1"/>
  <c r="W168" i="76" l="1"/>
  <c r="C16" i="48" l="1"/>
  <c r="G5" i="54" l="1"/>
  <c r="G4" i="54" l="1"/>
  <c r="G3" i="54"/>
  <c r="G6" i="54" l="1"/>
  <c r="I14" i="81"/>
  <c r="I15" i="81" s="1"/>
</calcChain>
</file>

<file path=xl/sharedStrings.xml><?xml version="1.0" encoding="utf-8"?>
<sst xmlns="http://schemas.openxmlformats.org/spreadsheetml/2006/main" count="2626" uniqueCount="640">
  <si>
    <t>Seção  de Compras - SECOMP /SUCOP / SAD</t>
  </si>
  <si>
    <t>MAPA COMPARATIVO DE PREÇOS</t>
  </si>
  <si>
    <t>Grupo 01</t>
  </si>
  <si>
    <t>Critérios Estatísticos gerais</t>
  </si>
  <si>
    <t>Critérios Estatísticos por item</t>
  </si>
  <si>
    <t>MÉDIA</t>
  </si>
  <si>
    <t>DESVIO PADRÃO AMOSTRAL</t>
  </si>
  <si>
    <t>MÉTODO ESTATÍSCO</t>
  </si>
  <si>
    <t>PREÇO MÍNIMO</t>
  </si>
  <si>
    <t>Comprasnet / outros</t>
  </si>
  <si>
    <t>ITEM</t>
  </si>
  <si>
    <t>ESPECIFICAÇÃO / FORMATO</t>
  </si>
  <si>
    <t>UND</t>
  </si>
  <si>
    <t>QTD.</t>
  </si>
  <si>
    <t>COTAÇÃO</t>
  </si>
  <si>
    <t>PARÂMETROS</t>
  </si>
  <si>
    <t>EMPRESAS</t>
  </si>
  <si>
    <t>PORTE</t>
  </si>
  <si>
    <t>VALOR
UNIT.</t>
  </si>
  <si>
    <t>AVALIÇÃO</t>
  </si>
  <si>
    <t>MÉDIAS/MEDIANA</t>
  </si>
  <si>
    <t>Valor unit.</t>
  </si>
  <si>
    <t>Valor total</t>
  </si>
  <si>
    <t>Resma</t>
  </si>
  <si>
    <t>Comprasnet /
outros</t>
  </si>
  <si>
    <t>Proposta Comercial</t>
  </si>
  <si>
    <t>Fornecedor</t>
  </si>
  <si>
    <t>Internet</t>
  </si>
  <si>
    <t>TOTAL:</t>
  </si>
  <si>
    <t>COEFICIENTE DE VARIAÇÃO (%)</t>
  </si>
  <si>
    <t>COTAÇÕES</t>
  </si>
  <si>
    <t>PARÂMETRO</t>
  </si>
  <si>
    <t>30% acima /média</t>
  </si>
  <si>
    <t>75% abaixo da media</t>
  </si>
  <si>
    <t>ITEM: 11</t>
  </si>
  <si>
    <t>ITEM: 13</t>
  </si>
  <si>
    <t>ITEM: 12</t>
  </si>
  <si>
    <t>ITEM: 14</t>
  </si>
  <si>
    <t>ITEM: 20</t>
  </si>
  <si>
    <t>ITEM: 22</t>
  </si>
  <si>
    <t>ITEM: 21</t>
  </si>
  <si>
    <t>ITEM: 23</t>
  </si>
  <si>
    <t>Rolo</t>
  </si>
  <si>
    <t>Tubo</t>
  </si>
  <si>
    <t>GRUPO 19 - MATERIAIS PARA VEDAÇÃO</t>
  </si>
  <si>
    <t>SINAPI</t>
  </si>
  <si>
    <t>ESPECIFICAÇÃO</t>
  </si>
  <si>
    <t>UNID.</t>
  </si>
  <si>
    <t>QTD</t>
  </si>
  <si>
    <t>VALOR
TOTAL</t>
  </si>
  <si>
    <t>IMAGEM PARA
REFERÊNCIA</t>
  </si>
  <si>
    <t>Link</t>
  </si>
  <si>
    <r>
      <t xml:space="preserve">MANTA ASFÁLTICA
</t>
    </r>
    <r>
      <rPr>
        <sz val="11"/>
        <color rgb="FF000000"/>
        <rFont val="Calibri"/>
        <family val="2"/>
        <scheme val="minor"/>
      </rPr>
      <t>- Comprimento: 10 metros;
- Largura: 100 cm;
- Espessura: 3mm;
- Estado Físico: Sólido;
- Cor: Preto;
- Acabamento: Rugoso;
- Rolo;
- Ref: Marca VIAPOL, Modelo: LAGE GLASS.</t>
    </r>
  </si>
  <si>
    <t>m²</t>
  </si>
  <si>
    <r>
      <t xml:space="preserve">PRIMER PARA MANTA ASFÁLTICA
</t>
    </r>
    <r>
      <rPr>
        <sz val="11"/>
        <color rgb="FF000000"/>
        <rFont val="Calibri"/>
        <family val="2"/>
        <scheme val="minor"/>
      </rPr>
      <t>- Conteúdo: 18 Litros;
- Cor: Preta;
- Rendimento: 60m²;
- Tempo de secagem: 6 horas;
- Para aplicação da manta asfáltica, lajes, piscinas, reservatórios;
- Ref: Marca VEDACIT.</t>
    </r>
  </si>
  <si>
    <t>Lata</t>
  </si>
  <si>
    <t>https://www.leroymerlin.com.br/primer-manta-vedacit-18l-preta-vedacit_87006402</t>
  </si>
  <si>
    <r>
      <t xml:space="preserve">IMPERMEABILIZANTE 
</t>
    </r>
    <r>
      <rPr>
        <sz val="11"/>
        <color rgb="FF000000"/>
        <rFont val="Calibri"/>
        <family val="2"/>
        <scheme val="minor"/>
      </rPr>
      <t>- Argamassa Polimérica;
- Cor: Cinza;
- Conteúdo da Embalagem: Líquido+Pó;
- Peso do produto: 18 kg;
- Rendimento: 6 m²;
- Ref: Marca: SIKA, Linha: SIKA TOP 107.</t>
    </r>
  </si>
  <si>
    <t>Caixa</t>
  </si>
  <si>
    <t>https://www.leroymerlin.com.br/impermeabilizante-sika-top-107-cinza-argamassa-aditivo-18kg_86693376?store_code=23&amp;gclid=EAIaIQobChMIirud95f76wIVUw-RCh3fkQbJEAYYASABEgLGdfD_BwE</t>
  </si>
  <si>
    <t>TOTAL DOS GRUPOS/ITENS</t>
  </si>
  <si>
    <t>GRUPO/ITEM</t>
  </si>
  <si>
    <t>MODALIDADE</t>
  </si>
  <si>
    <t>Grupo 1</t>
  </si>
  <si>
    <t>Grupo 2</t>
  </si>
  <si>
    <t>ME</t>
  </si>
  <si>
    <t>MÉDIA
valores</t>
  </si>
  <si>
    <t>GRUPO 3</t>
  </si>
  <si>
    <t>EPP</t>
  </si>
  <si>
    <t>ITEM: 17</t>
  </si>
  <si>
    <t>Prisma Papelaria Ltda
CNPJ: 28.076.288/0001-05</t>
  </si>
  <si>
    <t>100 PCT</t>
  </si>
  <si>
    <t>ITEM: 18</t>
  </si>
  <si>
    <t>ITEM: 19</t>
  </si>
  <si>
    <t>COEFICIENTE DE VARIAÇÃO ( 25 %)</t>
  </si>
  <si>
    <t>Coeficiente de variação</t>
  </si>
  <si>
    <t xml:space="preserve">&lt; </t>
  </si>
  <si>
    <t xml:space="preserve">&gt; </t>
  </si>
  <si>
    <t>MEDIANA</t>
  </si>
  <si>
    <t>LEVANTAMENTO/GERENCIAMENTO DE RISCOS:</t>
  </si>
  <si>
    <t>OBSERVAÇÕES IMPORTANTES PARA LEVANTAMENTO DE RISCOS:</t>
  </si>
  <si>
    <t>RESPOSTA:</t>
  </si>
  <si>
    <t xml:space="preserve">1. </t>
  </si>
  <si>
    <t>Prazo de entrega diferenciado?</t>
  </si>
  <si>
    <t>2.</t>
  </si>
  <si>
    <t>Garantia adicional fora a do produto?</t>
  </si>
  <si>
    <t>3.</t>
  </si>
  <si>
    <t>Há serviços de instalação incluído?</t>
  </si>
  <si>
    <t>4.</t>
  </si>
  <si>
    <t>O produto comercializado em dólar?</t>
  </si>
  <si>
    <t>5.</t>
  </si>
  <si>
    <t>O valor estimado sugere contratação exclusiva para ME e EPP?</t>
  </si>
  <si>
    <t>6.</t>
  </si>
  <si>
    <t>Há, pelo menos, 3 empresas ME e EPP participando da cotação?</t>
  </si>
  <si>
    <t>7.</t>
  </si>
  <si>
    <t>Há flagrante diferença de preços entre ME/EPP e ampla concorrência?</t>
  </si>
  <si>
    <t>8.</t>
  </si>
  <si>
    <t>Há indício de monopólio ?</t>
  </si>
  <si>
    <t>9.</t>
  </si>
  <si>
    <t>Há flagrante diferença de preços entre o mapa e o valor inicialmente orçado nos estudos tecnicos preliminares?</t>
  </si>
  <si>
    <t>10.</t>
  </si>
  <si>
    <t>Há notícias mercadológicas que indiquema ausência de matéria prima no mercado e/ou aumento expressivo de preços em mídias oficiais?</t>
  </si>
  <si>
    <t>GERENCIAMENTO DOS RISCOS:</t>
  </si>
  <si>
    <t xml:space="preserve"> e contratos) em preço manifestamente inferior, com vistas ao questionamento e análise crítica.</t>
  </si>
  <si>
    <r>
      <rPr>
        <b/>
        <sz val="11"/>
        <color rgb="FFC0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Os potenciais riscos devem ser explicitados na informação da unidade.</t>
    </r>
  </si>
  <si>
    <r>
      <rPr>
        <b/>
        <sz val="11"/>
        <color rgb="FFC0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Os riscos que influenciam diretemente na seleção do fornecedor devem ser encaminhados à Seção de Licitações.</t>
    </r>
  </si>
  <si>
    <r>
      <rPr>
        <b/>
        <sz val="11"/>
        <color rgb="FFC0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Juntar aos autos a relação de possíveis fornecedores que foram consultados e não enviaram propostas.</t>
    </r>
  </si>
  <si>
    <r>
      <rPr>
        <b/>
        <sz val="11"/>
        <color rgb="FFC0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Observar se há proposta direta com fornecedor que também esteja fornecendo para a administração (ARP</t>
    </r>
  </si>
  <si>
    <t>ITEM: 1</t>
  </si>
  <si>
    <t xml:space="preserve">ITEM: 2 </t>
  </si>
  <si>
    <t xml:space="preserve">ITEM: 3 </t>
  </si>
  <si>
    <t>ITEM 4</t>
  </si>
  <si>
    <t>ITEM 5</t>
  </si>
  <si>
    <t xml:space="preserve">ITEM: 6 </t>
  </si>
  <si>
    <t xml:space="preserve">ITEM: 7  </t>
  </si>
  <si>
    <t xml:space="preserve">ITEM: 8  </t>
  </si>
  <si>
    <t>Inexequível: inferior a 70% da média do rol de preços validos</t>
  </si>
  <si>
    <t>&lt;
70% da média</t>
  </si>
  <si>
    <t>30% acima média</t>
  </si>
  <si>
    <t>OBSERVAÇÕES
AVALIAÇÃO</t>
  </si>
  <si>
    <t>Superior a média dos preços obtidos</t>
  </si>
  <si>
    <t>da média dos preços obtidos
Por ser preço público foi considerado na estimativa</t>
  </si>
  <si>
    <t>-</t>
  </si>
  <si>
    <t>DEMAIS</t>
  </si>
  <si>
    <t>Preços execessivamene elevados: superior a 30% da média do rol de preços validos</t>
  </si>
  <si>
    <t>NÃO</t>
  </si>
  <si>
    <t>ITEM: 24</t>
  </si>
  <si>
    <t>SIM</t>
  </si>
  <si>
    <t>ITEM: 25</t>
  </si>
  <si>
    <t>ITEM: 26</t>
  </si>
  <si>
    <t>ITEM: 27</t>
  </si>
  <si>
    <t>ITEM: 28</t>
  </si>
  <si>
    <t>ITEM: 29</t>
  </si>
  <si>
    <t>ITEM: 31</t>
  </si>
  <si>
    <t>ITEM: 34</t>
  </si>
  <si>
    <r>
      <t>d</t>
    </r>
    <r>
      <rPr>
        <sz val="9"/>
        <color theme="1"/>
        <rFont val="Calibri"/>
        <family val="2"/>
        <scheme val="minor"/>
      </rPr>
      <t>a média dos preços obtidos
Por ser preço público foi considerado na estimativa</t>
    </r>
  </si>
  <si>
    <t>diferença pequena</t>
  </si>
  <si>
    <t>&lt;</t>
  </si>
  <si>
    <t>&gt; - diferenç pequena</t>
  </si>
  <si>
    <t>Demais</t>
  </si>
  <si>
    <t>ITEM: 35</t>
  </si>
  <si>
    <t>ITEM: 36</t>
  </si>
  <si>
    <t>ITEM: 37</t>
  </si>
  <si>
    <t>ITEM: 38</t>
  </si>
  <si>
    <t>ITEM: 39</t>
  </si>
  <si>
    <t>ITEM: 40</t>
  </si>
  <si>
    <t>Grupo 3</t>
  </si>
  <si>
    <t>Grupo 4</t>
  </si>
  <si>
    <t>Grupo 5</t>
  </si>
  <si>
    <t>LEUMAISE APARECIDA DOS SANTOS</t>
  </si>
  <si>
    <t xml:space="preserve">11. </t>
  </si>
  <si>
    <t>Observar se os preços de internet não estão abarcando promoções temporais e/ou quantitativas que possam influcienciar no preço de forma</t>
  </si>
  <si>
    <r>
      <rPr>
        <b/>
        <sz val="9"/>
        <color rgb="FFC00000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>Os potenciais riscos devem ser explicitados na informação da unidade.</t>
    </r>
  </si>
  <si>
    <r>
      <rPr>
        <b/>
        <sz val="9"/>
        <color rgb="FFC00000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>Os riscos que influenciam diretemente na seleção do fornecedor devem ser encaminhados à Seção de Licitações.</t>
    </r>
  </si>
  <si>
    <r>
      <rPr>
        <b/>
        <sz val="9"/>
        <color rgb="FFC00000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 xml:space="preserve"> Juntar aos autos a relação de possíveis fornecedores que foram consultados e não enviaram propostas.</t>
    </r>
  </si>
  <si>
    <r>
      <rPr>
        <b/>
        <sz val="9"/>
        <color rgb="FFC00000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>Observar se há proposta direta com fornecedor que também esteja fornecendo para a administração (ARP</t>
    </r>
  </si>
  <si>
    <t xml:space="preserve">O valor estimado sugere contratação exclusiva para ME e EPP? </t>
  </si>
  <si>
    <t>Há, pelo menos, 3 empresas ME e EPP participando da cotação? R: Sim, considerando as contratações de outros órgãos que são com empresas ME/EPP</t>
  </si>
  <si>
    <r>
      <t xml:space="preserve">Há flagrante diferença de preços entre ME/EPP e ampla concorrência? </t>
    </r>
    <r>
      <rPr>
        <sz val="9"/>
        <color theme="9" tint="-0.249977111117893"/>
        <rFont val="Calibri"/>
        <family val="2"/>
        <scheme val="minor"/>
      </rPr>
      <t>R: Proposta ME/EPP com valor um pouco maior.</t>
    </r>
  </si>
  <si>
    <t>11.</t>
  </si>
  <si>
    <t>Observar se os preços de internet não estão abarcando promoções temporais e/ou quantitativas que possam influcienciar no preço de forma. Foi incluído ainda o custos dos fretes</t>
  </si>
  <si>
    <r>
      <rPr>
        <b/>
        <sz val="11"/>
        <color rgb="FFC0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Observar se há proposta direta com fornecedor que também esteja fornecendo para a administração (ARP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 contratos) em preço manifestamente inferior, com vistas ao questionamento e análise crítica.</t>
    </r>
  </si>
  <si>
    <r>
      <rPr>
        <b/>
        <sz val="9"/>
        <color rgb="FFC00000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>Os riscos que influenciam diretemente na seleção do fornecedor devem ser encaminhados à Seção de Licitações.* Juntar aos autos a relação de possíveis fornecedores que foram consultados e não enviaram propostas.
*Observar se há proposta direta com fornecedor que também esteja fornecendo para a administração (ARP  e contratos) em preço manifestamente inferior, com vistas ao questionamento e análise crítica.</t>
    </r>
  </si>
  <si>
    <t>R:  A Diferença é pequena e é maio na ampla concorrência</t>
  </si>
  <si>
    <t>O produto comercializado em dólar? R: Tem influência do dolar devido aos insumos</t>
  </si>
  <si>
    <r>
      <rPr>
        <b/>
        <sz val="10"/>
        <rFont val="Calibri"/>
        <family val="2"/>
      </rPr>
      <t>COLA BASTÃO</t>
    </r>
    <r>
      <rPr>
        <sz val="10"/>
        <rFont val="Calibri"/>
        <family val="2"/>
      </rPr>
      <t xml:space="preserve">
- Peso: 8 gramas;
- Composição: Plástico Reciclado;
- Cor: Branca;
- Características Adicionais: Atóxica;
- Tipo: Bastão.</t>
    </r>
  </si>
  <si>
    <t>Comprasnet / outtras</t>
  </si>
  <si>
    <t>Processo SEI 0001095-30.2021.4.90.8000</t>
  </si>
  <si>
    <t>ITEM 35</t>
  </si>
  <si>
    <t>ITEM 36</t>
  </si>
  <si>
    <t>ITEM 37</t>
  </si>
  <si>
    <t>ITEM 38</t>
  </si>
  <si>
    <t>ITEM 39</t>
  </si>
  <si>
    <t>ITEM 40</t>
  </si>
  <si>
    <t>ITEM 41</t>
  </si>
  <si>
    <t>ITEM 41RES</t>
  </si>
  <si>
    <r>
      <rPr>
        <b/>
        <sz val="10"/>
        <color theme="1"/>
        <rFont val="Calibri"/>
        <family val="2"/>
        <scheme val="minor"/>
      </rPr>
      <t>PAPEL PARA CÓPIA</t>
    </r>
    <r>
      <rPr>
        <sz val="10"/>
        <color theme="1"/>
        <rFont val="Calibri"/>
        <family val="2"/>
        <scheme val="minor"/>
      </rPr>
      <t xml:space="preserve">
- Cor: Branco;
- Gramatura: 75g/m²;
- Formato da folha: A4 (210x297mm);
- Resma contendo 500 folhas;
- Elevada brancura;
- Fibras longitudinais;
- Apropriado para utilização em máquina copiadora, impressora laser e jato de tinta;
- Marcas de referência: Chamex, Suzano ou marca com selo de qualidade do INMETRO.</t>
    </r>
  </si>
  <si>
    <t>Procuradoria Geral do Trabalho DF
Ata P. E n. 12/2022</t>
  </si>
  <si>
    <t>Rafa Paper Distribuidora Eireli
CNPJ: 30.735.649/0001-11</t>
  </si>
  <si>
    <t>GRUPO 4 - Recado auto-adesivo</t>
  </si>
  <si>
    <r>
      <t xml:space="preserve">RECADO AUTO-ADESIVO
</t>
    </r>
    <r>
      <rPr>
        <sz val="10"/>
        <color theme="1"/>
        <rFont val="Calibri"/>
        <family val="2"/>
        <scheme val="minor"/>
      </rPr>
      <t>- Cor: Amarelo;
- Com papel celulose vegetal;
- 90g/²;
- Aderência na parte superior;
- Medida: 38x50mm;
- Embalagem com 4 (quatro) blocos de 100 (cem) folhas cada;
- Marcas de referência: 3M, NoteFix ou marca com selo de qualidade do INMETRO.</t>
    </r>
  </si>
  <si>
    <r>
      <rPr>
        <b/>
        <sz val="10"/>
        <color theme="1"/>
        <rFont val="Calibri"/>
        <family val="2"/>
        <scheme val="minor"/>
      </rPr>
      <t>RECADO AUTO-ADESIVO</t>
    </r>
    <r>
      <rPr>
        <sz val="10"/>
        <color theme="1"/>
        <rFont val="Calibri"/>
        <family val="2"/>
        <scheme val="minor"/>
      </rPr>
      <t xml:space="preserve">
- Cor: Amarelo;
- Com papel celulose vegetal;
- 90g/²;
- Aderência na parte superior;
- Medida: 76x102mm;
- Embalagem com 4 (quatro) blocos de 100 (cem) folhas cada;
- Marcas de referência: 3M, NoteFix ou marca com selo de qualidade do INMETRO.</t>
    </r>
  </si>
  <si>
    <r>
      <rPr>
        <b/>
        <sz val="10"/>
        <color theme="1"/>
        <rFont val="Calibri"/>
        <family val="2"/>
        <scheme val="minor"/>
      </rPr>
      <t xml:space="preserve">APAGADOR PARA QUADRO BRANCO
</t>
    </r>
    <r>
      <rPr>
        <sz val="10"/>
        <color theme="1"/>
        <rFont val="Calibri"/>
        <family val="2"/>
        <scheme val="minor"/>
      </rPr>
      <t>- Encaixe para 2 (dois) marcadores;
- Com feltro;
- Com imã;
- Atóxico;
- Cor: Azul ou Preto</t>
    </r>
  </si>
  <si>
    <t>und</t>
  </si>
  <si>
    <r>
      <rPr>
        <b/>
        <sz val="10"/>
        <color theme="1"/>
        <rFont val="Calibri"/>
        <family val="2"/>
        <scheme val="minor"/>
      </rPr>
      <t>BORRACHA BRANCA</t>
    </r>
    <r>
      <rPr>
        <sz val="10"/>
        <color theme="1"/>
        <rFont val="Calibri"/>
        <family val="2"/>
        <scheme val="minor"/>
      </rPr>
      <t xml:space="preserve">
- Com cinta protetora em plástico;
- Cor: Branca;
- Medidas: 12x21x43mm;
- Indicada para apagar escrita à grafite e à lápis;
- Apagamento macio;
- Formato anatômico;
- Marcas de Referencia: Bic ou  marca com selo de qualidade do INMETRO.</t>
    </r>
  </si>
  <si>
    <r>
      <t>CANETA ESFEROGRÁFICA
- Cor: Azul;</t>
    </r>
    <r>
      <rPr>
        <sz val="10"/>
        <color theme="1"/>
        <rFont val="Calibri"/>
        <family val="2"/>
        <scheme val="minor"/>
      </rPr>
      <t xml:space="preserve">
- Material: Plástico reciclado;
- Material da Ponta: Esfera de Tungstênio;
- Tipo da escrita: Grossa;
- Características Adicionais: Atóxica, corpo cilíndrico;
- Marcas de Referência: Bic ou similar ou  ou marca com selo de qualidade do INMETRO.</t>
    </r>
  </si>
  <si>
    <r>
      <rPr>
        <b/>
        <sz val="10"/>
        <color theme="1"/>
        <rFont val="Calibri"/>
        <family val="2"/>
        <scheme val="minor"/>
      </rPr>
      <t>CANETA ESFEROGRÁFICA
- Cor: Preta</t>
    </r>
    <r>
      <rPr>
        <sz val="10"/>
        <color theme="1"/>
        <rFont val="Calibri"/>
        <family val="2"/>
        <scheme val="minor"/>
      </rPr>
      <t>;
- Material: Plástico reciclado;
- Material da Ponta: Esfera de Tungstênio;
- Tipo da escrita: Grossa;
- Características Adicionais: Atóxica, corpo cilíndrico;
- Marcas de Referência: Bic ou similar ou  ou marca com selo de qualidade do INMETRO.</t>
    </r>
  </si>
  <si>
    <r>
      <rPr>
        <b/>
        <sz val="10"/>
        <color theme="1"/>
        <rFont val="Calibri"/>
        <family val="2"/>
        <scheme val="minor"/>
      </rPr>
      <t>CANETA MARCA-TEXTO</t>
    </r>
    <r>
      <rPr>
        <sz val="10"/>
        <color theme="1"/>
        <rFont val="Calibri"/>
        <family val="2"/>
        <scheme val="minor"/>
      </rPr>
      <t xml:space="preserve">
- Material: Plástico Reciclado;
- Tipo Ponta: Facetada;
- Cor: Amarela;
- Tipo: Não Recarregável;
- Características Adicionais: Traço 1 a 4mm;
- Fluorescente;
- Marcas de Referencia: Materprint ou  marca com selo de qualidade do INMETRO.</t>
    </r>
  </si>
  <si>
    <r>
      <rPr>
        <b/>
        <sz val="11"/>
        <color theme="1"/>
        <rFont val="Calibri"/>
        <family val="2"/>
        <scheme val="minor"/>
      </rPr>
      <t>COLA LÍQUIDA</t>
    </r>
    <r>
      <rPr>
        <sz val="11"/>
        <color theme="1"/>
        <rFont val="Calibri"/>
        <family val="2"/>
        <scheme val="minor"/>
      </rPr>
      <t xml:space="preserve">
- Peso: 90 gramas;
- Composição: Plástico Reciclado;
- Cor: Branca;
- Características Adicionais: Atóxica;
- Marcas de Referência: Bic, Leo&amp;Leo ou similar ou marca com selo de qualidade INMETRO.</t>
    </r>
  </si>
  <si>
    <r>
      <rPr>
        <b/>
        <sz val="11"/>
        <color theme="1"/>
        <rFont val="Calibri"/>
        <family val="2"/>
        <scheme val="minor"/>
      </rPr>
      <t xml:space="preserve">GRAFITE PARA LAPISEIRA
</t>
    </r>
    <r>
      <rPr>
        <sz val="11"/>
        <color theme="1"/>
        <rFont val="Calibri"/>
        <family val="2"/>
        <scheme val="minor"/>
      </rPr>
      <t>- Ponta: 0,5mm 2B;
- Tubo com 12 unidades;
- Marcas de Referência: Cis, Pentel, MaxPrint ou similar ou marca com selo de qualidade INMETRO</t>
    </r>
    <r>
      <rPr>
        <b/>
        <sz val="11"/>
        <color theme="1"/>
        <rFont val="Calibri"/>
        <family val="2"/>
        <scheme val="minor"/>
      </rPr>
      <t>.</t>
    </r>
  </si>
  <si>
    <t>tubo</t>
  </si>
  <si>
    <r>
      <rPr>
        <b/>
        <sz val="11"/>
        <color theme="1"/>
        <rFont val="Calibri"/>
        <family val="2"/>
        <scheme val="minor"/>
      </rPr>
      <t>GRAFITE PARA LAPISEIRA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- Ponta: 0,9mm 2B;</t>
    </r>
    <r>
      <rPr>
        <sz val="11"/>
        <color theme="1"/>
        <rFont val="Calibri"/>
        <family val="2"/>
        <scheme val="minor"/>
      </rPr>
      <t xml:space="preserve">
- Tubo com 12 unidades;
- Marcas de Referência: Cis, Pentel, MaxPrint ou similar ou marca com selo de qualidade INMETRO.</t>
    </r>
  </si>
  <si>
    <r>
      <rPr>
        <b/>
        <sz val="11"/>
        <color theme="1"/>
        <rFont val="Calibri"/>
        <family val="2"/>
        <scheme val="minor"/>
      </rPr>
      <t>GRAFITE PARA LAPISEIRA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- Ponta: 0,7mm 2B;</t>
    </r>
    <r>
      <rPr>
        <sz val="11"/>
        <color theme="1"/>
        <rFont val="Calibri"/>
        <family val="2"/>
        <scheme val="minor"/>
      </rPr>
      <t xml:space="preserve">
- Tubo com 12 unidades;
- Marcas de Referência: Cis, Pentel, MaxPrint ou similar ou marca com selo de qualidade INMETRO.</t>
    </r>
  </si>
  <si>
    <r>
      <rPr>
        <b/>
        <sz val="11"/>
        <color theme="1"/>
        <rFont val="Calibri"/>
        <family val="2"/>
        <scheme val="minor"/>
      </rPr>
      <t>PRENDEDOR CLIP
- Número: 2/0</t>
    </r>
    <r>
      <rPr>
        <sz val="11"/>
        <color theme="1"/>
        <rFont val="Calibri"/>
        <family val="2"/>
        <scheme val="minor"/>
      </rPr>
      <t>;
- Material: Metal;
- Niquelado;
- Medidas: 32mm x 11mm x 1,0mm;
- Caixa com 100 unidades;
- Características adicionais: Arame de aço com tratamento antiferrugem;
- Marcas de Referência: Acc, bacchi ou similar ou marca com selo de qualidade do INMETRO.</t>
    </r>
  </si>
  <si>
    <r>
      <rPr>
        <b/>
        <sz val="10"/>
        <rFont val="Calibri"/>
        <family val="2"/>
      </rPr>
      <t xml:space="preserve">PRENDEDOR CLIP
- Número: 3/0;
</t>
    </r>
    <r>
      <rPr>
        <sz val="10"/>
        <rFont val="Calibri"/>
        <family val="2"/>
      </rPr>
      <t>- Material: Metal;
- Niquelado;
- Medidas: 35mm x 11mm x 1,20mm;
- Caixa com 50 unidades;
- Características adicionais: Arame de aço com tratamento antiferrugem;
- Marcas de Referência: Acc, bacchi ou similar ou marca com selo de qualidade do INMETRO.</t>
    </r>
  </si>
  <si>
    <r>
      <rPr>
        <b/>
        <sz val="11"/>
        <color theme="1"/>
        <rFont val="Calibri"/>
        <family val="2"/>
        <scheme val="minor"/>
      </rPr>
      <t xml:space="preserve">FITA ADESIVA TRANSPARENTE
</t>
    </r>
    <r>
      <rPr>
        <sz val="11"/>
        <color theme="1"/>
        <rFont val="Calibri"/>
        <family val="2"/>
        <scheme val="minor"/>
      </rPr>
      <t>- Para ser utilizada juntamente com suporte para fita adesiva;
- Tratada quimicamente;
- Com adesivo de resina e borracha;
- Sensível à pressão;
-</t>
    </r>
    <r>
      <rPr>
        <b/>
        <sz val="11"/>
        <color theme="1"/>
        <rFont val="Calibri"/>
        <family val="2"/>
        <scheme val="minor"/>
      </rPr>
      <t xml:space="preserve"> Medida: 12mm x 30m;</t>
    </r>
    <r>
      <rPr>
        <sz val="11"/>
        <color theme="1"/>
        <rFont val="Calibri"/>
        <family val="2"/>
        <scheme val="minor"/>
      </rPr>
      <t xml:space="preserve">
- Marcas de Referência: Adelbras, Adere, 3M, Eurocel ou similar marca com selo do INMETRO.</t>
    </r>
  </si>
  <si>
    <r>
      <rPr>
        <b/>
        <sz val="11"/>
        <color theme="1"/>
        <rFont val="Calibri"/>
        <family val="2"/>
        <scheme val="minor"/>
      </rPr>
      <t xml:space="preserve">FITA ADESIVA TRANSPARENTE
</t>
    </r>
    <r>
      <rPr>
        <sz val="11"/>
        <color theme="1"/>
        <rFont val="Calibri"/>
        <family val="2"/>
        <scheme val="minor"/>
      </rPr>
      <t xml:space="preserve">- Tratada quimicamente;
- Com adesivo de resina e borracha;
- Indicada para diversas aplicações de fixação e proteção;
- Alta Resistência e Flexibilidade;
</t>
    </r>
    <r>
      <rPr>
        <b/>
        <sz val="11"/>
        <color theme="1"/>
        <rFont val="Calibri"/>
        <family val="2"/>
        <scheme val="minor"/>
      </rPr>
      <t>- Medida: 48mm x 50m;</t>
    </r>
    <r>
      <rPr>
        <sz val="11"/>
        <color theme="1"/>
        <rFont val="Calibri"/>
        <family val="2"/>
        <scheme val="minor"/>
      </rPr>
      <t xml:space="preserve">
- Marcas de Referência: Adelbras, Adere, 3M, Eurocel ou similar marca com selo do INMETRO.</t>
    </r>
  </si>
  <si>
    <r>
      <rPr>
        <b/>
        <sz val="11"/>
        <color theme="1"/>
        <rFont val="Calibri"/>
        <family val="2"/>
        <scheme val="minor"/>
      </rPr>
      <t xml:space="preserve">FITA ADESIVA TRANSPARENTE
</t>
    </r>
    <r>
      <rPr>
        <sz val="11"/>
        <color theme="1"/>
        <rFont val="Calibri"/>
        <family val="2"/>
        <scheme val="minor"/>
      </rPr>
      <t xml:space="preserve">- Tratada quimicamente;
- Com adesivo de resina e borracha;
- Sensível à pressão;
- Medida: </t>
    </r>
    <r>
      <rPr>
        <b/>
        <sz val="11"/>
        <color theme="1"/>
        <rFont val="Calibri"/>
        <family val="2"/>
        <scheme val="minor"/>
      </rPr>
      <t>12mm x 40m</t>
    </r>
    <r>
      <rPr>
        <sz val="11"/>
        <color theme="1"/>
        <rFont val="Calibri"/>
        <family val="2"/>
        <scheme val="minor"/>
      </rPr>
      <t>;
- Marcas de Referência: Adelbras, Adere, 3M, Eurocel ou similar marca com selo do INMETRO.</t>
    </r>
  </si>
  <si>
    <r>
      <rPr>
        <b/>
        <sz val="10"/>
        <color theme="1"/>
        <rFont val="Calibri"/>
        <family val="2"/>
        <scheme val="minor"/>
      </rPr>
      <t>LÁPIS
- Grafite n° 02</t>
    </r>
    <r>
      <rPr>
        <sz val="10"/>
        <color theme="1"/>
        <rFont val="Calibri"/>
        <family val="2"/>
        <scheme val="minor"/>
      </rPr>
      <t>;
- Ponta em formato cilíndrico;
- Revestimento em madeira pintada externamente;
- Cor: Preta;
- Com borracha;
- Medida: 17cm de comprimento;
- Grafite inteiriço;
- Marcas de Referencia: Faber Castell, Bic ou  marca com selo de qualidade do INMETRO.</t>
    </r>
  </si>
  <si>
    <r>
      <rPr>
        <b/>
        <sz val="10"/>
        <color theme="1"/>
        <rFont val="Calibri"/>
        <family val="2"/>
        <scheme val="minor"/>
      </rPr>
      <t>LAPISEIRA 0,7MM
- Corpo na cor preta</t>
    </r>
    <r>
      <rPr>
        <sz val="10"/>
        <color theme="1"/>
        <rFont val="Calibri"/>
        <family val="2"/>
        <scheme val="minor"/>
      </rPr>
      <t>;
- Sextavada;
- Com as seguintes peças niqueladas: Ponta inferior,          presilha  e protetor de borracha na extremidade superior;
- Borracha acoplada;
- Botão de pressão para avanço do grafite;
- Marcas de Referencia: Tilibra ou  marca com selo de qualidade do INMETRO.</t>
    </r>
  </si>
  <si>
    <r>
      <rPr>
        <b/>
        <sz val="10"/>
        <color theme="1"/>
        <rFont val="Calibri"/>
        <family val="2"/>
        <scheme val="minor"/>
      </rPr>
      <t>PINCEL ATÔMICO
- Cor: Azul;</t>
    </r>
    <r>
      <rPr>
        <sz val="10"/>
        <color theme="1"/>
        <rFont val="Calibri"/>
        <family val="2"/>
        <scheme val="minor"/>
      </rPr>
      <t xml:space="preserve">
- Tipo de Material: Plástico;
- Escrita fina em diferentes espessuras: (2mm, 4,5mm e 8mm);
Ponta: Resistente de feltro;
- Tinta permanente;
- Marcas de Referencia: Bic, Pilot, Masterprint ou  marca com selo de qualidade do INMETRO.</t>
    </r>
  </si>
  <si>
    <r>
      <rPr>
        <b/>
        <sz val="10"/>
        <color theme="1"/>
        <rFont val="Calibri"/>
        <family val="2"/>
        <scheme val="minor"/>
      </rPr>
      <t>PINCEL ATÔMICO
- Cor: Preto;</t>
    </r>
    <r>
      <rPr>
        <sz val="10"/>
        <color theme="1"/>
        <rFont val="Calibri"/>
        <family val="2"/>
        <scheme val="minor"/>
      </rPr>
      <t xml:space="preserve">
- Tipo de Material: Plástico;
- Escrita fina em diferentes espessuras: (2mm, 4,5mm e 8mm);
Ponta: Resistente de feltro;
- Tinta permanente;
- Marcas de Referencia: Bic, Pilot, Masterprint ou  marca com selo de qualidade do INMETRO.</t>
    </r>
  </si>
  <si>
    <r>
      <rPr>
        <b/>
        <sz val="10"/>
        <color theme="1"/>
        <rFont val="Calibri"/>
        <family val="2"/>
        <scheme val="minor"/>
      </rPr>
      <t>PINCEL ATÔMICO
- Cor: Vermelho;</t>
    </r>
    <r>
      <rPr>
        <sz val="10"/>
        <color theme="1"/>
        <rFont val="Calibri"/>
        <family val="2"/>
        <scheme val="minor"/>
      </rPr>
      <t xml:space="preserve">
- Tipo de Material: Plástico;
- Escrita fina em diferentes espessuras: (2mm, 4,5mm e 8mm);
- Ponta: Resistente de feltro;
- Tinta permanente;
- Marcas de Referencia: Bic, Pilot, Masterprint ou  marca com selo de qualidade do INMETRO.</t>
    </r>
  </si>
  <si>
    <r>
      <t xml:space="preserve">BATERIA ALCALINA
</t>
    </r>
    <r>
      <rPr>
        <sz val="10"/>
        <color theme="1"/>
        <rFont val="Calibri"/>
        <family val="2"/>
        <scheme val="minor"/>
      </rPr>
      <t>- Tipo: A23;
- 12V;
- Para controle de portões e afins;
- Formato: Cilíndrico;
- Composição: 0% Mercúrio e Cádmio;
- Marcas de Referência: Elgin, Duracell ou marca com selo do INMETRO.</t>
    </r>
  </si>
  <si>
    <r>
      <rPr>
        <b/>
        <sz val="10"/>
        <color theme="1"/>
        <rFont val="Calibri"/>
        <family val="2"/>
        <scheme val="minor"/>
      </rPr>
      <t>BATERIA DE LITHIUM</t>
    </r>
    <r>
      <rPr>
        <sz val="10"/>
        <color theme="1"/>
        <rFont val="Calibri"/>
        <family val="2"/>
        <scheme val="minor"/>
      </rPr>
      <t xml:space="preserve">
- Modelo: CR 2032;
- Voltagem: 3V;
- Marca de Referência: Elgin ou similar ou  ou marca com selo de qualidade do INMETRO.</t>
    </r>
  </si>
  <si>
    <r>
      <t xml:space="preserve">BATERIA RECARREGÁVEL
</t>
    </r>
    <r>
      <rPr>
        <sz val="10"/>
        <color theme="1"/>
        <rFont val="Calibri"/>
        <family val="2"/>
        <scheme val="minor"/>
      </rPr>
      <t>- 9V 250mAh;
- 0% de mercúrio e chumbo;
- Até 1000 recargas;
- Aprovada pelo INMETRO.</t>
    </r>
  </si>
  <si>
    <r>
      <rPr>
        <b/>
        <sz val="10"/>
        <color theme="1"/>
        <rFont val="Calibri"/>
        <family val="2"/>
        <scheme val="minor"/>
      </rPr>
      <t>PILHA AA</t>
    </r>
    <r>
      <rPr>
        <sz val="10"/>
        <color theme="1"/>
        <rFont val="Calibri"/>
        <family val="2"/>
        <scheme val="minor"/>
      </rPr>
      <t xml:space="preserve">
- Modelo: AA;
- Cartela com 2 (duas) unidades;
- Características Adicionais: Não contém mercúrio e cádmio;
- Sistema Eletroquímico: Alcalina;
- Tensão Nominal: 1,5V</t>
    </r>
  </si>
  <si>
    <t>Cartela</t>
  </si>
  <si>
    <r>
      <rPr>
        <b/>
        <sz val="10"/>
        <color theme="1"/>
        <rFont val="Calibri"/>
        <family val="2"/>
        <scheme val="minor"/>
      </rPr>
      <t xml:space="preserve">PILHA AAA
</t>
    </r>
    <r>
      <rPr>
        <sz val="10"/>
        <color theme="1"/>
        <rFont val="Calibri"/>
        <family val="2"/>
        <scheme val="minor"/>
      </rPr>
      <t>- Tamanho: Palito;
- Modelo: AAA;
- Cartela com 2 (duas) unidades;
- Características Adicionais: Não contém mercúrio e cádmio;
- Sistema Eletroquímico: Alcalina;
- Tensão Nominal: 1,5V</t>
    </r>
  </si>
  <si>
    <t>ITEM: 15</t>
  </si>
  <si>
    <t>ITEM: 16</t>
  </si>
  <si>
    <t xml:space="preserve">ITEM: 30 </t>
  </si>
  <si>
    <t>ITEM 32</t>
  </si>
  <si>
    <t>ITEM 33</t>
  </si>
  <si>
    <t>CARTUCHO PLOTTER ORIGINAL HP 72 PHOTO PRETO
C9370A - 130 ML</t>
  </si>
  <si>
    <r>
      <rPr>
        <b/>
        <sz val="11"/>
        <color theme="1"/>
        <rFont val="Calibri"/>
        <family val="2"/>
        <scheme val="minor"/>
      </rPr>
      <t>CARTUCHO PLOTTER</t>
    </r>
    <r>
      <rPr>
        <sz val="11"/>
        <color theme="1"/>
        <rFont val="Calibri"/>
        <family val="2"/>
        <scheme val="minor"/>
      </rPr>
      <t xml:space="preserve"> ORIGINAL HP 72  </t>
    </r>
    <r>
      <rPr>
        <b/>
        <sz val="11"/>
        <color theme="1"/>
        <rFont val="Calibri"/>
        <family val="2"/>
        <scheme val="minor"/>
      </rPr>
      <t xml:space="preserve">PRETO MATTE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C9403A - 130 ML</t>
    </r>
  </si>
  <si>
    <r>
      <rPr>
        <b/>
        <sz val="11"/>
        <color theme="1"/>
        <rFont val="Calibri"/>
        <family val="2"/>
        <scheme val="minor"/>
      </rPr>
      <t>CARTUCHO PLOTTER</t>
    </r>
    <r>
      <rPr>
        <sz val="11"/>
        <color theme="1"/>
        <rFont val="Calibri"/>
        <family val="2"/>
        <scheme val="minor"/>
      </rPr>
      <t xml:space="preserve"> ORIGINAL HP 72 </t>
    </r>
    <r>
      <rPr>
        <b/>
        <sz val="11"/>
        <color theme="1"/>
        <rFont val="Calibri"/>
        <family val="2"/>
        <scheme val="minor"/>
      </rPr>
      <t xml:space="preserve">CIANO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C9371A</t>
    </r>
    <r>
      <rPr>
        <sz val="11"/>
        <color theme="1"/>
        <rFont val="Calibri"/>
        <family val="2"/>
        <scheme val="minor"/>
      </rPr>
      <t xml:space="preserve"> - 130 ML</t>
    </r>
  </si>
  <si>
    <r>
      <rPr>
        <b/>
        <sz val="11"/>
        <color theme="1"/>
        <rFont val="Calibri"/>
        <family val="2"/>
        <scheme val="minor"/>
      </rPr>
      <t>CARTUCHO PLOTTER</t>
    </r>
    <r>
      <rPr>
        <sz val="11"/>
        <color theme="1"/>
        <rFont val="Calibri"/>
        <family val="2"/>
        <scheme val="minor"/>
      </rPr>
      <t xml:space="preserve"> ORIGINAL HP 72</t>
    </r>
    <r>
      <rPr>
        <b/>
        <sz val="11"/>
        <color theme="1"/>
        <rFont val="Calibri"/>
        <family val="2"/>
        <scheme val="minor"/>
      </rPr>
      <t xml:space="preserve"> MAGENTA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C9372A</t>
    </r>
    <r>
      <rPr>
        <sz val="11"/>
        <color theme="1"/>
        <rFont val="Calibri"/>
        <family val="2"/>
        <scheme val="minor"/>
      </rPr>
      <t xml:space="preserve"> - 130 ML</t>
    </r>
  </si>
  <si>
    <r>
      <rPr>
        <b/>
        <sz val="11"/>
        <color theme="1"/>
        <rFont val="Calibri"/>
        <family val="2"/>
        <scheme val="minor"/>
      </rPr>
      <t>CARTUCHO PLOTTER</t>
    </r>
    <r>
      <rPr>
        <sz val="11"/>
        <color theme="1"/>
        <rFont val="Calibri"/>
        <family val="2"/>
        <scheme val="minor"/>
      </rPr>
      <t xml:space="preserve"> ORIGINAL HP 72</t>
    </r>
    <r>
      <rPr>
        <b/>
        <sz val="11"/>
        <color theme="1"/>
        <rFont val="Calibri"/>
        <family val="2"/>
        <scheme val="minor"/>
      </rPr>
      <t xml:space="preserve"> GRAY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C9374A</t>
    </r>
    <r>
      <rPr>
        <sz val="11"/>
        <color theme="1"/>
        <rFont val="Calibri"/>
        <family val="2"/>
        <scheme val="minor"/>
      </rPr>
      <t xml:space="preserve"> - 130ML</t>
    </r>
  </si>
  <si>
    <r>
      <rPr>
        <b/>
        <sz val="11"/>
        <color theme="1"/>
        <rFont val="Calibri"/>
        <family val="2"/>
        <scheme val="minor"/>
      </rPr>
      <t>CARTUCHO PLOTTER</t>
    </r>
    <r>
      <rPr>
        <sz val="11"/>
        <color theme="1"/>
        <rFont val="Calibri"/>
        <family val="2"/>
        <scheme val="minor"/>
      </rPr>
      <t xml:space="preserve"> ORIGINAL HP 72 </t>
    </r>
    <r>
      <rPr>
        <b/>
        <sz val="11"/>
        <color theme="1"/>
        <rFont val="Calibri"/>
        <family val="2"/>
        <scheme val="minor"/>
      </rPr>
      <t xml:space="preserve">AMARELO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C9373A</t>
    </r>
    <r>
      <rPr>
        <sz val="11"/>
        <color theme="1"/>
        <rFont val="Calibri"/>
        <family val="2"/>
        <scheme val="minor"/>
      </rPr>
      <t xml:space="preserve"> - 130 ML</t>
    </r>
  </si>
  <si>
    <r>
      <rPr>
        <b/>
        <sz val="10"/>
        <color theme="1"/>
        <rFont val="Calibri"/>
        <family val="2"/>
        <scheme val="minor"/>
      </rPr>
      <t>TESOURA MÉDIA</t>
    </r>
    <r>
      <rPr>
        <sz val="10"/>
        <color theme="1"/>
        <rFont val="Calibri"/>
        <family val="2"/>
        <scheme val="minor"/>
      </rPr>
      <t xml:space="preserve">
- Para escritório;
- Multiuso
- Medidas aproximadas do produto (AxLxP) 21x8x2cm
- Tipo de material: Aço inoxidável, resinas termoplásticas;
- Cor do cabo: Azul ou Preta;
- Marcas de referência: Cis, Soft ou marca com selo de qualidade do INMETRO.</t>
    </r>
  </si>
  <si>
    <r>
      <t xml:space="preserve">PORTA OBJETOS
</t>
    </r>
    <r>
      <rPr>
        <sz val="10"/>
        <color theme="1"/>
        <rFont val="Calibri"/>
        <family val="2"/>
        <scheme val="minor"/>
      </rPr>
      <t>- Para acomodar Canetas;
- Para acomodar Clips;
- para acomodar Lembretes;
- Cor: Fumê;
- Material: Acrílico;
- Com 3 (três) divisões.</t>
    </r>
  </si>
  <si>
    <r>
      <t xml:space="preserve">GRAMPO PARA GRAMPEADOR
</t>
    </r>
    <r>
      <rPr>
        <sz val="10"/>
        <color theme="1"/>
        <rFont val="Calibri"/>
        <family val="2"/>
        <scheme val="minor"/>
      </rPr>
      <t>- Tipo: 26/6;
- Caixa com 5.000 unidades;
- Galvanizado;
- Sem rebarbas;
- Capacidade até 20 folhas de 75g/m²;
- Marca de referência: ACC ou marca com selo de qualidade do INMETRO.</t>
    </r>
  </si>
  <si>
    <r>
      <t xml:space="preserve">PEN DRIVE
</t>
    </r>
    <r>
      <rPr>
        <sz val="10"/>
        <color theme="1"/>
        <rFont val="Calibri"/>
        <family val="2"/>
        <scheme val="minor"/>
      </rPr>
      <t>- Capacidade mínima de 16 gigabytes;
- Interface USB 2.0 de alta velocidade, sem drive, plug and play, hot-swap;
- Sistemas operacionais: Mac OS 9.0 ou superior; Windows 98 ou superiores;
- Compatível com TV, notebook, autorrádios, e outros eletrônicos;
- Marca de referência: SanDisk, Kingston ou marca com selo de qualidade do INMETRO.</t>
    </r>
  </si>
  <si>
    <r>
      <rPr>
        <b/>
        <sz val="10"/>
        <color theme="1"/>
        <rFont val="Calibri"/>
        <family val="2"/>
        <scheme val="minor"/>
      </rPr>
      <t xml:space="preserve">LOUSA QUADRO BRANCO
</t>
    </r>
    <r>
      <rPr>
        <sz val="10"/>
        <color theme="1"/>
        <rFont val="Calibri"/>
        <family val="2"/>
        <scheme val="minor"/>
      </rPr>
      <t>- 3mm;
- Dimensões da lousa: 120x90 cm;
- Dimensões da Moldura: 3x2 cm;
- Moldura de madeira envernizada;
-  Material do Quadro: Tampo em chapa de fibra de madeira;
- Material da Cantoneira: Madeira Arredondado;
- Material da Moldura: Madeira pinus aparelhada;
- Cor: Branco UV;
- Tipo de Quadro: Não Magnético</t>
    </r>
  </si>
  <si>
    <t xml:space="preserve">ITEM: 9 </t>
  </si>
  <si>
    <t xml:space="preserve">ITEM: 10 </t>
  </si>
  <si>
    <t>Proposta Comercial
(11/8/2022)</t>
  </si>
  <si>
    <t>Cross Distribuidora de Bebidas e Papelaria Ltda
CNPJ: 16.934.475/0001-95</t>
  </si>
  <si>
    <t xml:space="preserve">LIVRARIA CONCORDE. CNPJ 04.431.847/0001-81 </t>
  </si>
  <si>
    <t xml:space="preserve">Papelaria Arco Iris
</t>
  </si>
  <si>
    <r>
      <t xml:space="preserve">Sítio eletronico
</t>
    </r>
    <r>
      <rPr>
        <sz val="9"/>
        <rFont val="Calibri"/>
        <family val="2"/>
        <scheme val="minor"/>
      </rPr>
      <t>https://www.livrariaconcorde.com.br/papelaria/cola-bic-bastao-stick-eco-glue-8gr-blister</t>
    </r>
    <r>
      <rPr>
        <sz val="10"/>
        <rFont val="Calibri"/>
        <family val="2"/>
        <scheme val="minor"/>
      </rPr>
      <t xml:space="preserve">
ACESSO EM 25/08/2022</t>
    </r>
  </si>
  <si>
    <t>Sítio Especializado
https://www.papelariaarcoiris.com/cola-bastao-bic-ecolutions-8g-100-reciclado-bic
ACESSO EM 25/08/2022</t>
  </si>
  <si>
    <t>Amazon Serviços de Varejo do Brasil Ltda. | CNPJ 15.436.940/0001-03</t>
  </si>
  <si>
    <t>Sítio Eletrônico
https://www.amazon.com.br/Faber-Castell-Cola-Bast%C3%A3o-10g/dp/B0784DY5HZ/ref=sr_1_42?adgrpid=1137995193775073&amp;hvadid=71124867002492&amp;hvbmt=be&amp;hvdev=c&amp;hvlocphy=147742&amp;hvnetw=s&amp;hvqmt=e&amp;hvtargid=kwd-71125256299672%3Aloc-20&amp;hydadcr=6147_13213399&amp;keywords=cola+bast%C3%A3o+8g&amp;qid=1661454785&amp;sr=8-42
ACESSO EM 25/08/2022</t>
  </si>
  <si>
    <t>Sítio eletronico
hhttps://www.atacadaomec.com.br/cola-bast-o-scotch-3m-8-gramas-1.html
Acesso em 02/05/2022</t>
  </si>
  <si>
    <t xml:space="preserve"> Comercial Mipel | CNPJ: 08.776.148/0001-24 | Atacadão Mec                                      </t>
  </si>
  <si>
    <t>Empresa de Tecn de Inf e Comum do Muni. SP
Dispensa de Licitação
(22/06/2022)</t>
  </si>
  <si>
    <t>Franklin Ferraz Lacerda de Jesus 23041779803
CNPJ: 40.434.279/0001-36</t>
  </si>
  <si>
    <t xml:space="preserve">Tribunal de Contas do Rio Grande do Norte
P. E n. 7/2022
</t>
  </si>
  <si>
    <t>V. T. A. Machado de Arruda Eireli
CNPJ: 16.667.433/0001-35</t>
  </si>
  <si>
    <t>M da Gloria de Sousa
CNPJ: 33.219.214/0001-02</t>
  </si>
  <si>
    <t>Comando do Exército
13º Grupo de Artilharia de Campanha</t>
  </si>
  <si>
    <t xml:space="preserve">Tribunal de Contas do Maranhão - MA
P. E n. 5/2022
</t>
  </si>
  <si>
    <t>O&amp;M Multivisao Comercial Eireli
CNPJ: 10.638.290/0001-57</t>
  </si>
  <si>
    <t>Prefeitura Municipal Cajazeiras do Piauí -  PI
P. E N.  08/2022</t>
  </si>
  <si>
    <t>Nova Alagoinhas Suprimentos para Escritório Eireli
CNPJ: 24.564.257/0001-34</t>
  </si>
  <si>
    <t>Relatório (mediana)
 ferramenta de pesquisa</t>
  </si>
  <si>
    <t>Sítio Eletrônico
https://www.americanas.com.br/produto/3480209494?pfm_carac=cola-branca-liquida-90g
ACESSO EM 25/08/2022</t>
  </si>
  <si>
    <t>americanas s.a. / CNPJ: 00.776.574/0006-60 /</t>
  </si>
  <si>
    <t>Sítio Eletrônico
https://www.mundobic.com.br/prod/cola-branca-liquida-bic-90g-a-base-de-agua-lavavel-nao-toxica-e-segura-para-criancas-930810/214806
ACESSO EM 25/08/2022</t>
  </si>
  <si>
    <t>Kalunga SA - CNPJ: 43.283.811/0001-50</t>
  </si>
  <si>
    <t>Jackson Crisner da Silva / IPE Papelaria
CNPJ: 31.854.606/0001-18</t>
  </si>
  <si>
    <t>E.M.B Comercio e Distribuição de Materiais Escolares Ltda
CNPJ: 39.700.820/0001-21</t>
  </si>
  <si>
    <t>Proposta Comercial
(15/08/2022)</t>
  </si>
  <si>
    <t>Sítio Eletrônico
https://www.magazineluiza.com.br/cola-liquida-90g-branca-bic
ACESSO EM 04/05/2022</t>
  </si>
  <si>
    <t>Magazine Luiza</t>
  </si>
  <si>
    <t>Sítio Eletrônico
https://www.papelariaamaral.com.br/fita-adelbras-adesiva-hot-melt-transparente-48mmx50m.html
ACESSO EM 02/05/2022</t>
  </si>
  <si>
    <t xml:space="preserve">Amaral Papelaria
E &amp; T Papelaria LTDA | 10.567.455/0001-47 
</t>
  </si>
  <si>
    <t>Sítio Eletrônico
https://www.americanas.com.br/produto
ACESSO EM 02/05/202</t>
  </si>
  <si>
    <t>Conselho Regional de Medicina do Distrito Federal
Ata P.E 04-2021</t>
  </si>
  <si>
    <t>JRP Representações Comércio e Serviços Eireli
CNPJ: 63.772.925/0001-70</t>
  </si>
  <si>
    <t>Tribunal Regional Eleitoral de Rondônia - RO 
Ata P.E 26/2022</t>
  </si>
  <si>
    <t>Start Shop Global Ltda
CNPJ: 37.912.727/0001-55</t>
  </si>
  <si>
    <r>
      <t xml:space="preserve">CORDÃO RABO DE RATO
</t>
    </r>
    <r>
      <rPr>
        <sz val="10"/>
        <color theme="1"/>
        <rFont val="Calibri"/>
        <family val="2"/>
        <scheme val="minor"/>
      </rPr>
      <t>- Para crachá;
- Material: Polipropileno;
- Cor: Preto;
- Rolo com 100 metros de comprimento;
- Espessura: 3mm;
- Sem alma ou fio náutico.</t>
    </r>
  </si>
  <si>
    <t>Sítio Especializado
https://www.kalunga.com.br/prod/bloco-adesivo-38mm-x-51mm-amarelo-4-unidades-de-100-folhas-cada-total-400-folhas-stick-note-pt-4-un/041527
ACESSO EM 25/08/2022</t>
  </si>
  <si>
    <t xml:space="preserve">Kalunga SA - CNPJ: 43.283.811/0001-50 </t>
  </si>
  <si>
    <t>Sítio Especializado
https://www.amazon.com.br/Adesivas-Post-Reposicionavel-Amarelo-Pacote/dp/B07791L9DG/ref=d_pd_sbs_sccl_3_
ACESSO EM 25/08/2022</t>
  </si>
  <si>
    <t>unidade de medida 1 pcto (precisou multiplicar por 4)</t>
  </si>
  <si>
    <t>Davile Confeccao e Materiais para Escritório Ltda
CNPJ: 31.983.081/0001-10</t>
  </si>
  <si>
    <t>Prefeitura de Belterra - PA
Ata P.E 28/2022</t>
  </si>
  <si>
    <t>N.S Distribuidora de Generos Alimenticios Ltda
CNPJ: 35.946.280/0001-00</t>
  </si>
  <si>
    <t>U F Aguiar Eireli
CNPJ: 63.833.883/0001-30</t>
  </si>
  <si>
    <t>Sítio eletrônico
https://www.kalunga.com.br/prod/papel-sulfite-office-a4-75g-210mmx297mm-hp-pt-500-fl/475808
Acesso em 25/08/2022</t>
  </si>
  <si>
    <t>U.F Aguiar ME
CNPJ: 63.883.883/0001-30</t>
  </si>
  <si>
    <t>Sítio eletrônico
https://www.magazineluiza.com.br/tesoura-office-brw-uso-geral-21-cm-com-1-unidade/p/hd02265jd1/ud/teco/
ACESSO EM 25/08/2022</t>
  </si>
  <si>
    <t>Magazine Luiza S/A - CNPJ: 47.960.950/1088-36</t>
  </si>
  <si>
    <t>Jackson Crisner da Silva  (IPE Papelaria)
CNPJ: 31.854.606/0001-18</t>
  </si>
  <si>
    <t>Secretaria de Saúde Conjunto Hospitalar Mandaqui-CHM
Pregão Eletrônico 090172000012022OC00376
19/08/2022</t>
  </si>
  <si>
    <t>Tribunal Superior Eleitoral - RO
Pregão Eletrônico n. 26/2022
(18/8/2022)</t>
  </si>
  <si>
    <t>Prisma Papelaria Eireli
CNPJ 28.076.288/0001-05</t>
  </si>
  <si>
    <t>Unidade Estadual do IBGE - Dispensa n. 55/2022
(12/8/2022)</t>
  </si>
  <si>
    <t>Marcos A Arruda de Figueiredo
CNPJ 09.491.099/0001-46</t>
  </si>
  <si>
    <t>Comando do Exército
5ª Região Militar Artilharia Divisionária - Dispensa n. 55/2022
(12/8/2022)</t>
  </si>
  <si>
    <t>Edineia da Silva Eduardo - Banco do Cartucho Eireli
CNPJ 36.756.134/0001-84</t>
  </si>
  <si>
    <t>Instituto de Pesos e Medidas de Rondônia - IPEM/RO
Pregão Eletrônica n. 16/2022</t>
  </si>
  <si>
    <t>Valor Suprimentos - Comércio de Material de Consumo Ltda
CNPJ: 70.066.840/0001-32</t>
  </si>
  <si>
    <t>Comando do Exército
Comando da 11ª Região Militar Base Administrativa da Brigada de Operações - GO
 Pregão Eletrônico n. 7/2022
(23/8/2022)</t>
  </si>
  <si>
    <t>Y S Dias Comercio de Papelaria
CNPJ: 36.310.930/0001-99</t>
  </si>
  <si>
    <t>Prefeitura Municipal de Goiânia
Câmara -GO
Pregão Eletrônico n. 16/2022
(22/07/2022)</t>
  </si>
  <si>
    <t>GoiasPaper Distribuidora Ltda
CNPJ: 13.712.784/0001-22</t>
  </si>
  <si>
    <t>Exclusiva Comércio e Serviços, Papelaria e Informática Ltda
CNPJ: 41.597.891/0001-92</t>
  </si>
  <si>
    <t>Instituto de Pesos e Medidas  - RO
Ata P.E 16/2022 (9/8/2022)</t>
  </si>
  <si>
    <t>Conselho Regional de Enfermagem - RS
Ata P.E 17/2022 (9/8/2022)</t>
  </si>
  <si>
    <t>Comando do Exército
6º Batalhão de Comunicações Divisório  - RS
Ata P.E 02/2022 (9/8/2022)</t>
  </si>
  <si>
    <t>Daros-Suprimentos para Informática e Escritório Ltda
CNPJ: 03.696.188/0001-42</t>
  </si>
  <si>
    <t>Fundação Faculdade de Ciências Médicas de Porto Alegre
Pregão Eletrônico n. 9/2022 (4/8/2022)</t>
  </si>
  <si>
    <t>Boing Comercio Atacadista de Materiais Ltda
CNPJ: 21.189.579/0001-52</t>
  </si>
  <si>
    <t>Procuradoria Regional do Trabalho 1ª Região - RJ
Pregão Eletrônico n. 9/2022 (4/8/2022)</t>
  </si>
  <si>
    <t>Alnetto Comercial e Serviços Eireli
CNPJ: 27.039.914/0001-12</t>
  </si>
  <si>
    <r>
      <t>d</t>
    </r>
    <r>
      <rPr>
        <sz val="9"/>
        <color theme="1"/>
        <rFont val="Calibri"/>
        <family val="2"/>
        <scheme val="minor"/>
      </rPr>
      <t>a média
Por ser preço público foi considerado na estimativa</t>
    </r>
  </si>
  <si>
    <r>
      <t xml:space="preserve">Há flagrante diferença de preços entre ME/EPP e ampla concorrência? </t>
    </r>
    <r>
      <rPr>
        <sz val="11"/>
        <color theme="4" tint="-0.249977111117893"/>
        <rFont val="Calibri"/>
        <family val="2"/>
        <scheme val="minor"/>
      </rPr>
      <t>No caso concreto os preços de ME/EPP são menores</t>
    </r>
  </si>
  <si>
    <t xml:space="preserve">Observações: 
1. No item 28 os preços das contratações públicas foram multiplicados por 4, visto a na contratações similares a unidade de medida se refere a um bloco de 100fls. e no termo de referência do CJF a um pacote com 4 blocos de 100fls cada;
</t>
  </si>
  <si>
    <t>*a pesquisa inicial no ETP foi com base em preços de internet, logo foi incluído preços públicos.</t>
  </si>
  <si>
    <t>Belclips Distribuidora Ltda
CNPJ: 25.897.729/0001-33</t>
  </si>
  <si>
    <t>SAE-CNEM-DLAB-Labor de Poços de Caldas - MG
Dispensa de Licitação 28/07/2022</t>
  </si>
  <si>
    <t>Instituto Chico Mendes de Conserv da Biodiver
Nota Fiscal 25/06/2022</t>
  </si>
  <si>
    <t>Inst Fed Farroupilha Campus Santo Angelo Inst Fed Farroupilha / Campus Santo Angelo
Ata P.E 26/2022</t>
  </si>
  <si>
    <t>Instituto Federal de Educacao, Ciência e Tecnologia - PA
Nota Fiscal 25/06/2022</t>
  </si>
  <si>
    <t>BRS Suprimentos Corporativos S/A
CNPJ: 03.746.938/0001-43</t>
  </si>
  <si>
    <t>Sítio eletronico
https://www.suprinform.com.br/borracha-com-cibta-plastica-eraser-branca-bic
ACESSO EM 05/05/2022</t>
  </si>
  <si>
    <t>Sítio eletronico
https://www.livrariaalbuquerque.com.br
ACESSO EM 05/05/2022</t>
  </si>
  <si>
    <t>Livraria Albuquerque</t>
  </si>
  <si>
    <t>acima da média</t>
  </si>
  <si>
    <t>Insituto de Pesquisas Científicas e Tec. - AP
P. E. n. 5/2022</t>
  </si>
  <si>
    <t>Insituto de Pesquisas Científicas e Tec. - AP
P. E. n. 3/2022</t>
  </si>
  <si>
    <t>D.S. M. ABREU
CNPJ: 27.420.096/0001-01</t>
  </si>
  <si>
    <t>Ministério do Exército
Comandon Militar do Sul
P. E. 09/2021</t>
  </si>
  <si>
    <t xml:space="preserve">Exclusiva Comércio e Serviços, Papelaria e Infomrática Ltda
CNPJ: 41.597.891/0001-92	</t>
  </si>
  <si>
    <t>Lexbemark Comércio Ltda
CNPJ: : 03.38413/0002-79</t>
  </si>
  <si>
    <t>Prefeitura Municipal de Angra dos Reis - RJ
Ata P.E 107/2021</t>
  </si>
  <si>
    <t>Prefeitura Municipal de Formosa do Oeste
P. E. n. 5/2021</t>
  </si>
  <si>
    <t>Marcelo de Araujo Vianna Soares
CNPJ: 13.383.196/0001-92</t>
  </si>
  <si>
    <t>Comercial H10 Eireli
CNPJ: 29.106.685/0001-37</t>
  </si>
  <si>
    <t xml:space="preserve">Unidade Estadual IBGE - AM
Dispensa de Licitação n. 16/2022 </t>
  </si>
  <si>
    <t>Estruttos Ltda
CNPJ: 17.839.055/0001-92</t>
  </si>
  <si>
    <t xml:space="preserve">Prefeitura Municipal do Rio de Janeiro
Dispensa de Licitação n. 05/2022 </t>
  </si>
  <si>
    <t>Jorge Donizeti Esteves
CNPJ: 27.342.897/0001-98</t>
  </si>
  <si>
    <t>Universidade Federal de São Paulo - SP
P. E. n. 122/2022</t>
  </si>
  <si>
    <t>L F V Anastacio Informática
CNPJ: 09.423.106/0001-72</t>
  </si>
  <si>
    <t>Ministério Público - RO
P. E. n. 25/2022</t>
  </si>
  <si>
    <t>Repremig Representação e Comercio de Minas Gerais Ltda
CNPJ 65.149.197/0002-51</t>
  </si>
  <si>
    <t>GRUPO 5</t>
  </si>
  <si>
    <t xml:space="preserve">Prefeitura Municipal do Rio de Janeiro - RJ
Dispensa de Licitação n. 05/2022 </t>
  </si>
  <si>
    <t>Sítio especializado
https://www.creativecopias.com.br/checkout/cart/
ACESSADO EM 08/09/2022</t>
  </si>
  <si>
    <t>Creative Cópias LTDA
CNPJ: 03.769.753/0001-54</t>
  </si>
  <si>
    <t>Sítio especializado
https://produto.mercadolivre.com.br/MLB-1962527334-cartucho-hp-72-amarelo-c9373a-130-ml-_JM#position=1&amp;search_layout=grid&amp;type=item&amp;tracking_id=81f2a7bf-00c3-4fe7-8553-a313e083f118
ACESSADO EM 08/09/2022</t>
  </si>
  <si>
    <t xml:space="preserve">Ebazar.com.br LTDA
CNPJ n.º 03.007.331/0001-41 </t>
  </si>
  <si>
    <t>Pref Municipal de Monte Alegre
Pregão Eletrônico n. 21/2022</t>
  </si>
  <si>
    <t>Núclio de Aoio Administrativo - PE
Dispensa de Licitação n. 65/2022</t>
  </si>
  <si>
    <t xml:space="preserve"> Livraria e Papelaria Atual Ltda
CNPJ: 03.370.994/0001-26</t>
  </si>
  <si>
    <t>Comprasnet /outros</t>
  </si>
  <si>
    <t>Secretaria da Segurança Pública
Depto Operações Policiais Estratégicas - DOP
P. E (12/04/2022)</t>
  </si>
  <si>
    <t>Objeto: aquisição de materiais de expediente destinado a atender aos pleitos das diversas unidades do Conselho da Justiça Federal, do Batalhão de Polícia do Exército de Brasília e do 2° Centro de Geoinformação</t>
  </si>
  <si>
    <t>Consorcio de Transportes da Região Metropolitana - RE
Dispensa de Licitação n. 92/2022</t>
  </si>
  <si>
    <t xml:space="preserve">Paper Box Distrituidora e Serviços Ltda EPP
CNPJ: </t>
  </si>
  <si>
    <t>Sec da Justiça e Cidadania Fundação Casa DRL Litoral
Pregão Eletrônico</t>
  </si>
  <si>
    <t>Karisma Limeira Magazine Ltda
CNPJ: 96.507.728/0001-83</t>
  </si>
  <si>
    <t>Secretarisa Especial de Estado de Defesa Social
Pregão Eletrônico 6/2022</t>
  </si>
  <si>
    <t>Bom Bons e Descartáveis Eireli
CNPJ: 01.580.769/0001-99</t>
  </si>
  <si>
    <t>Universidade Federal Espírito Santo - ES
Pregão Eletrônico n. 12/2021</t>
  </si>
  <si>
    <t>Totalpack Comercio de Embalagens Eireli
CNPJ: 33.787.082/0001-15</t>
  </si>
  <si>
    <t>Prefeitura Municipal de Governador Valadares -  MG
P. E N.  78/2022</t>
  </si>
  <si>
    <t>Limpando Higiene e Limpeza Eireli
CNPJ: 30.804.420/0001-91</t>
  </si>
  <si>
    <t>Instituto Federal de Educação Ciência e Tecnologia da Paraíba / Campos Souza - PB
Ata P.E 05/2022</t>
  </si>
  <si>
    <t xml:space="preserve">Prisma Papelaria Eireli
CNPJ: 28.076.288/0001-05	</t>
  </si>
  <si>
    <t>Paper Box Distrituidora e Serviços Ltda EPP
CNPJ: 03.330.023/0001-52</t>
  </si>
  <si>
    <r>
      <t xml:space="preserve">Sítio eletronico
</t>
    </r>
    <r>
      <rPr>
        <sz val="9"/>
        <rFont val="Calibri"/>
        <family val="2"/>
        <scheme val="minor"/>
      </rPr>
      <t>https://www.magazineluiza.com.br/fita-durex-polisil-12x30-adelbraas/p/eh1ad39kj8/</t>
    </r>
    <r>
      <rPr>
        <sz val="10"/>
        <rFont val="Calibri"/>
        <family val="2"/>
        <scheme val="minor"/>
      </rPr>
      <t xml:space="preserve">
Acesso em 05/05/2022</t>
    </r>
  </si>
  <si>
    <t>Extra</t>
  </si>
  <si>
    <r>
      <t xml:space="preserve">Sítio eletronico
</t>
    </r>
    <r>
      <rPr>
        <sz val="9"/>
        <rFont val="Calibri"/>
        <family val="2"/>
        <scheme val="minor"/>
      </rPr>
      <t>https://www.extra.com.br/fita-adesiva-durex-transparente-12mmx40-3m</t>
    </r>
    <r>
      <rPr>
        <sz val="10"/>
        <rFont val="Calibri"/>
        <family val="2"/>
        <scheme val="minor"/>
      </rPr>
      <t xml:space="preserve">
Acesso em 02/05/2022</t>
    </r>
  </si>
  <si>
    <t>Secretaria de Saúde
Pregão integrado (compra direta)
1787-2022</t>
  </si>
  <si>
    <t xml:space="preserve">Papelaria Espírito Santo
CNPJ
</t>
  </si>
  <si>
    <t>Secretaria de Administração Penitaria Fundacao Prof. Dr. Manoeal Pedro Pimental
381101380152022 (23/08/2022</t>
  </si>
  <si>
    <t>Distribuidora de Suprimentos Etica Ltda
CNPJ: 04.708.626/0001-08</t>
  </si>
  <si>
    <t>Secretaria de Saude Hosp Geral J. Teixeira da Costa / Guaianases
Pregão Eletrônico 16/08/2022</t>
  </si>
  <si>
    <t>Karisma Limeira Magazine Ltda
CNPJ: 95.507.728/0001-83</t>
  </si>
  <si>
    <t>Camara Municipal de São Paulo
Entidades Conveniadas PMSP
Pregão Eletrônico 10/08/2022</t>
  </si>
  <si>
    <t>Instituto Nacional de Cardiologia
Dispensa de Licitação n. 59/2022</t>
  </si>
  <si>
    <t>Salenas Materiais para Escritório Eireli
CNPJ: 07.065.674/0001-13</t>
  </si>
  <si>
    <t>Governo do Estado RN / Secretaria de Estado de Administração e dos RH do Hospital Dr. José Pedro Bezerra
Pregão Eletrônico 14/2022</t>
  </si>
  <si>
    <t>Elias Avelino dos Santos
CNPJ: 24.208.480/0001-49</t>
  </si>
  <si>
    <t>Conselho Regional de Nutricionista - 6ª Região
Pregão Eletrônico n. 04-2022</t>
  </si>
  <si>
    <t>Viva Distribuidora de Produtos Eireli
CNPJ: 20.008.831/0001-17</t>
  </si>
  <si>
    <t>Ativa Mall Comercio de Utilidades Ltda
CNPJ: 11.663.568/0001-09</t>
  </si>
  <si>
    <t>Prefeitura Municipal de São Luiz - RR
Pregão Eletrônico 21/2022</t>
  </si>
  <si>
    <t>E. S. de Souza
CNPJ: 44.724.846/0001-40</t>
  </si>
  <si>
    <t>Universidade Federal do Espírito Santo
Pregão Eletrônico n. 12/2022</t>
  </si>
  <si>
    <t>Universidade Federal de Sergipe
Pregão Eletrônico n. 43/2022</t>
  </si>
  <si>
    <t>ECO Pac Comercio de Embalagens Eireli
CNPJ: 32.534.578/0001-14</t>
  </si>
  <si>
    <t>Prefeitura Municipal de São Paulo - SP
Pregão Eletrônico 33/2022</t>
  </si>
  <si>
    <t>Comercial Atitude Eireli
CNPJ: 19.705.786/0001-70</t>
  </si>
  <si>
    <t>Liliane Alessandra Gomes De Souza Alves 08966490670
CNPJ: 	44.466.275/0001-90</t>
  </si>
  <si>
    <t>Secretaria Municipal de Adminsitração - Governo do Estado - MG
Pregão Eletrônico n. 406/2022</t>
  </si>
  <si>
    <t>Instituto Federal de Educação, Ciencia e Tecnologia da Bahia / Campus Barreiras
Pregão Eletrônico n. 7/2022</t>
  </si>
  <si>
    <t>Marques &amp; Umar Ltda
CNPJ: 	21.990.802/0002-47</t>
  </si>
  <si>
    <t>Fundação Nacional de Saúde Coordenação Regional do Paraná (MS) - PR
Pregão Eletrônico n. 2/2022</t>
  </si>
  <si>
    <t>Empresa Brasileira de Serviços Hospitalares (MS) - RS
Pregão Eletrônico n. 36/2022</t>
  </si>
  <si>
    <t>Conselho Federal De Economia
Pregão Eletrônico n. 4/2022</t>
  </si>
  <si>
    <t>Prefeitura Municipal de Castanhal - PA
Pregão Eletrônico n. 43/2022</t>
  </si>
  <si>
    <t>Brasil Norte Comercio De Materiais Em Geral E Servicos Ltda
CNPJ: 24.011.497/0001-01</t>
  </si>
  <si>
    <t>Comando do Exército Comando Militar do Sul 5ª Divisão de Exército Artilharia Divisionária/3 13ºGrupo de Artilharia de Campanha
Pregão Eletrônico n. 8/2021 (18/5/2022)</t>
  </si>
  <si>
    <t>E.M.B. Comercio E Distribuicao De Materiais Escolares Ltda
CNPJ: 39.700.820/0001-21</t>
  </si>
  <si>
    <t>Companhia de Saneamento do Pará - PA
Pregão Eletrônico n. 08/2022</t>
  </si>
  <si>
    <t>Estacao Comercio De Material De Expediente Eireli
CNPJ: 	19.321.144/0001-78</t>
  </si>
  <si>
    <t>Ministério da Defesa
Comando do Exército Comando Militar do Sul 1º Batalhão Ferroviário - PR
Pregão Eletrônico n. 5/2022</t>
  </si>
  <si>
    <t>Daiane Dos Santos Martins 13320576674
CNPJ: 45.930.390/0001-37</t>
  </si>
  <si>
    <t>Prefeitura Municipal De Mercedes
Pregão Eletrônico n. 42/2022</t>
  </si>
  <si>
    <t>DAGEAL - Comercio De Material De Escritorio Ltda
CNPJ: 07.245.458/0001-50</t>
  </si>
  <si>
    <t>Ministério da Defesa
Comando do Exército Comando Militar do Sul 5ª Região Militar 5ºBatalhão de Engenharia de Combate
Pregão Eletrônico n.  7/2021 (7/3/22)</t>
  </si>
  <si>
    <t>Maxima Atacadista Eireli
CNPJ: 26.716.048/0001-94</t>
  </si>
  <si>
    <t>Sítio eletronico
https://www.magazineluiza.com.br/grafites-0-5mm-pentel-azul-1-tubo-com12unidades
Acesso em 03/06/2022</t>
  </si>
  <si>
    <t>James Dias Gomes Filho Ltda
CNPJ: 39.327.806/0001-24</t>
  </si>
  <si>
    <t>EEM Professor Gabriel Epifânio dos Reis - CE
Pregão eletrônico n. 2022/12870-16</t>
  </si>
  <si>
    <t>Cleide Gomes Martins (Isa Servicos e Variedades)
CNPJ: 	04.772.058/0001-04</t>
  </si>
  <si>
    <t>EEM Professora Marieta Santos - CE
Pregão eletrônico n. 2022/14959-4</t>
  </si>
  <si>
    <t xml:space="preserve">Pedacim Du Campo Comércio e Serviços Ltda 
CNPJ: </t>
  </si>
  <si>
    <t>CEJAS de Pacaju - CE
Pregão eletrônico n. 2022/09840-25</t>
  </si>
  <si>
    <t>EEM Adrião do Vale Nuvens - CE
Pregão eletrônico n. 2022/11961-22</t>
  </si>
  <si>
    <t>EEM Governador Adauto Bezerra  - CE
Pregão eletrônico n. 2022/08744-9</t>
  </si>
  <si>
    <t xml:space="preserve">Maria De Fátima Marques De Sousa 
CNPJ: </t>
  </si>
  <si>
    <t>MAKROPEL COMERCIAL LTDA - CNPJ: 02.760.681/0001-11</t>
  </si>
  <si>
    <t>Sítio eletronico
https://www.portinfo.com.br/clipes--2-0-00-aco-niquelado-caixa-com-100-unidades
Acesso em 02/05/2022</t>
  </si>
  <si>
    <t>PORT Distribuidora de Informática e Papelaria Ltda
CNPJ: 08.228.010/0002-71</t>
  </si>
  <si>
    <t>Sítio eletronico
https://www.pontofrio.com.br/grafite-05m9m-b-tubo-com-12-minas-pentel
Acesso em 02/05/2022</t>
  </si>
  <si>
    <t>Sítio eletronico
https://www.magazineluiza.com.br/grafitesuper-0-7-2b-pentel/p
Acesso em 02/05/2022</t>
  </si>
  <si>
    <t>Escola Indígena Manoel Francisco Dos Santos - CE
Pregão eletrônico n. 2022/06114-20</t>
  </si>
  <si>
    <t>M &amp; M Andrade Comercio Varejista De Produtos De Papelaria Eireli 
CNPJ: 15.368.126/0001-90</t>
  </si>
  <si>
    <r>
      <t xml:space="preserve">Sítio eletronico
</t>
    </r>
    <r>
      <rPr>
        <sz val="9"/>
        <rFont val="Calibri"/>
        <family val="2"/>
        <scheme val="minor"/>
      </rPr>
      <t>https://www.loja.encopelpapelaria.com.br/produtos/clipes-galbanizado-30-caixa-com-50-un</t>
    </r>
    <r>
      <rPr>
        <sz val="10"/>
        <rFont val="Calibri"/>
        <family val="2"/>
        <scheme val="minor"/>
      </rPr>
      <t xml:space="preserve">
Acesso em 02/05/2022</t>
    </r>
  </si>
  <si>
    <r>
      <t xml:space="preserve">Sítio eletronico
</t>
    </r>
    <r>
      <rPr>
        <sz val="9"/>
        <rFont val="Calibri"/>
        <family val="2"/>
        <scheme val="minor"/>
      </rPr>
      <t>https://www.extra.com.br/fita-adesiva-durex-transparente-12mmx40m</t>
    </r>
    <r>
      <rPr>
        <sz val="10"/>
        <rFont val="Calibri"/>
        <family val="2"/>
        <scheme val="minor"/>
      </rPr>
      <t xml:space="preserve">
Acesso em 02/05/2022</t>
    </r>
  </si>
  <si>
    <r>
      <rPr>
        <b/>
        <sz val="10"/>
        <color theme="1"/>
        <rFont val="Calibri"/>
        <family val="2"/>
        <scheme val="minor"/>
      </rPr>
      <t xml:space="preserve">PILHA TIPO C </t>
    </r>
    <r>
      <rPr>
        <sz val="10"/>
        <color theme="1"/>
        <rFont val="Calibri"/>
        <family val="2"/>
        <scheme val="minor"/>
      </rPr>
      <t>(MÉDIA)
- Alcalina;
- 1,5V;
- Cartela com 2 (duas) unidades;
- Composição: 0% de Cádmio e Mercúrio;
- Marcas de Re</t>
    </r>
  </si>
  <si>
    <t xml:space="preserve">americanas s.a. / CNPJ: 00.776.574/0006-60 / </t>
  </si>
  <si>
    <t>Sítio eletronico
https://www.amazon.com.br/Pilha-Alcalina-DURACELL-unidades-Duracell/d
Acesso em 13/09/2022</t>
  </si>
  <si>
    <t>Secretaria da Saude Hosp. Nestor Goulart Reis - SP
Pregão Eletrônico n. 40/2022</t>
  </si>
  <si>
    <t xml:space="preserve">Bruna Bezerra da Silva Eletronica
CNPJ: 	17.055.604/0001-38 </t>
  </si>
  <si>
    <t>1 UNIDADE</t>
  </si>
  <si>
    <t xml:space="preserve">Regina Celia Cunha De Sousa 00641565755
CNPJ: 36.336.388/0001-43 </t>
  </si>
  <si>
    <t xml:space="preserve"> Tribunal de Justiça de Pernambuco- RE
PEI - 84050-202951</t>
  </si>
  <si>
    <t>Secretaria da Saude Fund. Pro-Sangue Hemocentro -SP
Pregão Eletrônico n. 87/2022</t>
  </si>
  <si>
    <t>Sítio eletronico
https://www.extra.com.br/cameras-filmadoras-drones/Acessorios/PilhaseBaterias/bateria-recarregavel-9v-250mah-c-1-unidade-82215-elgin-1545706514.html?IdSku=1545706514
Acesso em 13/09/2022</t>
  </si>
  <si>
    <t>Via S.A. | CNPJ 33.041.260/0652-90</t>
  </si>
  <si>
    <t>C L Tecnologia Comercio &amp; Servicos Ltda
CNPJ: 05.835.609/0001-02</t>
  </si>
  <si>
    <t>Secretaria Especial De Saúde Indígena /Distrito Sanitário Especial Indígena - MA
Pregão Eletrônico n. 15/2022</t>
  </si>
  <si>
    <t>Sítio eletronico
https://www.amazon.com.br/Pilha-Alcalina-DURACELL-unidades-Duracell/
Acesso em 13/09/2022</t>
  </si>
  <si>
    <t>Tribunal Regional Federal da 2ª Região - RJ
Pregão Eletrônico n. 75/2022</t>
  </si>
  <si>
    <t>Tribunal Regional Eleitoral - RJ
Pregão Eletrônico n. 55/2022</t>
  </si>
  <si>
    <t>Preventiva Informatica Comercial LTDA
CNPJ: 	07.688.388/0001-04</t>
  </si>
  <si>
    <t xml:space="preserve">N4 Tecnologia Soluções em Informática Ltda
CNPJ:  </t>
  </si>
  <si>
    <t>Sítio eletronico
https://www.americanas.com.br/produto/4913885464?pfm_carac=pilha-media-c&amp;pfm_index=2&amp;pfm_page=search&amp;pfm_pos=grid&amp;pfm_type=search_page&amp;offerId=6255c92c87c00289c2ffc4e8
Acesso em 13/09/2022</t>
  </si>
  <si>
    <t>Departamento de Polícia Federal Superintendência Regional em Roraima - RR
Pregão Eletrônico n. 08/2022</t>
  </si>
  <si>
    <t>Comercial TXV Comercio e Servico - Eireli
CNPJ: 22.906.038/0001-60</t>
  </si>
  <si>
    <t>Universidade Federal da Integração Latino-Americana - PR
Pregão Eletrônico N. 26/2021</t>
  </si>
  <si>
    <t>Alexandre Freire
CNPJ: 39.334.587/0001-00</t>
  </si>
  <si>
    <t>Sítio eletronico
https://produto.mercadolivre.com.br/MLB-1188703197-2-pilhas-duracell-alcalina-c-media-
Acesso em 13/09/2022</t>
  </si>
  <si>
    <t>Mercado Livre</t>
  </si>
  <si>
    <t>Sítio eletronico
https://www.kalunga.com.br/prod/apagador-quadro-branco-base-plastico-150n-pilot-cx-1-un/017330
ACESSO EM 13/09/2022</t>
  </si>
  <si>
    <t>Sec. da Justica e Cidadania Fundacao Casa. - DRL Litoral - SP
Pregão Eletrônico n. 68/2022</t>
  </si>
  <si>
    <t xml:space="preserve"> Tribunal Regional Eleitoral - MG
Pregão Eletrônico n. 68/2022</t>
  </si>
  <si>
    <t>Distribuidora De Suprimentos Etica Ltda 
CNPJ 04.708.626/0001-08</t>
  </si>
  <si>
    <t>Marques &amp; Umar Ltda
CNPJ: 21.990.802/0002-47</t>
  </si>
  <si>
    <t>Superintendência Estadual de Compras e Licitações - RO
Pregão Eletrônico n. 335/2022</t>
  </si>
  <si>
    <t>Risse &amp; Trindade Ltda
CNPJ: 08.267.557/0001-03</t>
  </si>
  <si>
    <t>Daros-Suprimentos Para Informatica E Escritorio Ltda
CNPJ: 03.696.188/0001-42</t>
  </si>
  <si>
    <t>Comando do Exército Comando Militar do Sul 3ª Região Militar Coudelaria de Rincão - RS
Pregão Eletrônico n. 5/2022</t>
  </si>
  <si>
    <t>Consórcio Intermunicipal De Saúde Costa Oeste - SC
Pregão Eletrônico n. 14/2022</t>
  </si>
  <si>
    <t>Instituto Federal de Educação, Ciencia e Tecnologia da Bahia/Campus Barreiras - BA
Pregão Eletrônico n. 7/2022</t>
  </si>
  <si>
    <t>Thomas Pirro Alves Sales 03111010112 - Cyber Pro
CNPJ: 40.950.887/0001-01</t>
  </si>
  <si>
    <r>
      <t>d</t>
    </r>
    <r>
      <rPr>
        <sz val="9"/>
        <color theme="1"/>
        <rFont val="Calibri"/>
        <family val="2"/>
        <scheme val="minor"/>
      </rPr>
      <t xml:space="preserve">a média
</t>
    </r>
  </si>
  <si>
    <t xml:space="preserve">N.J.L Neubarth &amp; Cia Ltda
CNPJ: 03.145.819/0001-
35 </t>
  </si>
  <si>
    <t>Câmara Legislativa do Distrito Federal
Ata P.E n. 09/2022</t>
  </si>
  <si>
    <t>EMMENSA VAREJISTA DE SUPRIMENTOS E ALIMENTOS LTDA
CNPJ: 13.573.964/0001-70</t>
  </si>
  <si>
    <t>Sítio eletronico
https://produto.mercadolivre.com.br/MLB-1677055377-bateria-a23-alcalina-12-v-battery-alkaline-cartela-5-pilhas-_JM#position=24&amp;search_layout=grid&amp;type=item&amp;tracking_id=b05c9eb5-7ed2-4f25-b8a8-dddf4624ec54
Acesso em 14/09/2022</t>
  </si>
  <si>
    <t>Macrocenter Multi Comercio E Serviços Ltda
CNPJ: 24.315.151/0001-05</t>
  </si>
  <si>
    <t>Prefeitura Municipal de Imbé - RS
Ata P.E n. 50/2022</t>
  </si>
  <si>
    <t>Danielle Matias Freitas 10349376697
CNPJ: 30.735.649/0001-11</t>
  </si>
  <si>
    <t>Sítio eletronico
https://www.amazon.com.br/Bateria-L%C3%ADtio-Met%C3%A1lico-2025-Duracell/
Acesso em 14/09/2022</t>
  </si>
  <si>
    <t>Sítio eletronico
https://www.magazineluiza.com.br/bateria-cr-2032-elgin-pct-c-5-un/p/acje67h6da/cj/batr/
Acesso em 14/09/2022</t>
  </si>
  <si>
    <t>Gildenei Pereira Lima Eireli
CNPJ: 42.330.695/0001-10</t>
  </si>
  <si>
    <t>Acima da média</t>
  </si>
  <si>
    <t xml:space="preserve">da média dos preços obtidos
</t>
  </si>
  <si>
    <t>Multcom Comercio Varejista De Suprimentos Ltda
CNPJ: 17.855.864/0001-98</t>
  </si>
  <si>
    <t>Prefeitura Municipal De Paulo Afonso - BA
Dispensa de licitação n. 103/2022</t>
  </si>
  <si>
    <t>Consórcio Intermunicipal De Saúde Costa Oeste - PR
Pregão Eletrônico n. 14/2022</t>
  </si>
  <si>
    <t>Centro Brasileiro De Pesquisas Fisicas - RJ
Dispensa de licitação n. 288/2022</t>
  </si>
  <si>
    <t xml:space="preserve"> Secretaria de Estado de Fazenda Diretoria de Suprimentos e Licitações - DF
Pregão Eletrônico n. 35/2022</t>
  </si>
  <si>
    <t>Aaz Comercial Eireli
CNPJ: 15.449.518/0001-84</t>
  </si>
  <si>
    <t>Instituto Federal de Educação, Ciência e Tecnologia de Brasília - DF
Pregão Eletrônico n. 26/2022</t>
  </si>
  <si>
    <t>Polex Comercial Ltda
CNPJ: 26.373.592/0001-80</t>
  </si>
  <si>
    <t xml:space="preserve"> Senado Federal - DF
Ata P. E n.  44/2022</t>
  </si>
  <si>
    <t>Fox Store Ltda
CNPJ: 42.240.841/0001-16</t>
  </si>
  <si>
    <t>Comando da Aeronáutica Gabinete do Comandante - DF
Pregão Eletrônico n. 36/2021</t>
  </si>
  <si>
    <t>MARIA CONSUELO SOARES DA MATA
CNPJ: 28.697.784/0001-78</t>
  </si>
  <si>
    <t>Presidência da República
Casa Militar - DF
Pregão Eletrônico n. 13/2021</t>
  </si>
  <si>
    <t>Emmensa Varejista De Suprimentos E Alimentos Eireli
CNPJ: 13.573.964/0001-70</t>
  </si>
  <si>
    <t>Instituto Federal de Educação, Ciencia e Tecnologia da Bahia/Campus Barreiras - BA
Pregão Eletrônico n. 73/2022</t>
  </si>
  <si>
    <t>Empresa Brasileira de Serviços Hospitalares/Sede Hospital Universitário de Santa Maria - RS
Pregão Eletrônico n. 91/2022</t>
  </si>
  <si>
    <t>Sítio eletronico
https://www.americanas.com.br/produto/3045635093?pfm_carac=pilha-alcalina-duracell-aa-c-2&amp;pfm_index=1
Acesso em 13/09/2022</t>
  </si>
  <si>
    <t>Sítio eletronico
https://www.magazineluiza.com.br/pilha-alcalina-aaa-2-unidades-duracell/p/jk59bj4550/cj/ilha/
Acesso em 14/09/2022</t>
  </si>
  <si>
    <t xml:space="preserve">Superior a média dos preços obtidos. </t>
  </si>
  <si>
    <t>Departamento de Polícia Rodoviária FeE59:I64deral DPRF
Pregão Eletrônico N. 12/2022</t>
  </si>
  <si>
    <t>Sítio eletronico
https://www.kalunga.com.br/prod/caneta-esferografica-bic-cristal-dura-mais-a-classica-preta-ponta-media-de-1-0mm-835208-cx-50-un/176161
Acesso em 14/09/2022</t>
  </si>
  <si>
    <t>Secretaria da Saude Hosp.Geral Pref. Miguel Gualda de Promissao - SP
Ata P.E 128/2022</t>
  </si>
  <si>
    <t>Tribunal de Justiça do Estado do Amapá - AP
Ata P.E 32/2022</t>
  </si>
  <si>
    <t>New Print Comercio E Servicos Eireli
CNPJ 29.276.575/0001-13</t>
  </si>
  <si>
    <t>Secretaria De Saúde - PE
Pregão Eletrônico PEI - 83899-202713</t>
  </si>
  <si>
    <t xml:space="preserve">Maria De F. Araujo De Moura
CNPJ 02.414.124/0001-49 </t>
  </si>
  <si>
    <t>Instituto De Ciências Biológicas De Pernambuco - PE
 PEI - 83822-202435</t>
  </si>
  <si>
    <t xml:space="preserve">Iremar Jose de Lima 02661517448
CNPJ 26.694.023/0001-37 </t>
  </si>
  <si>
    <t>Fundação Municipal De Esporte E Cultura De Cascavel - PR
Pregão Eletrônico n. 11/2022</t>
  </si>
  <si>
    <t>VB Papelaria E Presentes Ltda
CNPJ: 29.199.910/0001-27</t>
  </si>
  <si>
    <t>Secretaria De Saúde - PE
PEI - 83690-202205 (08/2022)</t>
  </si>
  <si>
    <t>Aurecy Ferreira Da Silva (Clips Papelaria)
CNPJ: 29.199.910/0001-27</t>
  </si>
  <si>
    <t>RC Ramos Comercio Ltda
CNPJ: 07.048.323/0001-02</t>
  </si>
  <si>
    <t>Conselho Regional de Nutricionista - 6ª Região - PE
Pregão Eletrônico n. 11/2022</t>
  </si>
  <si>
    <t>Instituto Federal de Educação, Ciência e Tecnologia do Norte - MG
Pregão Eletrônico n. 4/2022 (30/8/2022)</t>
  </si>
  <si>
    <t>Viva Distribuidora De Produtos Ltda
CNPJ: 20.008.831/0001-17</t>
  </si>
  <si>
    <t>Conselho Regional de Nutricionista - 6ª Região - PE
Pregão Eletrônico n. 4/2022</t>
  </si>
  <si>
    <t>Instituto Federal de Educação, Ciência e Tecnologia de Santa Catarina - SC
Pregão Eletrônico n. 119/2021</t>
  </si>
  <si>
    <t>Universidade Federal de Itajubá/Campus Itabira - MG
Pregão Eletrônico n. 23/2022</t>
  </si>
  <si>
    <t>Camara Municipal De Sao Francisco Do Sul - SC
Pregão Eletrônico n. 15/2022</t>
  </si>
  <si>
    <t>Sítio eletronico
https://www.kalunga.com.br/prod/lapis-grafite-redondo-ecolapis-n-2-max-faber-castell-cx-12-un/410661
Acesso em 15/09/2022</t>
  </si>
  <si>
    <t>Conselho Regional De Engenharia E Agronomia Do Estado d e Sergipe - CREA/SE
Pregão Eletrônico n. 9/2022</t>
  </si>
  <si>
    <t>Lazaro Bezerra Soares
CNPJ: 06.088.333/0001-09</t>
  </si>
  <si>
    <t>Gadita Representacoes Ltda
CNPJ: 29.461.034/0001-65</t>
  </si>
  <si>
    <t xml:space="preserve"> Comando da Aeronáutica Grupamento de Apoio dos Afonsos - RJ
Pregão Eletrônico n. 35/2022</t>
  </si>
  <si>
    <t>Ministério Público do Estado do Pará - PA
Pregão Eletrônico n. 28/2022</t>
  </si>
  <si>
    <t>P. L. Fadel informatica eireli
CNPJ:15.078.596/0001-10</t>
  </si>
  <si>
    <t>Tribunal Regional Eleitoral - MG
Pregão Eletrônico n. 68/2022</t>
  </si>
  <si>
    <t>Comando do Exército Industria de Material Belico do Brasil/FI - MG
Pregão Eletrônico n. 65/2022</t>
  </si>
  <si>
    <t>Alianca Comercio E Distribuicao Ltda
CNPJ: 31.486.195/0001-55</t>
  </si>
  <si>
    <t>Secretaria Administracao Penitenciaria Escola de Adm. Penit. Dr. Luiz C.Wolfmann - SP
Pregão Eletrônico n. 6/2022</t>
  </si>
  <si>
    <t>Consorcio De Transportes Da Região Metropolitana Do Recife Ltda - PE
PEI - 83528-201817 (25/8/2022)</t>
  </si>
  <si>
    <t>Paper Box Distribuidora E Servicos Ltda 
CNPJ: 03.330.023/0001-52</t>
  </si>
  <si>
    <t>EEP</t>
  </si>
  <si>
    <t>Institituto De Seguridade Do Servidor Municipal De Camaçari - BA
Pregão Eletrônico n. 2/2022</t>
  </si>
  <si>
    <t>Oxford Comercio E Servicos De Montagem De Moveis Eireli
CNPJ: 02.986.540/0001-11</t>
  </si>
  <si>
    <t>Fundação Nacional de Saúde Coordenação Regional do Paraná - PR
Pregão Eletrôniico n.  2/2022</t>
  </si>
  <si>
    <t>Liliane Alessandra Gomes De Souza Alves 08966490670
CNPJ: 44.466.275/0001-90</t>
  </si>
  <si>
    <t>Sítio eletronico
https://www.amazon.com.br/events/saldaodocliente?pd_rd_w=LeDRd&amp;content-id=amzn1.sym.23bed216-
Acesso em 15/09/2022</t>
  </si>
  <si>
    <t>Sítio eletronico
https://www.magazineluiza.com.br/lapiseira-grip-matic-0-7-faber-castell/p/deg4h55a10/pa/laps/
Acesso em 15/09/2022</t>
  </si>
  <si>
    <t>Sítio eletronico
https://www.kalunga.com.br/prod/pincel-marcador-atomico-preto-1100-p-pilot-bt-1-un/616599
Acesso em 15/09/2022</t>
  </si>
  <si>
    <t>Secretaria da Saude Hosp.Geral Pref. Miguel Gualda de Promissao - SP
Pregão Eletrônico n. 128/2022</t>
  </si>
  <si>
    <t>Termo de Referência 
preço médio</t>
  </si>
  <si>
    <t>acima da média
CONSIDERADO, preço marca referência</t>
  </si>
  <si>
    <t>acima da média
CONSIDERADO, preço fornecedor</t>
  </si>
  <si>
    <t>*Observar se há proposta direta com fornecedor que também esteja fornecendo para a administração (ARP  e contratos) em preço manifestamente inferior, com vistas ao questionamento e análise crítica.</t>
  </si>
  <si>
    <t xml:space="preserve">da média dos preços obtidos. CONSIDERADO, visto ser preço público
</t>
  </si>
  <si>
    <t>Secretaria da saude hosp. Dr.Odilo A. Siqueira, P . Prudente - SP
Ata P. E n. 067/2021</t>
  </si>
  <si>
    <t>Compose Tecidos Ltda - Me
CNPJ: 00.008.089/0001-32</t>
  </si>
  <si>
    <t>Tribunal Regional Eleitoral - MG
Ata P.E 68/2022</t>
  </si>
  <si>
    <t>VIEIRA COMERCIO LTDA
CNPJ: 30.645.885/0001-47</t>
  </si>
  <si>
    <t>Jose Dantas Diniz Filho
CNPJ: 22.077.847/0001-07</t>
  </si>
  <si>
    <t xml:space="preserve"> Instituto Oswaldo Cruz- RJ
Pregão Eletrônico n. 16/2022</t>
  </si>
  <si>
    <t>Prefeitura Municipal De Terra Roxa - PR
Ata P.E 74/2022</t>
  </si>
  <si>
    <t>Mega Dental Importacao,  Exportacao E Comercio De Produtos Odontologicos Eireli
CNPJ: 25.341.162/0001-14</t>
  </si>
  <si>
    <t>Sítio especializado
https://produto.mercadolivre.com.br/MLB-1824807323-rabo-de-rato-cordo-cetim-1mm-diversas-cores-100mts-_JM?attributes=COLOR_SECONDARY_COLOR%3AUHJldG8%3D&amp;quantity=1
ACESSADO EM 15/09/2022</t>
  </si>
  <si>
    <t xml:space="preserve">Ebazar.com.br LTDA
 CNPJ: 03.007.331/0001-41 </t>
  </si>
  <si>
    <t>Tribunal Regional Eleitoral - MT
Pregão Eletrônico n. 15/2022</t>
  </si>
  <si>
    <t>Singular Comercial E Servicos Eireli
CNPJ: 02.642.492/0001-44</t>
  </si>
  <si>
    <t>Prefeitura Municipal De Currais Novos - RN
Pregão Eletrônico n. 05/2022</t>
  </si>
  <si>
    <t xml:space="preserve">
Elias Avelino Dos Santos
CNPJ: 24.208.480/0001-49</t>
  </si>
  <si>
    <t>Prefeitura Municipal De Angra dos Reis - RJ
Pregão Eletrônico n. 32/2022</t>
  </si>
  <si>
    <t xml:space="preserve">
W Das N Faria LtdaCNPJ: 35.097.685/0001-10</t>
  </si>
  <si>
    <t>F M Araujo Bezerra ME
CNPJ: 00.062.779/0001-70</t>
  </si>
  <si>
    <t>Fundacao Universidade Estadual Do Ceara - CE
S2GPRCE - 2021/23656-5</t>
  </si>
  <si>
    <t>da média</t>
  </si>
  <si>
    <t xml:space="preserve">acima da média. </t>
  </si>
  <si>
    <t>Sítio eletronico
https://www.amazon.com.br/trio-porta-caneta-clips-lembrete/dp/B078XMSWJP/re
Acesso em 15/09/2022</t>
  </si>
  <si>
    <t>Sítio eletronico
https://produto.mercadolivre.com.br/MLB-2114585840-organizador-mesa-escritorio-porta-caneta-objeto-treco-carto-_JM#position=3&amp;
Acesso em 15/09/2022</t>
  </si>
  <si>
    <t>Ebazar.com.br LTDA. CNPJ 03.007.331/0001-41</t>
  </si>
  <si>
    <t>Secretaria De Desenvolvimento Agrario De Pernambuco - PE
PEI - 83892-202729</t>
  </si>
  <si>
    <t>Erik Matias de Almeida
CNPJ: 45.287.871/0001-76</t>
  </si>
  <si>
    <t>E&amp;M Comercio De Materiais De Construcao Eireli
CNPJ: 24.708.262/0001-73</t>
  </si>
  <si>
    <t>Secretaria De Instituto De Ciências Biológicas De Pernambuco - PE
PEI - 82240-198843</t>
  </si>
  <si>
    <t>Sítio eletronico
https://www.magazineluiza.com.br/grampo-para-grampeador-106-6-galvanizado-rocama-5000un-acc/p/bbd475k44e/fs/gppo/
Acesso em 15/09/2022</t>
  </si>
  <si>
    <t>Prefeitura Municipal De Leopoldina - MG
Pregão Eletrônico n. 77/2022</t>
  </si>
  <si>
    <t>Alianca Comercio E Distribuicao Ltda
CNPJ 31.486.195/0001-55</t>
  </si>
  <si>
    <t>Sítio eletronico
https://www.americanas.com.br/produto/4913877085?pfm_carac=pilha-alcalina-a23&amp;pfm_index=22&amp;pfm_page=search&amp;pfm_pos=
Acesso em 13/09/2022</t>
  </si>
  <si>
    <t>Comando da Aeronáutica Grupamento De Apoio De Belém - PA
Ata P. E n. 33/2022</t>
  </si>
  <si>
    <t>Scorpion Informatica Eireli
CNPJ: 04.567.265/0001-27</t>
  </si>
  <si>
    <t>A.C De Almeida Informática E Tecnologia Ltda
CNPJ: 44.658.678/0001-31</t>
  </si>
  <si>
    <t>Secretaria De Logistica E Transportes Dr.07 - Assis - SP
Pregão Eletrônico n. 014/DR7/2022</t>
  </si>
  <si>
    <t>Comando da Aeronáutica Grupamento De Apoio De Belém - PA
Pregão Eletrônico n. 33/2022</t>
  </si>
  <si>
    <t>Secretaria De Saúde - PE
Pregão Eletrônico n. PEI - 83373-201397</t>
  </si>
  <si>
    <t>Papelaria Espirito Santo Ltda
CNPJ: 01.856.942/0001-39</t>
  </si>
  <si>
    <t>Sítio eletronico
https://www.americanas.com.br/produto/1183341157?pfm_carac=pen-drive-16gb&amp;pfm_index=6&amp;pfm_page=search&amp;pfm_pos=grid&amp;pfm_type=search_page&amp;offerId
Acesso em 15/09/2022</t>
  </si>
  <si>
    <t>Prefeitura Municipal De Jequeri - MG
Pregão Eletrônico n. 03/2022</t>
  </si>
  <si>
    <t>Magnecom Tecnologia E Inovacao Ltda
CNPJ: 44.249.085/0001-11</t>
  </si>
  <si>
    <t>Universidade Federal de São Paulo - SP
Pregão Eletrônico n. 115/2022</t>
  </si>
  <si>
    <t>Regina Celia Cunha De Sousa 00641565755
CNPJ: 36.336.388/0001-43</t>
  </si>
  <si>
    <t>TOTAL ITEM 40</t>
  </si>
  <si>
    <t>Sítio eletronico
https://www.amazon.com.br/Quadro-Branco-Moldura-Alum%C3%ADnio-02un/dp/B07D83QMT1/ref=sr_1_3?adgrpid=1137995415223825&amp;hvadid=71124867002320&amp;hvbmt=be&amp;hvdev=c&amp;hvlocphy=147742
Acesso em 15/09/2022</t>
  </si>
  <si>
    <t>Sítio eletronico
https://www.magazineluiza.com.br/kit-3-quadros-branco-standard-120x90-cm-com-moldura-de-aluminio-pop-5605-souza/p/bd088g6b53/pa/qubr/
Acesso em 15/09/2022</t>
  </si>
  <si>
    <t>Empresa Brasileira de Serviços Hospitalares/Sede Hospital de Clínicas do Triângulo Mineiro - MG
Pregão Eletrônico n.. 40/2022</t>
  </si>
  <si>
    <t>Didaque Empreendimentos Ltda
CNPJ: 26.854.929/0001-71</t>
  </si>
  <si>
    <t>Secretaria de Estado de Administração Penitenciária do Maranhão - MA
Pregão Eletrônico n.. 28/2022</t>
  </si>
  <si>
    <t>White Board Import Comercio E Servicos Ltda
CNPJ: 43.838.684/0001-08</t>
  </si>
  <si>
    <t xml:space="preserve"> Mesul Moveis E Esquadrias Sudoeste Ltda
CNPJ: 79.038.774/0001-61</t>
  </si>
  <si>
    <t>Prefeitura Municipal De Capanema- PR
Pregão Eletrônico n.. 61/2022</t>
  </si>
  <si>
    <t>Prefeitura Municipal De Cruzeiro do Iguaçu - PR
Pregão Eletrônico n.. 22/2022</t>
  </si>
  <si>
    <t>Moveis Industrial Camili - Eireli
CNPJ: 26.562.781/0001-00</t>
  </si>
  <si>
    <t xml:space="preserve"> Comando da Aeronáutica Segundo Centro Int. Def. Aerea Contr. Ffg Aereo - PR
Pregão Eletrônico n.. 61/2022</t>
  </si>
  <si>
    <t>Sis Comercio De Materiais E Equipamentos Ltda
CNPJ: 29.926.189/0001-20</t>
  </si>
  <si>
    <t>Secretaria da Saude Hosp das Clinicas, São Paulo - SP
Pregão Eletrônico n. 00592/22</t>
  </si>
  <si>
    <t>Prefeitura Municipal São Domingos do Capim - PA
Pregão Eletrônico n.. 37/2022</t>
  </si>
  <si>
    <t>E T Marques Eireli
CNPJ: 08.691.632/0001-50</t>
  </si>
  <si>
    <t>TOTAL ITEM 41</t>
  </si>
  <si>
    <t>Técnico Judiciário
Seção de Compras
SAD/SUCOP/SECOMP</t>
  </si>
  <si>
    <t>Brasília, 15/09/2022</t>
  </si>
  <si>
    <t>GERENCIAMENTO DOS RISCOS:
*Os potenciais riscos devem ser explicitados na informação da unidade.
* Os riscos que influenciam diretemente na seleção do fornecedor devem ser encaminhados à Seção de Licitações.
 * Juntar aos autos a relação de possíveis fornecedores que foram consultados e não enviaram propostas.
*Observar se há proposta direta com fornecedor que também esteja fornecendo para a administração (ARP  e contratos) em preço manifestamente inferior, com vistas ao questionamento e análise crítica.</t>
  </si>
  <si>
    <t xml:space="preserve">Há flagrante diferença de preços entre ME/EPP e ampla concorrência? </t>
  </si>
  <si>
    <t>Sítio eletronico
https://www.americanas.com.br/produto/1285039611?pfm_carac=bateria-9v-recarregavel&amp;pfm_index=3&amp;pfm_page=search&amp;pfm_pos=grid&amp;pfm_type=search_page&amp;offerId=602ece0f0c0704426676df09
Acesso em 15/09/2022</t>
  </si>
  <si>
    <t>Sítio eletronico
https://www.extra.com.br/cameras-filmadoras-drones/Acessorios/PilhaseBaterias/pilha-tipo-c-media-alcalina-duracell-blister-c-2un-14484249.html?IdSku=14484249
Acesso em 13/09/2022</t>
  </si>
  <si>
    <t>Suprinform</t>
  </si>
  <si>
    <t>Sítio eletronico
https://www.magazineluiza.com.br/marca-texto-cis-lumini-neon-pastel-bl-sortidos-com-8-cis/p/ch11e50794/pa/pcmt
Acesso em 15/09/2022</t>
  </si>
  <si>
    <t>Ponto Frio</t>
  </si>
  <si>
    <t>Via S.A.
|CNPJ: 33.041.260/0652-90</t>
  </si>
  <si>
    <t>Obs.:</t>
  </si>
  <si>
    <t>Nos preços de internet estão incluídos o custo de frete</t>
  </si>
  <si>
    <t>GRUPO 2</t>
  </si>
  <si>
    <t>ITEM: 41</t>
  </si>
  <si>
    <t>Van-Mex Comercial E Servicos - Eireli
CNPJ: 00.055.671/0001-50</t>
  </si>
  <si>
    <t>VTA Machado De Arruda E Cia Ltda
CNPJ: 16.667.433/0001-35</t>
  </si>
  <si>
    <t>Fundação Oswaldo Cruz Instituto de Tecnologia em Imunobiologicos Bio Manguinhos - RJ 
Pregão Eletrônico n. 238/2022</t>
  </si>
  <si>
    <t>Agencia Municipal De Regulação De Serviços Delegados - AL 
Pregão Eletrônico n. 162/2022</t>
  </si>
  <si>
    <t>Universidade Federal de Sergipe - SE 
Pregão Eletrônico n. 43/2022</t>
  </si>
  <si>
    <t>W.M.W Comercial E Materiais De Limpeza Ltda
CNPJ: 32.875.635/0001-29</t>
  </si>
  <si>
    <t>Secretaria Da Seguranca Publica Com.Polic.Area Metropolitana-4 - SP
Pregão Eletrônico n. 20220700193</t>
  </si>
  <si>
    <t>Davile Confeccao E Materiais Para Escritorios Ltda
CNPJ: 31.983.081/0001-10</t>
  </si>
  <si>
    <t>Entidades Conveniadas PMSP Câmara Municipal De São Paulo - SP
Pregão Eletrônico n. 177/0070/22</t>
  </si>
  <si>
    <t>Comercial Atitude Eireli
CNPJ: 	19.705.786/0001-70</t>
  </si>
  <si>
    <t>Goiaspaper Distribuidora Eireli
CNPJ: 13.712.784/0001-22</t>
  </si>
  <si>
    <t>Prefeitura Municipal De Piracanjuba - GO
Pregão Eletrônico n. 39/2022</t>
  </si>
  <si>
    <t>Aurecy Ferreira Silva
CNPJ: 04.356.868/0001-80</t>
  </si>
  <si>
    <t>Comando do Exército
4º Batalhão de Engenharia de Construção - GO
Pregão Eletrônico n. 25/2022</t>
  </si>
  <si>
    <t>Comercial Valois Ltda
CNPJ: 44.493.204/0001-87</t>
  </si>
  <si>
    <t>Superintendência Estadual de Compras e Licitações - Governdo RO
Pregão Eletrônico n. 204/2022</t>
  </si>
  <si>
    <t>Guilherme Duarte de Amorim 07768227999
CNPJ: 45.175.426/0001-14</t>
  </si>
  <si>
    <t>Consórcio de Transportes da Região Metropolitana - RE
Pregão Eletrônico n. 92/2022</t>
  </si>
  <si>
    <t>Paper Box Distribuidora e Serviços Ltda 
CNPJ: 03.330.023/0001-52</t>
  </si>
  <si>
    <t>Secretaria de Saúde - PE
Pregão Eletrônico n. 1574/2022</t>
  </si>
  <si>
    <t>Secretaria da Saude Depto Reg. Saude - SP
Pregão Eletrônico n. 0901270000120220C00129</t>
  </si>
  <si>
    <t>Geração 3 Distribuidora de Papeis Ltda - ME
CNPJ: 22.223.426/0001-47</t>
  </si>
  <si>
    <t>F S P de Souza 
CNPJ: 34.800.566/0001-10</t>
  </si>
  <si>
    <t>Consórcio de Transportes da Região Metropolitana - RE
Pregão Eletrônico n. 312.022</t>
  </si>
  <si>
    <t>Superior a média dos preços obtidos.</t>
  </si>
  <si>
    <t>superior à média dos preços obtidos</t>
  </si>
  <si>
    <t>Superior à média dos preços obtidos</t>
  </si>
  <si>
    <r>
      <t>d</t>
    </r>
    <r>
      <rPr>
        <sz val="9"/>
        <color theme="1"/>
        <rFont val="Calibri"/>
        <family val="2"/>
        <scheme val="minor"/>
      </rPr>
      <t xml:space="preserve">a média dos preços obtidos
</t>
    </r>
  </si>
  <si>
    <t xml:space="preserve">da média dos preços obtidos. 
</t>
  </si>
  <si>
    <r>
      <t>Observações</t>
    </r>
    <r>
      <rPr>
        <sz val="10"/>
        <color rgb="FF000000"/>
        <rFont val="Arial"/>
        <family val="2"/>
        <charset val="1"/>
      </rPr>
      <t xml:space="preserve">:
</t>
    </r>
    <r>
      <rPr>
        <b/>
        <sz val="10"/>
        <color rgb="FF000000"/>
        <rFont val="Arial"/>
        <family val="2"/>
      </rPr>
      <t xml:space="preserve">1. </t>
    </r>
    <r>
      <rPr>
        <sz val="10"/>
        <color rgb="FF000000"/>
        <rFont val="Arial"/>
        <family val="2"/>
      </rPr>
      <t xml:space="preserve">O parâmetro utilizado na pesquisa foi com base em contratações similares de órgãos/entidades da Administração Pública; proposta de fornecedores; e preços de sítios eletrônicos e especializados, conforme os termos I, II, III e IV do art. 5º da IN n. 73/2020, do Ministério da Economia. 
</t>
    </r>
    <r>
      <rPr>
        <b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. As cotações que estão com a fonte na cor</t>
    </r>
    <r>
      <rPr>
        <b/>
        <sz val="10"/>
        <color theme="9" tint="-0.249977111117893"/>
        <rFont val="Arial"/>
        <family val="2"/>
      </rPr>
      <t xml:space="preserve"> azul</t>
    </r>
    <r>
      <rPr>
        <sz val="10"/>
        <color rgb="FF000000"/>
        <rFont val="Arial"/>
        <family val="2"/>
      </rPr>
      <t xml:space="preserve"> se referem a Atas de Pregão Eletrônico e Dispensas de licitação, realizados nos útlimos 12 (doze) meses.
</t>
    </r>
    <r>
      <rPr>
        <b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 xml:space="preserve">. </t>
    </r>
    <r>
      <rPr>
        <sz val="10"/>
        <color rgb="FF000000"/>
        <rFont val="Arial"/>
        <family val="2"/>
        <charset val="1"/>
      </rPr>
      <t xml:space="preserve">Os valores obtidos na pesquisa foram avaliados criticamente e, assim, utilizou-se: A </t>
    </r>
    <r>
      <rPr>
        <b/>
        <sz val="10"/>
        <color rgb="FF000000"/>
        <rFont val="Arial"/>
        <family val="2"/>
      </rPr>
      <t>MEDIANA</t>
    </r>
    <r>
      <rPr>
        <sz val="10"/>
        <color rgb="FF000000"/>
        <rFont val="Arial"/>
        <family val="2"/>
        <charset val="1"/>
      </rPr>
      <t>, por esta não ser afetada pelas significativas variações, não comprometendo a estimativa do preço de referência e representando de forma satisfatória os preços praticados no mercado, para os seguintes itens: 1 a 10 (grupo 1); 11 a 16 (grupo 2); 17 a 20 e 22 a 26 (grupo 3); 27/28 (grupo 4); 36; 37; e 39; e A </t>
    </r>
    <r>
      <rPr>
        <b/>
        <sz val="10"/>
        <color rgb="FF000000"/>
        <rFont val="Arial"/>
        <family val="2"/>
      </rPr>
      <t>MÉDIA</t>
    </r>
    <r>
      <rPr>
        <sz val="10"/>
        <color rgb="FF000000"/>
        <rFont val="Arial"/>
        <family val="2"/>
        <charset val="1"/>
      </rPr>
      <t xml:space="preserve">, devido a homogeneidade dos preços, para os seguintes itens: 21 (Grupo 3); 29 a 34 (Grupo 5); 35; 38; 40; e 41.
</t>
    </r>
    <r>
      <rPr>
        <b/>
        <sz val="10"/>
        <color rgb="FF000000"/>
        <rFont val="Arial"/>
        <family val="2"/>
      </rPr>
      <t>4</t>
    </r>
    <r>
      <rPr>
        <sz val="10"/>
        <color rgb="FF000000"/>
        <rFont val="Arial"/>
        <family val="2"/>
        <charset val="1"/>
      </rPr>
      <t xml:space="preserve">.  Ainda, conforme o Manual de Pesquisa de Preços do STJ, foram desconsiderados os que são superiores a 30% da media total (geral), assim como os inferiores a 70% da mesma média, mesmo os preços púbblicos, a despeito do previsto no manual em questão, visto a aplicabilidade da mesma regra para ambas as situações; ressalvado o item 21, em que se considerou os preços públicos cujo percentual era mais próximo dos 70%, visto haver apenas um valor válido da série de preços obtidos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</si>
</sst>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4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1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9" tint="-0.249977111117893"/>
      <name val="Arial"/>
      <family val="2"/>
    </font>
    <font>
      <b/>
      <sz val="15"/>
      <color theme="3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0"/>
      <name val="Calibri"/>
      <family val="2"/>
    </font>
    <font>
      <sz val="11"/>
      <color rgb="FF9C0006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theme="2" tint="-0.499984740745262"/>
      <name val="Calibri"/>
      <family val="2"/>
      <scheme val="minor"/>
    </font>
    <font>
      <sz val="10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rgb="FFFFFF9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46" applyNumberFormat="0" applyFill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27" fillId="0" borderId="57" applyNumberFormat="0" applyFill="0" applyAlignment="0" applyProtection="0"/>
    <xf numFmtId="0" fontId="28" fillId="0" borderId="58" applyNumberFormat="0" applyFill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32" fillId="17" borderId="72" applyNumberFormat="0" applyAlignment="0" applyProtection="0"/>
    <xf numFmtId="9" fontId="6" fillId="0" borderId="0" applyFont="0" applyFill="0" applyBorder="0" applyAlignment="0" applyProtection="0"/>
    <xf numFmtId="0" fontId="34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</cellStyleXfs>
  <cellXfs count="859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1" xfId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44" fontId="4" fillId="5" borderId="1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 wrapText="1"/>
    </xf>
    <xf numFmtId="44" fontId="4" fillId="6" borderId="2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44" fontId="0" fillId="0" borderId="0" xfId="0" applyNumberFormat="1" applyAlignment="1">
      <alignment vertical="center"/>
    </xf>
    <xf numFmtId="44" fontId="0" fillId="0" borderId="0" xfId="0" applyNumberFormat="1"/>
    <xf numFmtId="44" fontId="12" fillId="9" borderId="1" xfId="7" applyNumberFormat="1" applyFont="1" applyBorder="1" applyAlignment="1">
      <alignment vertical="center"/>
    </xf>
    <xf numFmtId="0" fontId="4" fillId="10" borderId="1" xfId="8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14" borderId="0" xfId="11"/>
    <xf numFmtId="44" fontId="19" fillId="8" borderId="40" xfId="6" applyNumberFormat="1" applyFont="1" applyBorder="1" applyAlignment="1">
      <alignment horizontal="center" vertical="center" wrapText="1"/>
    </xf>
    <xf numFmtId="44" fontId="19" fillId="8" borderId="41" xfId="6" applyNumberFormat="1" applyFont="1" applyBorder="1" applyAlignment="1">
      <alignment horizontal="center" vertical="center" wrapText="1"/>
    </xf>
    <xf numFmtId="44" fontId="20" fillId="2" borderId="8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44" fontId="20" fillId="2" borderId="36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44" fontId="20" fillId="2" borderId="31" xfId="0" applyNumberFormat="1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44" fontId="22" fillId="2" borderId="1" xfId="0" applyNumberFormat="1" applyFont="1" applyFill="1" applyBorder="1" applyAlignment="1">
      <alignment horizontal="center" vertical="center" wrapText="1"/>
    </xf>
    <xf numFmtId="0" fontId="22" fillId="0" borderId="4" xfId="0" applyFont="1" applyBorder="1" applyAlignment="1">
      <alignment vertical="center" wrapText="1"/>
    </xf>
    <xf numFmtId="0" fontId="22" fillId="0" borderId="15" xfId="0" applyFont="1" applyBorder="1" applyAlignment="1">
      <alignment horizontal="center" vertical="center" wrapText="1"/>
    </xf>
    <xf numFmtId="44" fontId="20" fillId="2" borderId="5" xfId="0" applyNumberFormat="1" applyFont="1" applyFill="1" applyBorder="1" applyAlignment="1">
      <alignment horizontal="center" vertical="center" wrapText="1"/>
    </xf>
    <xf numFmtId="164" fontId="24" fillId="11" borderId="43" xfId="0" applyNumberFormat="1" applyFont="1" applyFill="1" applyBorder="1" applyAlignment="1">
      <alignment vertical="center"/>
    </xf>
    <xf numFmtId="44" fontId="22" fillId="2" borderId="4" xfId="0" applyNumberFormat="1" applyFont="1" applyFill="1" applyBorder="1" applyAlignment="1">
      <alignment horizontal="center" vertical="center" wrapText="1"/>
    </xf>
    <xf numFmtId="44" fontId="10" fillId="0" borderId="0" xfId="0" applyNumberFormat="1" applyFont="1" applyAlignment="1">
      <alignment horizontal="center" vertical="center"/>
    </xf>
    <xf numFmtId="44" fontId="20" fillId="2" borderId="1" xfId="0" applyNumberFormat="1" applyFont="1" applyFill="1" applyBorder="1" applyAlignment="1">
      <alignment horizontal="center" vertical="center" wrapText="1"/>
    </xf>
    <xf numFmtId="44" fontId="25" fillId="2" borderId="2" xfId="0" applyNumberFormat="1" applyFont="1" applyFill="1" applyBorder="1" applyAlignment="1">
      <alignment horizontal="center" vertical="center" wrapText="1"/>
    </xf>
    <xf numFmtId="44" fontId="20" fillId="2" borderId="2" xfId="0" applyNumberFormat="1" applyFont="1" applyFill="1" applyBorder="1" applyAlignment="1">
      <alignment horizontal="center" vertical="center" wrapText="1"/>
    </xf>
    <xf numFmtId="44" fontId="20" fillId="0" borderId="0" xfId="0" applyNumberFormat="1" applyFont="1" applyAlignment="1">
      <alignment horizontal="center" vertical="center"/>
    </xf>
    <xf numFmtId="44" fontId="20" fillId="2" borderId="4" xfId="0" applyNumberFormat="1" applyFont="1" applyFill="1" applyBorder="1" applyAlignment="1">
      <alignment horizontal="center" vertical="center" wrapText="1"/>
    </xf>
    <xf numFmtId="0" fontId="22" fillId="0" borderId="9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44" fontId="25" fillId="2" borderId="1" xfId="0" applyNumberFormat="1" applyFont="1" applyFill="1" applyBorder="1" applyAlignment="1">
      <alignment horizontal="center" vertical="center" wrapText="1"/>
    </xf>
    <xf numFmtId="0" fontId="19" fillId="8" borderId="27" xfId="6" applyFont="1" applyBorder="1" applyAlignment="1">
      <alignment horizontal="center" vertical="center" wrapText="1"/>
    </xf>
    <xf numFmtId="44" fontId="20" fillId="2" borderId="36" xfId="0" applyNumberFormat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44" fontId="20" fillId="2" borderId="47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/>
    <xf numFmtId="4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 vertical="center"/>
    </xf>
    <xf numFmtId="2" fontId="20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4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164" fontId="20" fillId="0" borderId="0" xfId="0" applyNumberFormat="1" applyFont="1" applyAlignment="1">
      <alignment horizontal="left"/>
    </xf>
    <xf numFmtId="2" fontId="20" fillId="0" borderId="0" xfId="0" applyNumberFormat="1" applyFont="1" applyAlignment="1">
      <alignment horizontal="left"/>
    </xf>
    <xf numFmtId="0" fontId="4" fillId="14" borderId="0" xfId="11" applyFont="1"/>
    <xf numFmtId="44" fontId="19" fillId="8" borderId="54" xfId="6" applyNumberFormat="1" applyFont="1" applyBorder="1" applyAlignment="1">
      <alignment horizontal="center" vertical="center" wrapText="1"/>
    </xf>
    <xf numFmtId="44" fontId="19" fillId="8" borderId="55" xfId="6" applyNumberFormat="1" applyFont="1" applyBorder="1" applyAlignment="1">
      <alignment horizontal="center" vertical="center" wrapText="1"/>
    </xf>
    <xf numFmtId="44" fontId="23" fillId="2" borderId="36" xfId="0" applyNumberFormat="1" applyFont="1" applyFill="1" applyBorder="1" applyAlignment="1">
      <alignment horizontal="center" vertical="center"/>
    </xf>
    <xf numFmtId="44" fontId="22" fillId="0" borderId="0" xfId="0" applyNumberFormat="1" applyFont="1" applyAlignment="1">
      <alignment horizontal="center" vertical="center"/>
    </xf>
    <xf numFmtId="0" fontId="20" fillId="14" borderId="0" xfId="11" applyFont="1"/>
    <xf numFmtId="0" fontId="20" fillId="14" borderId="0" xfId="11" applyFont="1" applyAlignment="1">
      <alignment horizontal="center" vertical="center"/>
    </xf>
    <xf numFmtId="44" fontId="20" fillId="14" borderId="0" xfId="11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44" fontId="20" fillId="2" borderId="1" xfId="0" applyNumberFormat="1" applyFont="1" applyFill="1" applyBorder="1" applyAlignment="1">
      <alignment horizontal="center" vertical="center"/>
    </xf>
    <xf numFmtId="44" fontId="20" fillId="2" borderId="9" xfId="0" applyNumberFormat="1" applyFont="1" applyFill="1" applyBorder="1" applyAlignment="1">
      <alignment horizontal="center" vertical="center"/>
    </xf>
    <xf numFmtId="44" fontId="20" fillId="2" borderId="4" xfId="0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44" fontId="20" fillId="2" borderId="2" xfId="0" applyNumberFormat="1" applyFont="1" applyFill="1" applyBorder="1" applyAlignment="1">
      <alignment horizontal="center" vertical="center"/>
    </xf>
    <xf numFmtId="44" fontId="20" fillId="2" borderId="9" xfId="0" applyNumberFormat="1" applyFont="1" applyFill="1" applyBorder="1" applyAlignment="1">
      <alignment horizontal="center" vertical="center" wrapText="1"/>
    </xf>
    <xf numFmtId="44" fontId="20" fillId="2" borderId="5" xfId="0" applyNumberFormat="1" applyFont="1" applyFill="1" applyBorder="1" applyAlignment="1">
      <alignment horizontal="center" vertical="center"/>
    </xf>
    <xf numFmtId="44" fontId="20" fillId="2" borderId="33" xfId="0" applyNumberFormat="1" applyFont="1" applyFill="1" applyBorder="1" applyAlignment="1">
      <alignment horizontal="center" vertical="center"/>
    </xf>
    <xf numFmtId="44" fontId="22" fillId="2" borderId="36" xfId="0" applyNumberFormat="1" applyFont="1" applyFill="1" applyBorder="1" applyAlignment="1">
      <alignment horizontal="center" vertical="center"/>
    </xf>
    <xf numFmtId="44" fontId="20" fillId="0" borderId="1" xfId="0" applyNumberFormat="1" applyFont="1" applyBorder="1" applyAlignment="1">
      <alignment horizontal="center" vertical="center"/>
    </xf>
    <xf numFmtId="0" fontId="0" fillId="0" borderId="0" xfId="0" applyFill="1"/>
    <xf numFmtId="44" fontId="0" fillId="0" borderId="0" xfId="0" applyNumberFormat="1" applyFill="1" applyAlignment="1">
      <alignment horizontal="center" vertical="center"/>
    </xf>
    <xf numFmtId="0" fontId="6" fillId="0" borderId="0" xfId="11" applyFill="1"/>
    <xf numFmtId="0" fontId="20" fillId="0" borderId="0" xfId="0" applyFont="1" applyFill="1" applyAlignment="1">
      <alignment horizontal="left" vertical="center"/>
    </xf>
    <xf numFmtId="44" fontId="22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 horizontal="left"/>
    </xf>
    <xf numFmtId="2" fontId="22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4" fillId="0" borderId="0" xfId="10" applyFont="1" applyFill="1" applyAlignment="1">
      <alignment horizontal="left"/>
    </xf>
    <xf numFmtId="0" fontId="4" fillId="0" borderId="0" xfId="11" applyFont="1" applyFill="1"/>
    <xf numFmtId="44" fontId="25" fillId="2" borderId="1" xfId="0" applyNumberFormat="1" applyFont="1" applyFill="1" applyBorder="1" applyAlignment="1">
      <alignment horizontal="center" vertical="top" wrapText="1"/>
    </xf>
    <xf numFmtId="44" fontId="22" fillId="2" borderId="1" xfId="0" applyNumberFormat="1" applyFont="1" applyFill="1" applyBorder="1" applyAlignment="1">
      <alignment horizontal="center" vertical="center"/>
    </xf>
    <xf numFmtId="0" fontId="19" fillId="8" borderId="69" xfId="6" applyFont="1" applyBorder="1" applyAlignment="1">
      <alignment horizontal="center" vertical="center" wrapText="1"/>
    </xf>
    <xf numFmtId="44" fontId="20" fillId="2" borderId="64" xfId="0" applyNumberFormat="1" applyFont="1" applyFill="1" applyBorder="1" applyAlignment="1">
      <alignment horizontal="center" vertical="center"/>
    </xf>
    <xf numFmtId="44" fontId="20" fillId="0" borderId="0" xfId="0" quotePrefix="1" applyNumberFormat="1" applyFont="1" applyAlignment="1">
      <alignment horizontal="left" vertical="center"/>
    </xf>
    <xf numFmtId="0" fontId="4" fillId="19" borderId="0" xfId="0" applyFont="1" applyFill="1" applyAlignment="1">
      <alignment vertical="top"/>
    </xf>
    <xf numFmtId="0" fontId="28" fillId="19" borderId="46" xfId="9" applyFont="1" applyFill="1" applyAlignment="1">
      <alignment vertical="top"/>
    </xf>
    <xf numFmtId="0" fontId="6" fillId="19" borderId="0" xfId="0" applyFont="1" applyFill="1" applyAlignment="1">
      <alignment vertical="top"/>
    </xf>
    <xf numFmtId="0" fontId="6" fillId="19" borderId="1" xfId="0" applyFont="1" applyFill="1" applyBorder="1" applyAlignment="1">
      <alignment vertical="top"/>
    </xf>
    <xf numFmtId="44" fontId="28" fillId="0" borderId="0" xfId="13" applyNumberFormat="1" applyFill="1" applyBorder="1" applyAlignment="1">
      <alignment horizontal="center" vertical="center"/>
    </xf>
    <xf numFmtId="0" fontId="28" fillId="0" borderId="58" xfId="13" applyAlignment="1"/>
    <xf numFmtId="44" fontId="28" fillId="0" borderId="58" xfId="13" applyNumberFormat="1" applyAlignment="1">
      <alignment horizontal="center" vertical="center"/>
    </xf>
    <xf numFmtId="0" fontId="27" fillId="0" borderId="57" xfId="12" applyFill="1" applyAlignment="1">
      <alignment horizontal="left" vertical="center"/>
    </xf>
    <xf numFmtId="0" fontId="27" fillId="0" borderId="57" xfId="12" applyFill="1"/>
    <xf numFmtId="0" fontId="27" fillId="0" borderId="57" xfId="12" applyFill="1" applyAlignment="1">
      <alignment horizontal="center" vertical="center"/>
    </xf>
    <xf numFmtId="44" fontId="27" fillId="0" borderId="57" xfId="12" applyNumberFormat="1" applyFill="1" applyAlignment="1">
      <alignment horizontal="center" vertical="center"/>
    </xf>
    <xf numFmtId="44" fontId="22" fillId="0" borderId="0" xfId="11" applyNumberFormat="1" applyFont="1" applyFill="1" applyBorder="1" applyAlignment="1">
      <alignment horizontal="center" vertical="center"/>
    </xf>
    <xf numFmtId="0" fontId="20" fillId="0" borderId="0" xfId="11" applyFont="1" applyFill="1" applyAlignment="1">
      <alignment horizontal="center" vertical="center"/>
    </xf>
    <xf numFmtId="44" fontId="20" fillId="0" borderId="0" xfId="11" applyNumberFormat="1" applyFont="1" applyFill="1" applyAlignment="1">
      <alignment horizontal="center" vertical="center"/>
    </xf>
    <xf numFmtId="44" fontId="20" fillId="0" borderId="0" xfId="0" quotePrefix="1" applyNumberFormat="1" applyFont="1" applyFill="1" applyAlignment="1">
      <alignment horizontal="left" vertical="center"/>
    </xf>
    <xf numFmtId="0" fontId="20" fillId="0" borderId="0" xfId="0" applyFont="1" applyFill="1"/>
    <xf numFmtId="0" fontId="20" fillId="0" borderId="0" xfId="0" applyFont="1" applyFill="1" applyAlignment="1">
      <alignment horizontal="center" vertical="center"/>
    </xf>
    <xf numFmtId="44" fontId="22" fillId="0" borderId="0" xfId="11" applyNumberFormat="1" applyFont="1" applyFill="1" applyAlignment="1">
      <alignment horizontal="center" vertical="center"/>
    </xf>
    <xf numFmtId="0" fontId="34" fillId="18" borderId="0" xfId="18" applyAlignment="1">
      <alignment horizontal="left"/>
    </xf>
    <xf numFmtId="44" fontId="22" fillId="2" borderId="15" xfId="0" applyNumberFormat="1" applyFont="1" applyFill="1" applyBorder="1" applyAlignment="1">
      <alignment horizontal="center" vertical="center" wrapText="1"/>
    </xf>
    <xf numFmtId="9" fontId="29" fillId="15" borderId="0" xfId="14" applyNumberFormat="1" applyAlignment="1">
      <alignment horizontal="center" vertical="center"/>
    </xf>
    <xf numFmtId="9" fontId="6" fillId="0" borderId="0" xfId="19" applyNumberFormat="1" applyFill="1" applyAlignment="1">
      <alignment horizontal="center" vertical="center"/>
    </xf>
    <xf numFmtId="44" fontId="6" fillId="0" borderId="0" xfId="19" quotePrefix="1" applyNumberFormat="1" applyFill="1" applyAlignment="1">
      <alignment horizontal="left" vertical="center"/>
    </xf>
    <xf numFmtId="9" fontId="30" fillId="16" borderId="0" xfId="15" applyNumberFormat="1" applyAlignment="1">
      <alignment horizontal="center" vertical="center"/>
    </xf>
    <xf numFmtId="0" fontId="6" fillId="21" borderId="59" xfId="20" applyBorder="1" applyAlignment="1">
      <alignment horizontal="left" vertical="center"/>
    </xf>
    <xf numFmtId="44" fontId="6" fillId="21" borderId="59" xfId="20" applyNumberFormat="1" applyBorder="1" applyAlignment="1">
      <alignment horizontal="center" vertical="center"/>
    </xf>
    <xf numFmtId="0" fontId="6" fillId="21" borderId="59" xfId="20" applyBorder="1"/>
    <xf numFmtId="44" fontId="6" fillId="21" borderId="0" xfId="20" quotePrefix="1" applyNumberFormat="1" applyAlignment="1">
      <alignment horizontal="left" vertical="center"/>
    </xf>
    <xf numFmtId="44" fontId="6" fillId="21" borderId="0" xfId="20" applyNumberFormat="1" applyBorder="1" applyAlignment="1">
      <alignment horizontal="center" vertical="top" wrapText="1"/>
    </xf>
    <xf numFmtId="44" fontId="6" fillId="21" borderId="0" xfId="20" applyNumberFormat="1" applyAlignment="1">
      <alignment horizontal="left" vertical="center"/>
    </xf>
    <xf numFmtId="44" fontId="6" fillId="21" borderId="0" xfId="20" applyNumberFormat="1" applyAlignment="1">
      <alignment horizontal="center" vertical="center"/>
    </xf>
    <xf numFmtId="9" fontId="32" fillId="17" borderId="72" xfId="16" applyNumberFormat="1" applyAlignment="1">
      <alignment horizontal="center" vertical="center"/>
    </xf>
    <xf numFmtId="44" fontId="4" fillId="21" borderId="0" xfId="20" applyNumberFormat="1" applyFont="1" applyAlignment="1">
      <alignment horizontal="left" vertical="top"/>
    </xf>
    <xf numFmtId="0" fontId="37" fillId="0" borderId="58" xfId="13" applyFont="1" applyAlignment="1"/>
    <xf numFmtId="0" fontId="38" fillId="14" borderId="0" xfId="11" applyFont="1" applyAlignment="1">
      <alignment horizontal="left" vertical="center"/>
    </xf>
    <xf numFmtId="44" fontId="24" fillId="22" borderId="36" xfId="0" applyNumberFormat="1" applyFont="1" applyFill="1" applyBorder="1" applyAlignment="1">
      <alignment horizontal="center" vertical="center"/>
    </xf>
    <xf numFmtId="4" fontId="24" fillId="22" borderId="1" xfId="0" applyNumberFormat="1" applyFont="1" applyFill="1" applyBorder="1" applyAlignment="1">
      <alignment horizontal="center" vertical="center"/>
    </xf>
    <xf numFmtId="4" fontId="24" fillId="22" borderId="4" xfId="0" applyNumberFormat="1" applyFont="1" applyFill="1" applyBorder="1" applyAlignment="1">
      <alignment horizontal="center" vertical="center"/>
    </xf>
    <xf numFmtId="44" fontId="24" fillId="22" borderId="31" xfId="0" applyNumberFormat="1" applyFont="1" applyFill="1" applyBorder="1" applyAlignment="1">
      <alignment horizontal="center" vertical="center"/>
    </xf>
    <xf numFmtId="44" fontId="24" fillId="22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20" fillId="0" borderId="0" xfId="11" applyFont="1" applyFill="1"/>
    <xf numFmtId="0" fontId="34" fillId="0" borderId="0" xfId="18" applyFill="1" applyAlignment="1">
      <alignment horizontal="left"/>
    </xf>
    <xf numFmtId="0" fontId="19" fillId="8" borderId="1" xfId="6" applyFont="1" applyBorder="1" applyAlignment="1">
      <alignment horizontal="center" vertical="center" wrapText="1"/>
    </xf>
    <xf numFmtId="44" fontId="19" fillId="8" borderId="1" xfId="6" applyNumberFormat="1" applyFont="1" applyBorder="1" applyAlignment="1">
      <alignment horizontal="center" vertical="center" wrapText="1"/>
    </xf>
    <xf numFmtId="44" fontId="39" fillId="2" borderId="1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44" fontId="20" fillId="2" borderId="15" xfId="0" applyNumberFormat="1" applyFont="1" applyFill="1" applyBorder="1" applyAlignment="1">
      <alignment horizontal="center" vertical="center" wrapText="1"/>
    </xf>
    <xf numFmtId="44" fontId="24" fillId="22" borderId="34" xfId="0" applyNumberFormat="1" applyFont="1" applyFill="1" applyBorder="1" applyAlignment="1">
      <alignment horizontal="center" vertical="center"/>
    </xf>
    <xf numFmtId="44" fontId="24" fillId="22" borderId="71" xfId="0" applyNumberFormat="1" applyFont="1" applyFill="1" applyBorder="1" applyAlignment="1">
      <alignment horizontal="center" vertical="center"/>
    </xf>
    <xf numFmtId="44" fontId="22" fillId="2" borderId="9" xfId="0" applyNumberFormat="1" applyFont="1" applyFill="1" applyBorder="1" applyAlignment="1">
      <alignment horizontal="center" vertical="center"/>
    </xf>
    <xf numFmtId="4" fontId="24" fillId="22" borderId="1" xfId="0" applyNumberFormat="1" applyFont="1" applyFill="1" applyBorder="1" applyAlignment="1">
      <alignment horizontal="center" vertical="center"/>
    </xf>
    <xf numFmtId="4" fontId="24" fillId="22" borderId="4" xfId="0" applyNumberFormat="1" applyFont="1" applyFill="1" applyBorder="1" applyAlignment="1">
      <alignment horizontal="center" vertical="center"/>
    </xf>
    <xf numFmtId="4" fontId="24" fillId="22" borderId="2" xfId="0" applyNumberFormat="1" applyFont="1" applyFill="1" applyBorder="1" applyAlignment="1">
      <alignment horizontal="center" vertical="center"/>
    </xf>
    <xf numFmtId="4" fontId="24" fillId="22" borderId="33" xfId="0" applyNumberFormat="1" applyFont="1" applyFill="1" applyBorder="1" applyAlignment="1">
      <alignment horizontal="center" vertical="center"/>
    </xf>
    <xf numFmtId="4" fontId="24" fillId="22" borderId="31" xfId="0" applyNumberFormat="1" applyFont="1" applyFill="1" applyBorder="1" applyAlignment="1">
      <alignment horizontal="center" vertical="center"/>
    </xf>
    <xf numFmtId="44" fontId="20" fillId="0" borderId="31" xfId="0" applyNumberFormat="1" applyFont="1" applyBorder="1" applyAlignment="1">
      <alignment horizontal="center" vertical="center"/>
    </xf>
    <xf numFmtId="164" fontId="24" fillId="11" borderId="24" xfId="0" applyNumberFormat="1" applyFont="1" applyFill="1" applyBorder="1" applyAlignment="1">
      <alignment vertical="center"/>
    </xf>
    <xf numFmtId="44" fontId="20" fillId="2" borderId="35" xfId="0" applyNumberFormat="1" applyFont="1" applyFill="1" applyBorder="1" applyAlignment="1">
      <alignment horizontal="center" vertical="center"/>
    </xf>
    <xf numFmtId="44" fontId="24" fillId="22" borderId="82" xfId="0" applyNumberFormat="1" applyFont="1" applyFill="1" applyBorder="1" applyAlignment="1">
      <alignment horizontal="center" vertical="center"/>
    </xf>
    <xf numFmtId="44" fontId="24" fillId="22" borderId="76" xfId="0" applyNumberFormat="1" applyFont="1" applyFill="1" applyBorder="1" applyAlignment="1">
      <alignment horizontal="center" vertical="center"/>
    </xf>
    <xf numFmtId="44" fontId="24" fillId="22" borderId="80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textRotation="90" wrapText="1"/>
    </xf>
    <xf numFmtId="44" fontId="24" fillId="22" borderId="66" xfId="0" applyNumberFormat="1" applyFont="1" applyFill="1" applyBorder="1" applyAlignment="1">
      <alignment horizontal="center" vertical="center"/>
    </xf>
    <xf numFmtId="44" fontId="22" fillId="2" borderId="2" xfId="0" applyNumberFormat="1" applyFont="1" applyFill="1" applyBorder="1" applyAlignment="1">
      <alignment horizontal="center" vertical="center" wrapText="1"/>
    </xf>
    <xf numFmtId="44" fontId="24" fillId="22" borderId="79" xfId="0" applyNumberFormat="1" applyFont="1" applyFill="1" applyBorder="1" applyAlignment="1">
      <alignment horizontal="center" vertical="center"/>
    </xf>
    <xf numFmtId="44" fontId="25" fillId="2" borderId="9" xfId="0" applyNumberFormat="1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44" fontId="24" fillId="22" borderId="30" xfId="0" applyNumberFormat="1" applyFont="1" applyFill="1" applyBorder="1" applyAlignment="1">
      <alignment horizontal="center" vertical="center"/>
    </xf>
    <xf numFmtId="4" fontId="24" fillId="22" borderId="36" xfId="0" applyNumberFormat="1" applyFont="1" applyFill="1" applyBorder="1" applyAlignment="1">
      <alignment horizontal="center" vertical="center"/>
    </xf>
    <xf numFmtId="9" fontId="19" fillId="8" borderId="45" xfId="6" applyNumberFormat="1" applyFont="1" applyBorder="1" applyAlignment="1">
      <alignment horizontal="center" vertical="center" wrapText="1"/>
    </xf>
    <xf numFmtId="9" fontId="19" fillId="8" borderId="0" xfId="6" applyNumberFormat="1" applyFont="1" applyBorder="1" applyAlignment="1">
      <alignment horizontal="center" vertical="center" wrapText="1"/>
    </xf>
    <xf numFmtId="44" fontId="24" fillId="22" borderId="1" xfId="0" applyNumberFormat="1" applyFont="1" applyFill="1" applyBorder="1" applyAlignment="1">
      <alignment horizontal="center" vertical="center"/>
    </xf>
    <xf numFmtId="44" fontId="24" fillId="22" borderId="75" xfId="0" applyNumberFormat="1" applyFont="1" applyFill="1" applyBorder="1" applyAlignment="1">
      <alignment horizontal="center" vertical="center"/>
    </xf>
    <xf numFmtId="44" fontId="24" fillId="22" borderId="4" xfId="0" applyNumberFormat="1" applyFont="1" applyFill="1" applyBorder="1" applyAlignment="1">
      <alignment horizontal="center" vertical="center"/>
    </xf>
    <xf numFmtId="44" fontId="24" fillId="22" borderId="0" xfId="0" applyNumberFormat="1" applyFont="1" applyFill="1" applyBorder="1" applyAlignment="1">
      <alignment horizontal="center" vertical="center"/>
    </xf>
    <xf numFmtId="44" fontId="24" fillId="22" borderId="87" xfId="0" applyNumberFormat="1" applyFont="1" applyFill="1" applyBorder="1" applyAlignment="1">
      <alignment horizontal="center" vertical="center"/>
    </xf>
    <xf numFmtId="0" fontId="6" fillId="19" borderId="0" xfId="0" applyFont="1" applyFill="1" applyAlignment="1">
      <alignment horizontal="left" vertical="top"/>
    </xf>
    <xf numFmtId="44" fontId="20" fillId="2" borderId="0" xfId="0" applyNumberFormat="1" applyFont="1" applyFill="1" applyBorder="1" applyAlignment="1">
      <alignment horizontal="center" vertical="center"/>
    </xf>
    <xf numFmtId="44" fontId="22" fillId="2" borderId="5" xfId="0" applyNumberFormat="1" applyFont="1" applyFill="1" applyBorder="1" applyAlignment="1">
      <alignment horizontal="center" vertical="center" wrapText="1"/>
    </xf>
    <xf numFmtId="44" fontId="22" fillId="2" borderId="8" xfId="0" applyNumberFormat="1" applyFont="1" applyFill="1" applyBorder="1" applyAlignment="1">
      <alignment horizontal="center" vertical="center" wrapText="1"/>
    </xf>
    <xf numFmtId="0" fontId="22" fillId="0" borderId="8" xfId="0" applyFont="1" applyBorder="1" applyAlignment="1">
      <alignment vertical="center" wrapText="1"/>
    </xf>
    <xf numFmtId="0" fontId="0" fillId="19" borderId="1" xfId="0" applyFont="1" applyFill="1" applyBorder="1" applyAlignment="1">
      <alignment vertical="top"/>
    </xf>
    <xf numFmtId="0" fontId="22" fillId="0" borderId="4" xfId="0" applyFont="1" applyBorder="1" applyAlignment="1">
      <alignment horizontal="center" vertical="center" textRotation="90" wrapText="1"/>
    </xf>
    <xf numFmtId="9" fontId="24" fillId="22" borderId="35" xfId="17" applyFont="1" applyFill="1" applyBorder="1" applyAlignment="1">
      <alignment horizontal="center" vertical="center"/>
    </xf>
    <xf numFmtId="9" fontId="24" fillId="22" borderId="31" xfId="17" applyFont="1" applyFill="1" applyBorder="1" applyAlignment="1">
      <alignment horizontal="center" vertical="center"/>
    </xf>
    <xf numFmtId="9" fontId="24" fillId="22" borderId="34" xfId="17" applyFont="1" applyFill="1" applyBorder="1" applyAlignment="1">
      <alignment horizontal="center" vertical="center"/>
    </xf>
    <xf numFmtId="44" fontId="24" fillId="22" borderId="21" xfId="0" applyNumberFormat="1" applyFont="1" applyFill="1" applyBorder="1" applyAlignment="1">
      <alignment horizontal="center" vertical="center"/>
    </xf>
    <xf numFmtId="44" fontId="40" fillId="22" borderId="65" xfId="0" applyNumberFormat="1" applyFont="1" applyFill="1" applyBorder="1" applyAlignment="1">
      <alignment horizontal="left" vertical="top" wrapText="1"/>
    </xf>
    <xf numFmtId="44" fontId="40" fillId="22" borderId="66" xfId="0" applyNumberFormat="1" applyFont="1" applyFill="1" applyBorder="1" applyAlignment="1">
      <alignment horizontal="left" vertical="top" wrapText="1"/>
    </xf>
    <xf numFmtId="44" fontId="20" fillId="0" borderId="0" xfId="0" applyNumberFormat="1" applyFont="1" applyFill="1" applyAlignment="1">
      <alignment horizontal="center" vertical="center"/>
    </xf>
    <xf numFmtId="0" fontId="0" fillId="19" borderId="0" xfId="0" applyFont="1" applyFill="1" applyAlignment="1">
      <alignment vertical="top"/>
    </xf>
    <xf numFmtId="9" fontId="24" fillId="22" borderId="20" xfId="17" applyFont="1" applyFill="1" applyBorder="1" applyAlignment="1">
      <alignment horizontal="center" vertical="center"/>
    </xf>
    <xf numFmtId="9" fontId="24" fillId="22" borderId="36" xfId="17" applyFont="1" applyFill="1" applyBorder="1" applyAlignment="1">
      <alignment horizontal="center" vertical="center"/>
    </xf>
    <xf numFmtId="9" fontId="24" fillId="22" borderId="33" xfId="17" applyFont="1" applyFill="1" applyBorder="1" applyAlignment="1">
      <alignment horizontal="center" vertical="center"/>
    </xf>
    <xf numFmtId="44" fontId="20" fillId="22" borderId="66" xfId="0" applyNumberFormat="1" applyFont="1" applyFill="1" applyBorder="1" applyAlignment="1">
      <alignment horizontal="left" vertical="top" wrapText="1"/>
    </xf>
    <xf numFmtId="44" fontId="36" fillId="22" borderId="67" xfId="0" applyNumberFormat="1" applyFont="1" applyFill="1" applyBorder="1" applyAlignment="1">
      <alignment horizontal="center" vertical="center" wrapText="1"/>
    </xf>
    <xf numFmtId="9" fontId="24" fillId="22" borderId="32" xfId="17" applyFont="1" applyFill="1" applyBorder="1" applyAlignment="1">
      <alignment horizontal="center" vertical="center"/>
    </xf>
    <xf numFmtId="9" fontId="24" fillId="22" borderId="45" xfId="17" applyFont="1" applyFill="1" applyBorder="1" applyAlignment="1">
      <alignment horizontal="center" vertical="center"/>
    </xf>
    <xf numFmtId="44" fontId="40" fillId="22" borderId="84" xfId="0" applyNumberFormat="1" applyFont="1" applyFill="1" applyBorder="1" applyAlignment="1">
      <alignment horizontal="left" vertical="top" wrapText="1"/>
    </xf>
    <xf numFmtId="44" fontId="24" fillId="22" borderId="67" xfId="0" applyNumberFormat="1" applyFont="1" applyFill="1" applyBorder="1" applyAlignment="1">
      <alignment horizontal="center" vertical="center"/>
    </xf>
    <xf numFmtId="44" fontId="24" fillId="22" borderId="7" xfId="0" applyNumberFormat="1" applyFont="1" applyFill="1" applyBorder="1" applyAlignment="1">
      <alignment horizontal="center" vertical="center"/>
    </xf>
    <xf numFmtId="44" fontId="24" fillId="22" borderId="88" xfId="0" applyNumberFormat="1" applyFont="1" applyFill="1" applyBorder="1" applyAlignment="1">
      <alignment horizontal="center" vertical="center"/>
    </xf>
    <xf numFmtId="44" fontId="36" fillId="22" borderId="70" xfId="0" applyNumberFormat="1" applyFont="1" applyFill="1" applyBorder="1" applyAlignment="1">
      <alignment horizontal="center" vertical="center" wrapText="1"/>
    </xf>
    <xf numFmtId="44" fontId="20" fillId="22" borderId="67" xfId="0" applyNumberFormat="1" applyFont="1" applyFill="1" applyBorder="1" applyAlignment="1">
      <alignment horizontal="left" vertical="top" wrapText="1"/>
    </xf>
    <xf numFmtId="9" fontId="24" fillId="22" borderId="19" xfId="17" applyFont="1" applyFill="1" applyBorder="1" applyAlignment="1">
      <alignment horizontal="center" vertical="center"/>
    </xf>
    <xf numFmtId="9" fontId="24" fillId="22" borderId="0" xfId="17" applyFont="1" applyFill="1" applyBorder="1" applyAlignment="1">
      <alignment horizontal="center" vertical="center"/>
    </xf>
    <xf numFmtId="44" fontId="0" fillId="0" borderId="1" xfId="0" applyNumberFormat="1" applyBorder="1" applyAlignment="1">
      <alignment horizontal="left" vertical="center"/>
    </xf>
    <xf numFmtId="0" fontId="12" fillId="0" borderId="0" xfId="6" applyFont="1" applyFill="1" applyBorder="1" applyAlignment="1">
      <alignment vertical="center"/>
    </xf>
    <xf numFmtId="44" fontId="4" fillId="0" borderId="0" xfId="8" applyNumberFormat="1" applyFont="1" applyFill="1" applyBorder="1" applyAlignment="1">
      <alignment horizontal="center" vertical="center"/>
    </xf>
    <xf numFmtId="44" fontId="0" fillId="0" borderId="0" xfId="0" applyNumberFormat="1" applyFill="1" applyBorder="1" applyAlignment="1">
      <alignment vertical="center"/>
    </xf>
    <xf numFmtId="44" fontId="12" fillId="0" borderId="0" xfId="7" applyNumberFormat="1" applyFont="1" applyFill="1" applyBorder="1" applyAlignment="1">
      <alignment vertical="center"/>
    </xf>
    <xf numFmtId="0" fontId="12" fillId="8" borderId="1" xfId="6" applyFont="1" applyBorder="1" applyAlignment="1">
      <alignment vertical="center"/>
    </xf>
    <xf numFmtId="0" fontId="12" fillId="9" borderId="1" xfId="7" applyFont="1" applyBorder="1" applyAlignment="1">
      <alignment vertical="center"/>
    </xf>
    <xf numFmtId="44" fontId="0" fillId="0" borderId="1" xfId="0" applyNumberFormat="1" applyBorder="1" applyAlignment="1">
      <alignment horizontal="left" vertical="center" wrapText="1"/>
    </xf>
    <xf numFmtId="44" fontId="24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4" fontId="24" fillId="22" borderId="31" xfId="0" applyNumberFormat="1" applyFont="1" applyFill="1" applyBorder="1" applyAlignment="1">
      <alignment horizontal="center" vertical="center"/>
    </xf>
    <xf numFmtId="4" fontId="24" fillId="22" borderId="1" xfId="0" applyNumberFormat="1" applyFont="1" applyFill="1" applyBorder="1" applyAlignment="1">
      <alignment horizontal="center" vertical="center"/>
    </xf>
    <xf numFmtId="44" fontId="20" fillId="2" borderId="20" xfId="0" applyNumberFormat="1" applyFont="1" applyFill="1" applyBorder="1" applyAlignment="1">
      <alignment horizontal="center" vertical="center"/>
    </xf>
    <xf numFmtId="44" fontId="24" fillId="22" borderId="80" xfId="0" applyNumberFormat="1" applyFont="1" applyFill="1" applyBorder="1" applyAlignment="1">
      <alignment horizontal="center" vertical="center" wrapText="1"/>
    </xf>
    <xf numFmtId="44" fontId="42" fillId="22" borderId="34" xfId="0" applyNumberFormat="1" applyFont="1" applyFill="1" applyBorder="1" applyAlignment="1">
      <alignment horizontal="center" vertical="center"/>
    </xf>
    <xf numFmtId="44" fontId="42" fillId="22" borderId="71" xfId="0" applyNumberFormat="1" applyFont="1" applyFill="1" applyBorder="1" applyAlignment="1">
      <alignment horizontal="center" vertical="center"/>
    </xf>
    <xf numFmtId="44" fontId="42" fillId="22" borderId="66" xfId="0" applyNumberFormat="1" applyFont="1" applyFill="1" applyBorder="1" applyAlignment="1">
      <alignment horizontal="center" vertical="center"/>
    </xf>
    <xf numFmtId="44" fontId="40" fillId="22" borderId="75" xfId="0" applyNumberFormat="1" applyFont="1" applyFill="1" applyBorder="1" applyAlignment="1">
      <alignment horizontal="left" vertical="top" wrapText="1"/>
    </xf>
    <xf numFmtId="44" fontId="40" fillId="22" borderId="3" xfId="0" applyNumberFormat="1" applyFont="1" applyFill="1" applyBorder="1" applyAlignment="1">
      <alignment horizontal="left" vertical="top" wrapText="1"/>
    </xf>
    <xf numFmtId="44" fontId="40" fillId="22" borderId="34" xfId="0" applyNumberFormat="1" applyFont="1" applyFill="1" applyBorder="1" applyAlignment="1">
      <alignment horizontal="left" vertical="top" wrapText="1"/>
    </xf>
    <xf numFmtId="44" fontId="24" fillId="22" borderId="81" xfId="0" applyNumberFormat="1" applyFont="1" applyFill="1" applyBorder="1" applyAlignment="1">
      <alignment horizontal="center" vertical="center" wrapText="1"/>
    </xf>
    <xf numFmtId="44" fontId="36" fillId="22" borderId="71" xfId="0" applyNumberFormat="1" applyFont="1" applyFill="1" applyBorder="1" applyAlignment="1">
      <alignment horizontal="center" vertical="center" wrapText="1"/>
    </xf>
    <xf numFmtId="44" fontId="36" fillId="22" borderId="34" xfId="0" applyNumberFormat="1" applyFont="1" applyFill="1" applyBorder="1" applyAlignment="1">
      <alignment horizontal="center" vertical="center" wrapText="1"/>
    </xf>
    <xf numFmtId="44" fontId="36" fillId="22" borderId="74" xfId="0" applyNumberFormat="1" applyFont="1" applyFill="1" applyBorder="1" applyAlignment="1">
      <alignment horizontal="center" vertical="center" wrapText="1"/>
    </xf>
    <xf numFmtId="9" fontId="24" fillId="22" borderId="50" xfId="17" applyFont="1" applyFill="1" applyBorder="1" applyAlignment="1">
      <alignment horizontal="center" vertical="center"/>
    </xf>
    <xf numFmtId="44" fontId="36" fillId="22" borderId="47" xfId="0" applyNumberFormat="1" applyFont="1" applyFill="1" applyBorder="1" applyAlignment="1">
      <alignment horizontal="center" vertical="center" wrapText="1"/>
    </xf>
    <xf numFmtId="44" fontId="24" fillId="22" borderId="30" xfId="0" applyNumberFormat="1" applyFont="1" applyFill="1" applyBorder="1" applyAlignment="1">
      <alignment horizontal="center" vertical="center" wrapText="1"/>
    </xf>
    <xf numFmtId="44" fontId="24" fillId="22" borderId="22" xfId="0" applyNumberFormat="1" applyFont="1" applyFill="1" applyBorder="1" applyAlignment="1">
      <alignment horizontal="center" vertical="center" wrapText="1"/>
    </xf>
    <xf numFmtId="0" fontId="6" fillId="19" borderId="0" xfId="0" applyFont="1" applyFill="1" applyAlignment="1">
      <alignment horizontal="left" vertical="top"/>
    </xf>
    <xf numFmtId="44" fontId="41" fillId="22" borderId="44" xfId="0" applyNumberFormat="1" applyFont="1" applyFill="1" applyBorder="1" applyAlignment="1">
      <alignment horizontal="center" vertical="center" wrapText="1"/>
    </xf>
    <xf numFmtId="44" fontId="24" fillId="22" borderId="40" xfId="0" applyNumberFormat="1" applyFont="1" applyFill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44" fontId="22" fillId="22" borderId="67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vertical="center" wrapText="1"/>
    </xf>
    <xf numFmtId="44" fontId="24" fillId="22" borderId="7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43" fillId="19" borderId="46" xfId="9" applyFont="1" applyFill="1" applyAlignment="1">
      <alignment vertical="top"/>
    </xf>
    <xf numFmtId="0" fontId="40" fillId="19" borderId="0" xfId="0" applyFont="1" applyFill="1" applyAlignment="1">
      <alignment vertical="top"/>
    </xf>
    <xf numFmtId="0" fontId="42" fillId="19" borderId="0" xfId="0" applyFont="1" applyFill="1" applyAlignment="1">
      <alignment vertical="top"/>
    </xf>
    <xf numFmtId="0" fontId="40" fillId="19" borderId="0" xfId="0" applyFont="1" applyFill="1" applyAlignment="1">
      <alignment horizontal="left" vertical="top"/>
    </xf>
    <xf numFmtId="0" fontId="40" fillId="19" borderId="1" xfId="0" applyFont="1" applyFill="1" applyBorder="1" applyAlignment="1">
      <alignment vertical="top"/>
    </xf>
    <xf numFmtId="0" fontId="42" fillId="19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0" fontId="0" fillId="19" borderId="0" xfId="0" applyFont="1" applyFill="1" applyAlignment="1">
      <alignment horizontal="left" vertical="top"/>
    </xf>
    <xf numFmtId="0" fontId="6" fillId="19" borderId="0" xfId="0" applyFont="1" applyFill="1" applyAlignment="1">
      <alignment horizontal="left" vertical="top"/>
    </xf>
    <xf numFmtId="0" fontId="4" fillId="19" borderId="0" xfId="0" applyFont="1" applyFill="1" applyAlignment="1">
      <alignment horizontal="left" vertical="top"/>
    </xf>
    <xf numFmtId="0" fontId="19" fillId="8" borderId="27" xfId="6" applyFont="1" applyBorder="1" applyAlignment="1">
      <alignment horizontal="center" vertical="center" wrapText="1"/>
    </xf>
    <xf numFmtId="0" fontId="19" fillId="8" borderId="39" xfId="6" applyFont="1" applyBorder="1" applyAlignment="1">
      <alignment horizontal="center" vertical="center" wrapText="1"/>
    </xf>
    <xf numFmtId="0" fontId="19" fillId="8" borderId="69" xfId="6" applyFont="1" applyBorder="1" applyAlignment="1">
      <alignment horizontal="center" vertical="center" wrapText="1"/>
    </xf>
    <xf numFmtId="0" fontId="6" fillId="14" borderId="0" xfId="11" applyAlignment="1">
      <alignment horizontal="center"/>
    </xf>
    <xf numFmtId="0" fontId="22" fillId="0" borderId="44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18" fillId="19" borderId="46" xfId="9" applyFill="1" applyAlignment="1">
      <alignment vertical="top"/>
    </xf>
    <xf numFmtId="0" fontId="6" fillId="0" borderId="0" xfId="0" applyFont="1" applyFill="1" applyBorder="1" applyAlignment="1">
      <alignment vertical="top"/>
    </xf>
    <xf numFmtId="44" fontId="40" fillId="22" borderId="45" xfId="0" applyNumberFormat="1" applyFont="1" applyFill="1" applyBorder="1" applyAlignment="1">
      <alignment horizontal="left" vertical="top" wrapText="1"/>
    </xf>
    <xf numFmtId="44" fontId="24" fillId="22" borderId="7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44" fontId="24" fillId="22" borderId="1" xfId="0" applyNumberFormat="1" applyFont="1" applyFill="1" applyBorder="1" applyAlignment="1">
      <alignment horizontal="center" vertical="center" wrapText="1"/>
    </xf>
    <xf numFmtId="4" fontId="24" fillId="22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 wrapText="1"/>
    </xf>
    <xf numFmtId="44" fontId="22" fillId="2" borderId="20" xfId="0" applyNumberFormat="1" applyFont="1" applyFill="1" applyBorder="1" applyAlignment="1">
      <alignment horizontal="center" vertical="center"/>
    </xf>
    <xf numFmtId="0" fontId="40" fillId="19" borderId="0" xfId="0" applyFont="1" applyFill="1" applyAlignment="1">
      <alignment horizontal="left" vertical="top"/>
    </xf>
    <xf numFmtId="0" fontId="19" fillId="8" borderId="27" xfId="6" applyFont="1" applyBorder="1" applyAlignment="1">
      <alignment horizontal="center" vertical="center" wrapText="1"/>
    </xf>
    <xf numFmtId="44" fontId="22" fillId="2" borderId="4" xfId="0" applyNumberFormat="1" applyFont="1" applyFill="1" applyBorder="1" applyAlignment="1">
      <alignment horizontal="center" vertical="center"/>
    </xf>
    <xf numFmtId="0" fontId="0" fillId="19" borderId="0" xfId="0" applyFont="1" applyFill="1" applyAlignment="1">
      <alignment horizontal="left" vertical="top"/>
    </xf>
    <xf numFmtId="0" fontId="6" fillId="19" borderId="0" xfId="0" applyFont="1" applyFill="1" applyAlignment="1">
      <alignment horizontal="left" vertical="top"/>
    </xf>
    <xf numFmtId="0" fontId="4" fillId="19" borderId="0" xfId="0" applyFont="1" applyFill="1" applyAlignment="1">
      <alignment horizontal="left" vertical="top"/>
    </xf>
    <xf numFmtId="44" fontId="22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 wrapText="1"/>
    </xf>
    <xf numFmtId="0" fontId="19" fillId="8" borderId="69" xfId="6" applyFont="1" applyBorder="1" applyAlignment="1">
      <alignment horizontal="center" vertical="center" wrapText="1"/>
    </xf>
    <xf numFmtId="44" fontId="19" fillId="8" borderId="54" xfId="6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44" fontId="22" fillId="2" borderId="15" xfId="0" applyNumberFormat="1" applyFont="1" applyFill="1" applyBorder="1" applyAlignment="1">
      <alignment horizontal="center" vertical="center"/>
    </xf>
    <xf numFmtId="44" fontId="20" fillId="2" borderId="9" xfId="0" applyNumberFormat="1" applyFont="1" applyFill="1" applyBorder="1" applyAlignment="1">
      <alignment horizontal="center" vertical="center"/>
    </xf>
    <xf numFmtId="44" fontId="20" fillId="2" borderId="1" xfId="0" applyNumberFormat="1" applyFont="1" applyFill="1" applyBorder="1" applyAlignment="1">
      <alignment horizontal="center" vertical="center"/>
    </xf>
    <xf numFmtId="44" fontId="20" fillId="2" borderId="15" xfId="0" applyNumberFormat="1" applyFont="1" applyFill="1" applyBorder="1" applyAlignment="1">
      <alignment horizontal="center" vertical="center"/>
    </xf>
    <xf numFmtId="44" fontId="20" fillId="2" borderId="35" xfId="0" applyNumberFormat="1" applyFont="1" applyFill="1" applyBorder="1" applyAlignment="1">
      <alignment horizontal="center" vertical="center"/>
    </xf>
    <xf numFmtId="44" fontId="20" fillId="2" borderId="31" xfId="0" applyNumberFormat="1" applyFont="1" applyFill="1" applyBorder="1" applyAlignment="1">
      <alignment horizontal="center" vertical="center"/>
    </xf>
    <xf numFmtId="44" fontId="20" fillId="2" borderId="32" xfId="0" applyNumberFormat="1" applyFont="1" applyFill="1" applyBorder="1" applyAlignment="1">
      <alignment horizontal="center" vertical="center"/>
    </xf>
    <xf numFmtId="44" fontId="22" fillId="2" borderId="5" xfId="0" applyNumberFormat="1" applyFont="1" applyFill="1" applyBorder="1" applyAlignment="1">
      <alignment horizontal="center" vertical="top" wrapText="1"/>
    </xf>
    <xf numFmtId="44" fontId="36" fillId="22" borderId="88" xfId="0" applyNumberFormat="1" applyFont="1" applyFill="1" applyBorder="1" applyAlignment="1">
      <alignment horizontal="center" vertical="center" wrapText="1"/>
    </xf>
    <xf numFmtId="44" fontId="22" fillId="2" borderId="4" xfId="0" applyNumberFormat="1" applyFont="1" applyFill="1" applyBorder="1" applyAlignment="1">
      <alignment horizontal="center" vertical="top" wrapText="1"/>
    </xf>
    <xf numFmtId="44" fontId="22" fillId="2" borderId="1" xfId="0" applyNumberFormat="1" applyFont="1" applyFill="1" applyBorder="1" applyAlignment="1">
      <alignment horizontal="center" vertical="top" wrapText="1"/>
    </xf>
    <xf numFmtId="44" fontId="24" fillId="22" borderId="4" xfId="0" applyNumberFormat="1" applyFont="1" applyFill="1" applyBorder="1" applyAlignment="1">
      <alignment horizontal="center" vertical="center" wrapText="1"/>
    </xf>
    <xf numFmtId="44" fontId="22" fillId="2" borderId="9" xfId="0" applyNumberFormat="1" applyFont="1" applyFill="1" applyBorder="1" applyAlignment="1">
      <alignment horizontal="center" vertical="center" wrapText="1"/>
    </xf>
    <xf numFmtId="44" fontId="24" fillId="22" borderId="15" xfId="0" applyNumberFormat="1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4" fontId="24" fillId="22" borderId="91" xfId="0" applyNumberFormat="1" applyFont="1" applyFill="1" applyBorder="1" applyAlignment="1">
      <alignment horizontal="center" vertical="center"/>
    </xf>
    <xf numFmtId="44" fontId="22" fillId="2" borderId="50" xfId="0" applyNumberFormat="1" applyFont="1" applyFill="1" applyBorder="1" applyAlignment="1">
      <alignment horizontal="center" vertical="center"/>
    </xf>
    <xf numFmtId="44" fontId="36" fillId="22" borderId="83" xfId="0" applyNumberFormat="1" applyFont="1" applyFill="1" applyBorder="1" applyAlignment="1">
      <alignment horizontal="center" vertical="center" wrapText="1"/>
    </xf>
    <xf numFmtId="44" fontId="22" fillId="2" borderId="1" xfId="0" applyNumberFormat="1" applyFont="1" applyFill="1" applyBorder="1" applyAlignment="1">
      <alignment horizontal="center" vertical="center"/>
    </xf>
    <xf numFmtId="0" fontId="4" fillId="0" borderId="0" xfId="11" applyFont="1" applyFill="1" applyBorder="1"/>
    <xf numFmtId="0" fontId="6" fillId="0" borderId="0" xfId="11" applyFill="1" applyBorder="1"/>
    <xf numFmtId="0" fontId="0" fillId="0" borderId="0" xfId="0" applyFill="1" applyBorder="1"/>
    <xf numFmtId="0" fontId="20" fillId="0" borderId="0" xfId="0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34" fillId="0" borderId="0" xfId="18" applyFill="1" applyBorder="1" applyAlignment="1">
      <alignment horizontal="left"/>
    </xf>
    <xf numFmtId="0" fontId="38" fillId="0" borderId="0" xfId="11" applyFont="1" applyFill="1" applyBorder="1" applyAlignment="1">
      <alignment horizontal="left" vertical="center"/>
    </xf>
    <xf numFmtId="44" fontId="20" fillId="0" borderId="0" xfId="11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44" fontId="20" fillId="0" borderId="0" xfId="0" applyNumberFormat="1" applyFont="1" applyFill="1" applyBorder="1" applyAlignment="1">
      <alignment horizontal="center" vertical="center"/>
    </xf>
    <xf numFmtId="44" fontId="0" fillId="0" borderId="0" xfId="0" applyNumberFormat="1" applyFill="1" applyBorder="1" applyAlignment="1">
      <alignment horizontal="center" vertical="center"/>
    </xf>
    <xf numFmtId="0" fontId="6" fillId="0" borderId="0" xfId="1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44" fontId="20" fillId="0" borderId="0" xfId="0" applyNumberFormat="1" applyFont="1" applyFill="1" applyBorder="1" applyAlignment="1">
      <alignment horizontal="center"/>
    </xf>
    <xf numFmtId="44" fontId="22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6" fillId="0" borderId="0" xfId="11" applyFill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0" fontId="28" fillId="0" borderId="0" xfId="9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20" fillId="0" borderId="1" xfId="0" applyFont="1" applyFill="1" applyBorder="1" applyAlignment="1">
      <alignment horizontal="center" vertical="center" wrapText="1"/>
    </xf>
    <xf numFmtId="44" fontId="40" fillId="22" borderId="44" xfId="0" applyNumberFormat="1" applyFont="1" applyFill="1" applyBorder="1" applyAlignment="1">
      <alignment horizontal="left" vertical="top" wrapText="1"/>
    </xf>
    <xf numFmtId="0" fontId="25" fillId="0" borderId="1" xfId="0" applyFont="1" applyBorder="1" applyAlignment="1">
      <alignment horizontal="center" vertical="top" wrapText="1"/>
    </xf>
    <xf numFmtId="44" fontId="24" fillId="22" borderId="77" xfId="0" applyNumberFormat="1" applyFont="1" applyFill="1" applyBorder="1" applyAlignment="1">
      <alignment horizontal="center" vertical="center" wrapText="1"/>
    </xf>
    <xf numFmtId="44" fontId="40" fillId="22" borderId="88" xfId="0" applyNumberFormat="1" applyFont="1" applyFill="1" applyBorder="1" applyAlignment="1">
      <alignment horizontal="left" vertical="top" wrapText="1"/>
    </xf>
    <xf numFmtId="0" fontId="22" fillId="0" borderId="36" xfId="0" applyFont="1" applyBorder="1" applyAlignment="1">
      <alignment horizontal="center" vertical="center" textRotation="90" wrapText="1"/>
    </xf>
    <xf numFmtId="44" fontId="22" fillId="2" borderId="1" xfId="0" applyNumberFormat="1" applyFont="1" applyFill="1" applyBorder="1" applyAlignment="1">
      <alignment horizontal="center" vertical="center"/>
    </xf>
    <xf numFmtId="44" fontId="22" fillId="2" borderId="4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textRotation="90" wrapText="1"/>
    </xf>
    <xf numFmtId="44" fontId="20" fillId="2" borderId="10" xfId="0" applyNumberFormat="1" applyFont="1" applyFill="1" applyBorder="1" applyAlignment="1">
      <alignment horizontal="center" vertical="center"/>
    </xf>
    <xf numFmtId="44" fontId="20" fillId="2" borderId="88" xfId="0" applyNumberFormat="1" applyFont="1" applyFill="1" applyBorder="1" applyAlignment="1">
      <alignment horizontal="center" vertical="center"/>
    </xf>
    <xf numFmtId="44" fontId="20" fillId="2" borderId="41" xfId="0" applyNumberFormat="1" applyFont="1" applyFill="1" applyBorder="1" applyAlignment="1">
      <alignment horizontal="center" vertical="center"/>
    </xf>
    <xf numFmtId="44" fontId="20" fillId="2" borderId="18" xfId="0" applyNumberFormat="1" applyFont="1" applyFill="1" applyBorder="1" applyAlignment="1">
      <alignment horizontal="center" vertical="center"/>
    </xf>
    <xf numFmtId="44" fontId="20" fillId="2" borderId="23" xfId="0" applyNumberFormat="1" applyFont="1" applyFill="1" applyBorder="1" applyAlignment="1">
      <alignment horizontal="center" vertical="center"/>
    </xf>
    <xf numFmtId="44" fontId="20" fillId="22" borderId="65" xfId="0" applyNumberFormat="1" applyFont="1" applyFill="1" applyBorder="1" applyAlignment="1">
      <alignment horizontal="left" vertical="top" wrapText="1"/>
    </xf>
    <xf numFmtId="44" fontId="36" fillId="22" borderId="66" xfId="0" applyNumberFormat="1" applyFont="1" applyFill="1" applyBorder="1" applyAlignment="1">
      <alignment horizontal="center" vertical="center" wrapText="1"/>
    </xf>
    <xf numFmtId="44" fontId="24" fillId="22" borderId="13" xfId="0" applyNumberFormat="1" applyFont="1" applyFill="1" applyBorder="1" applyAlignment="1">
      <alignment horizontal="center" vertical="center" wrapText="1"/>
    </xf>
    <xf numFmtId="44" fontId="20" fillId="22" borderId="67" xfId="0" applyNumberFormat="1" applyFont="1" applyFill="1" applyBorder="1" applyAlignment="1">
      <alignment horizontal="center" vertical="center" wrapText="1"/>
    </xf>
    <xf numFmtId="44" fontId="22" fillId="2" borderId="9" xfId="0" applyNumberFormat="1" applyFont="1" applyFill="1" applyBorder="1" applyAlignment="1">
      <alignment horizontal="center" vertical="center"/>
    </xf>
    <xf numFmtId="44" fontId="22" fillId="2" borderId="2" xfId="0" applyNumberFormat="1" applyFont="1" applyFill="1" applyBorder="1" applyAlignment="1">
      <alignment horizontal="center" vertical="center"/>
    </xf>
    <xf numFmtId="44" fontId="22" fillId="2" borderId="1" xfId="0" applyNumberFormat="1" applyFont="1" applyFill="1" applyBorder="1" applyAlignment="1">
      <alignment horizontal="center" vertical="center"/>
    </xf>
    <xf numFmtId="44" fontId="22" fillId="2" borderId="4" xfId="0" applyNumberFormat="1" applyFont="1" applyFill="1" applyBorder="1" applyAlignment="1">
      <alignment horizontal="center" vertical="center"/>
    </xf>
    <xf numFmtId="44" fontId="22" fillId="2" borderId="14" xfId="0" applyNumberFormat="1" applyFont="1" applyFill="1" applyBorder="1" applyAlignment="1">
      <alignment horizontal="center" vertical="center"/>
    </xf>
    <xf numFmtId="0" fontId="6" fillId="21" borderId="59" xfId="20" applyBorder="1" applyAlignment="1">
      <alignment horizontal="center" vertical="center"/>
    </xf>
    <xf numFmtId="0" fontId="20" fillId="14" borderId="0" xfId="11" applyFont="1" applyAlignment="1">
      <alignment horizontal="center"/>
    </xf>
    <xf numFmtId="0" fontId="20" fillId="0" borderId="0" xfId="1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2" fillId="0" borderId="44" xfId="0" applyFont="1" applyBorder="1" applyAlignment="1">
      <alignment horizontal="left" vertical="center" wrapText="1"/>
    </xf>
    <xf numFmtId="44" fontId="24" fillId="22" borderId="81" xfId="0" applyNumberFormat="1" applyFont="1" applyFill="1" applyBorder="1" applyAlignment="1">
      <alignment horizontal="center" vertical="center"/>
    </xf>
    <xf numFmtId="44" fontId="40" fillId="22" borderId="93" xfId="0" applyNumberFormat="1" applyFont="1" applyFill="1" applyBorder="1" applyAlignment="1">
      <alignment horizontal="left" vertical="top" wrapText="1"/>
    </xf>
    <xf numFmtId="0" fontId="34" fillId="24" borderId="0" xfId="18" applyFill="1" applyAlignment="1">
      <alignment horizontal="left"/>
    </xf>
    <xf numFmtId="44" fontId="25" fillId="0" borderId="1" xfId="0" applyNumberFormat="1" applyFont="1" applyFill="1" applyBorder="1" applyAlignment="1">
      <alignment horizontal="center" vertical="center" wrapText="1"/>
    </xf>
    <xf numFmtId="44" fontId="25" fillId="2" borderId="4" xfId="0" applyNumberFormat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textRotation="90" wrapText="1"/>
    </xf>
    <xf numFmtId="44" fontId="22" fillId="2" borderId="14" xfId="0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2" fillId="0" borderId="64" xfId="0" applyFont="1" applyBorder="1" applyAlignment="1">
      <alignment horizontal="left" vertical="center" wrapText="1"/>
    </xf>
    <xf numFmtId="44" fontId="42" fillId="22" borderId="70" xfId="0" applyNumberFormat="1" applyFont="1" applyFill="1" applyBorder="1" applyAlignment="1">
      <alignment horizontal="center" vertical="center"/>
    </xf>
    <xf numFmtId="44" fontId="19" fillId="8" borderId="22" xfId="6" applyNumberFormat="1" applyFont="1" applyBorder="1" applyAlignment="1">
      <alignment horizontal="center" vertical="center" wrapText="1"/>
    </xf>
    <xf numFmtId="44" fontId="19" fillId="8" borderId="23" xfId="6" applyNumberFormat="1" applyFont="1" applyBorder="1" applyAlignment="1">
      <alignment horizontal="center" vertical="center" wrapText="1"/>
    </xf>
    <xf numFmtId="44" fontId="24" fillId="22" borderId="40" xfId="0" applyNumberFormat="1" applyFont="1" applyFill="1" applyBorder="1" applyAlignment="1">
      <alignment horizontal="center" vertical="center"/>
    </xf>
    <xf numFmtId="44" fontId="47" fillId="2" borderId="4" xfId="0" applyNumberFormat="1" applyFont="1" applyFill="1" applyBorder="1" applyAlignment="1">
      <alignment horizontal="center" vertical="center" wrapText="1"/>
    </xf>
    <xf numFmtId="4" fontId="24" fillId="22" borderId="2" xfId="0" applyNumberFormat="1" applyFont="1" applyFill="1" applyBorder="1" applyAlignment="1">
      <alignment horizontal="center" vertical="center"/>
    </xf>
    <xf numFmtId="4" fontId="24" fillId="22" borderId="1" xfId="0" applyNumberFormat="1" applyFont="1" applyFill="1" applyBorder="1" applyAlignment="1">
      <alignment horizontal="center" vertical="center"/>
    </xf>
    <xf numFmtId="4" fontId="24" fillId="22" borderId="4" xfId="0" applyNumberFormat="1" applyFont="1" applyFill="1" applyBorder="1" applyAlignment="1">
      <alignment horizontal="center" vertical="center"/>
    </xf>
    <xf numFmtId="44" fontId="22" fillId="2" borderId="2" xfId="0" applyNumberFormat="1" applyFont="1" applyFill="1" applyBorder="1" applyAlignment="1">
      <alignment horizontal="center" vertical="center"/>
    </xf>
    <xf numFmtId="44" fontId="22" fillId="2" borderId="1" xfId="0" applyNumberFormat="1" applyFont="1" applyFill="1" applyBorder="1" applyAlignment="1">
      <alignment horizontal="center" vertical="center"/>
    </xf>
    <xf numFmtId="44" fontId="22" fillId="2" borderId="4" xfId="0" applyNumberFormat="1" applyFont="1" applyFill="1" applyBorder="1" applyAlignment="1">
      <alignment horizontal="center" vertical="center"/>
    </xf>
    <xf numFmtId="4" fontId="24" fillId="22" borderId="36" xfId="0" applyNumberFormat="1" applyFont="1" applyFill="1" applyBorder="1" applyAlignment="1">
      <alignment horizontal="center" vertical="center"/>
    </xf>
    <xf numFmtId="4" fontId="24" fillId="22" borderId="33" xfId="0" applyNumberFormat="1" applyFont="1" applyFill="1" applyBorder="1" applyAlignment="1">
      <alignment horizontal="center" vertical="center"/>
    </xf>
    <xf numFmtId="4" fontId="24" fillId="22" borderId="31" xfId="0" applyNumberFormat="1" applyFont="1" applyFill="1" applyBorder="1" applyAlignment="1">
      <alignment horizontal="center" vertical="center"/>
    </xf>
    <xf numFmtId="4" fontId="24" fillId="22" borderId="36" xfId="0" applyNumberFormat="1" applyFont="1" applyFill="1" applyBorder="1" applyAlignment="1">
      <alignment horizontal="center" vertical="center"/>
    </xf>
    <xf numFmtId="4" fontId="24" fillId="22" borderId="35" xfId="0" applyNumberFormat="1" applyFont="1" applyFill="1" applyBorder="1" applyAlignment="1">
      <alignment horizontal="center" vertical="center"/>
    </xf>
    <xf numFmtId="4" fontId="24" fillId="22" borderId="32" xfId="0" applyNumberFormat="1" applyFont="1" applyFill="1" applyBorder="1" applyAlignment="1">
      <alignment horizontal="center" vertical="center"/>
    </xf>
    <xf numFmtId="4" fontId="24" fillId="22" borderId="9" xfId="0" applyNumberFormat="1" applyFont="1" applyFill="1" applyBorder="1" applyAlignment="1">
      <alignment horizontal="center" vertical="center"/>
    </xf>
    <xf numFmtId="4" fontId="24" fillId="22" borderId="2" xfId="0" applyNumberFormat="1" applyFont="1" applyFill="1" applyBorder="1" applyAlignment="1">
      <alignment horizontal="center" vertical="center"/>
    </xf>
    <xf numFmtId="4" fontId="24" fillId="22" borderId="1" xfId="0" applyNumberFormat="1" applyFont="1" applyFill="1" applyBorder="1" applyAlignment="1">
      <alignment horizontal="center" vertical="center"/>
    </xf>
    <xf numFmtId="4" fontId="24" fillId="22" borderId="4" xfId="0" applyNumberFormat="1" applyFont="1" applyFill="1" applyBorder="1" applyAlignment="1">
      <alignment horizontal="center" vertical="center"/>
    </xf>
    <xf numFmtId="4" fontId="24" fillId="22" borderId="15" xfId="0" applyNumberFormat="1" applyFont="1" applyFill="1" applyBorder="1" applyAlignment="1">
      <alignment horizontal="center" vertical="center"/>
    </xf>
    <xf numFmtId="44" fontId="23" fillId="2" borderId="4" xfId="0" applyNumberFormat="1" applyFont="1" applyFill="1" applyBorder="1" applyAlignment="1">
      <alignment horizontal="center" vertical="center"/>
    </xf>
    <xf numFmtId="44" fontId="22" fillId="2" borderId="9" xfId="0" applyNumberFormat="1" applyFont="1" applyFill="1" applyBorder="1" applyAlignment="1">
      <alignment horizontal="center" vertical="center"/>
    </xf>
    <xf numFmtId="44" fontId="22" fillId="2" borderId="2" xfId="0" applyNumberFormat="1" applyFont="1" applyFill="1" applyBorder="1" applyAlignment="1">
      <alignment horizontal="center" vertical="center"/>
    </xf>
    <xf numFmtId="44" fontId="22" fillId="2" borderId="1" xfId="0" applyNumberFormat="1" applyFont="1" applyFill="1" applyBorder="1" applyAlignment="1">
      <alignment horizontal="center" vertical="center"/>
    </xf>
    <xf numFmtId="44" fontId="22" fillId="2" borderId="4" xfId="0" applyNumberFormat="1" applyFont="1" applyFill="1" applyBorder="1" applyAlignment="1">
      <alignment horizontal="center" vertical="center"/>
    </xf>
    <xf numFmtId="44" fontId="22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 wrapText="1"/>
    </xf>
    <xf numFmtId="44" fontId="20" fillId="2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top" wrapText="1"/>
    </xf>
    <xf numFmtId="0" fontId="22" fillId="0" borderId="4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5" xfId="0" applyFont="1" applyBorder="1" applyAlignment="1">
      <alignment vertical="center" wrapText="1"/>
    </xf>
    <xf numFmtId="0" fontId="25" fillId="0" borderId="4" xfId="0" applyFont="1" applyBorder="1" applyAlignment="1">
      <alignment horizontal="center" vertical="center" wrapText="1"/>
    </xf>
    <xf numFmtId="44" fontId="36" fillId="22" borderId="0" xfId="0" applyNumberFormat="1" applyFont="1" applyFill="1" applyBorder="1" applyAlignment="1">
      <alignment horizontal="center" vertical="center" wrapText="1"/>
    </xf>
    <xf numFmtId="44" fontId="0" fillId="0" borderId="31" xfId="0" applyNumberFormat="1" applyBorder="1" applyAlignment="1">
      <alignment horizontal="center" vertical="center"/>
    </xf>
    <xf numFmtId="44" fontId="22" fillId="2" borderId="15" xfId="0" applyNumberFormat="1" applyFont="1" applyFill="1" applyBorder="1" applyAlignment="1">
      <alignment horizontal="center" vertical="center"/>
    </xf>
    <xf numFmtId="44" fontId="40" fillId="22" borderId="0" xfId="0" applyNumberFormat="1" applyFont="1" applyFill="1" applyBorder="1" applyAlignment="1">
      <alignment horizontal="left" vertical="top" wrapText="1"/>
    </xf>
    <xf numFmtId="4" fontId="24" fillId="22" borderId="92" xfId="0" applyNumberFormat="1" applyFont="1" applyFill="1" applyBorder="1" applyAlignment="1">
      <alignment horizontal="center" vertical="center"/>
    </xf>
    <xf numFmtId="44" fontId="24" fillId="22" borderId="87" xfId="0" applyNumberFormat="1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44" fontId="20" fillId="2" borderId="14" xfId="0" applyNumberFormat="1" applyFont="1" applyFill="1" applyBorder="1" applyAlignment="1">
      <alignment horizontal="center" vertical="center" wrapText="1"/>
    </xf>
    <xf numFmtId="9" fontId="26" fillId="22" borderId="31" xfId="17" applyFont="1" applyFill="1" applyBorder="1" applyAlignment="1">
      <alignment horizontal="center" vertical="center"/>
    </xf>
    <xf numFmtId="44" fontId="20" fillId="2" borderId="36" xfId="0" applyNumberFormat="1" applyFont="1" applyFill="1" applyBorder="1" applyAlignment="1">
      <alignment horizontal="center" vertical="center" textRotation="90" wrapText="1"/>
    </xf>
    <xf numFmtId="44" fontId="24" fillId="22" borderId="31" xfId="0" applyNumberFormat="1" applyFont="1" applyFill="1" applyBorder="1" applyAlignment="1">
      <alignment horizontal="center" vertical="center" wrapText="1"/>
    </xf>
    <xf numFmtId="44" fontId="20" fillId="2" borderId="1" xfId="0" applyNumberFormat="1" applyFont="1" applyFill="1" applyBorder="1" applyAlignment="1">
      <alignment horizontal="center" vertical="center" textRotation="90" wrapText="1"/>
    </xf>
    <xf numFmtId="9" fontId="24" fillId="22" borderId="76" xfId="17" applyFont="1" applyFill="1" applyBorder="1" applyAlignment="1">
      <alignment horizontal="center" vertical="center"/>
    </xf>
    <xf numFmtId="9" fontId="24" fillId="22" borderId="87" xfId="17" applyFont="1" applyFill="1" applyBorder="1" applyAlignment="1">
      <alignment horizontal="center" vertical="center"/>
    </xf>
    <xf numFmtId="44" fontId="22" fillId="22" borderId="66" xfId="0" applyNumberFormat="1" applyFont="1" applyFill="1" applyBorder="1" applyAlignment="1">
      <alignment horizontal="center" vertical="center" wrapText="1"/>
    </xf>
    <xf numFmtId="9" fontId="24" fillId="22" borderId="81" xfId="17" applyFont="1" applyFill="1" applyBorder="1" applyAlignment="1">
      <alignment horizontal="center" vertical="center"/>
    </xf>
    <xf numFmtId="44" fontId="22" fillId="2" borderId="14" xfId="0" applyNumberFormat="1" applyFont="1" applyFill="1" applyBorder="1" applyAlignment="1">
      <alignment horizontal="center" vertical="center"/>
    </xf>
    <xf numFmtId="44" fontId="22" fillId="2" borderId="2" xfId="0" applyNumberFormat="1" applyFont="1" applyFill="1" applyBorder="1" applyAlignment="1">
      <alignment horizontal="center" vertical="center"/>
    </xf>
    <xf numFmtId="44" fontId="22" fillId="2" borderId="1" xfId="0" applyNumberFormat="1" applyFont="1" applyFill="1" applyBorder="1" applyAlignment="1">
      <alignment horizontal="center" vertical="center"/>
    </xf>
    <xf numFmtId="44" fontId="22" fillId="2" borderId="4" xfId="0" applyNumberFormat="1" applyFont="1" applyFill="1" applyBorder="1" applyAlignment="1">
      <alignment horizontal="center" vertical="center"/>
    </xf>
    <xf numFmtId="44" fontId="22" fillId="2" borderId="9" xfId="0" applyNumberFormat="1" applyFont="1" applyFill="1" applyBorder="1" applyAlignment="1">
      <alignment horizontal="center" vertical="center"/>
    </xf>
    <xf numFmtId="44" fontId="22" fillId="2" borderId="15" xfId="0" applyNumberFormat="1" applyFont="1" applyFill="1" applyBorder="1" applyAlignment="1">
      <alignment horizontal="center" vertical="center"/>
    </xf>
    <xf numFmtId="44" fontId="22" fillId="2" borderId="9" xfId="0" applyNumberFormat="1" applyFont="1" applyFill="1" applyBorder="1" applyAlignment="1">
      <alignment horizontal="center" vertical="center"/>
    </xf>
    <xf numFmtId="44" fontId="22" fillId="2" borderId="1" xfId="0" applyNumberFormat="1" applyFont="1" applyFill="1" applyBorder="1" applyAlignment="1">
      <alignment horizontal="center" vertical="center"/>
    </xf>
    <xf numFmtId="44" fontId="22" fillId="2" borderId="15" xfId="0" applyNumberFormat="1" applyFont="1" applyFill="1" applyBorder="1" applyAlignment="1">
      <alignment horizontal="center" vertical="center"/>
    </xf>
    <xf numFmtId="44" fontId="22" fillId="2" borderId="5" xfId="0" applyNumberFormat="1" applyFont="1" applyFill="1" applyBorder="1" applyAlignment="1">
      <alignment horizontal="center" vertical="center"/>
    </xf>
    <xf numFmtId="44" fontId="22" fillId="2" borderId="2" xfId="0" applyNumberFormat="1" applyFont="1" applyFill="1" applyBorder="1" applyAlignment="1">
      <alignment horizontal="center" vertical="center"/>
    </xf>
    <xf numFmtId="44" fontId="22" fillId="2" borderId="4" xfId="0" applyNumberFormat="1" applyFont="1" applyFill="1" applyBorder="1" applyAlignment="1">
      <alignment horizontal="center" vertical="center"/>
    </xf>
    <xf numFmtId="4" fontId="24" fillId="22" borderId="9" xfId="0" applyNumberFormat="1" applyFont="1" applyFill="1" applyBorder="1" applyAlignment="1">
      <alignment horizontal="center" vertical="center"/>
    </xf>
    <xf numFmtId="4" fontId="24" fillId="22" borderId="1" xfId="0" applyNumberFormat="1" applyFont="1" applyFill="1" applyBorder="1" applyAlignment="1">
      <alignment horizontal="center" vertical="center"/>
    </xf>
    <xf numFmtId="4" fontId="24" fillId="22" borderId="4" xfId="0" applyNumberFormat="1" applyFont="1" applyFill="1" applyBorder="1" applyAlignment="1">
      <alignment horizontal="center" vertical="center"/>
    </xf>
    <xf numFmtId="44" fontId="22" fillId="2" borderId="8" xfId="0" applyNumberFormat="1" applyFont="1" applyFill="1" applyBorder="1" applyAlignment="1">
      <alignment horizontal="center" vertical="center"/>
    </xf>
    <xf numFmtId="4" fontId="24" fillId="22" borderId="15" xfId="0" applyNumberFormat="1" applyFont="1" applyFill="1" applyBorder="1" applyAlignment="1">
      <alignment horizontal="center" vertical="center"/>
    </xf>
    <xf numFmtId="0" fontId="40" fillId="19" borderId="0" xfId="0" applyFont="1" applyFill="1" applyAlignment="1">
      <alignment horizontal="left" vertical="top"/>
    </xf>
    <xf numFmtId="4" fontId="24" fillId="22" borderId="35" xfId="0" applyNumberFormat="1" applyFont="1" applyFill="1" applyBorder="1" applyAlignment="1">
      <alignment horizontal="center" vertical="center"/>
    </xf>
    <xf numFmtId="4" fontId="24" fillId="22" borderId="31" xfId="0" applyNumberFormat="1" applyFont="1" applyFill="1" applyBorder="1" applyAlignment="1">
      <alignment horizontal="center" vertical="center"/>
    </xf>
    <xf numFmtId="4" fontId="24" fillId="22" borderId="36" xfId="0" applyNumberFormat="1" applyFont="1" applyFill="1" applyBorder="1" applyAlignment="1">
      <alignment horizontal="center" vertical="center"/>
    </xf>
    <xf numFmtId="4" fontId="24" fillId="22" borderId="32" xfId="0" applyNumberFormat="1" applyFont="1" applyFill="1" applyBorder="1" applyAlignment="1">
      <alignment horizontal="center" vertical="center"/>
    </xf>
    <xf numFmtId="44" fontId="22" fillId="2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 wrapText="1"/>
    </xf>
    <xf numFmtId="0" fontId="6" fillId="19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9" fillId="8" borderId="69" xfId="6" applyFont="1" applyBorder="1" applyAlignment="1">
      <alignment horizontal="center" vertical="center" wrapText="1"/>
    </xf>
    <xf numFmtId="0" fontId="4" fillId="19" borderId="0" xfId="0" applyFont="1" applyFill="1" applyAlignment="1">
      <alignment horizontal="left" vertical="top"/>
    </xf>
    <xf numFmtId="44" fontId="20" fillId="2" borderId="20" xfId="0" applyNumberFormat="1" applyFont="1" applyFill="1" applyBorder="1" applyAlignment="1">
      <alignment horizontal="center" vertical="center"/>
    </xf>
    <xf numFmtId="44" fontId="20" fillId="2" borderId="19" xfId="0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horizontal="left" vertical="center" wrapText="1"/>
    </xf>
    <xf numFmtId="44" fontId="42" fillId="22" borderId="67" xfId="0" applyNumberFormat="1" applyFont="1" applyFill="1" applyBorder="1" applyAlignment="1">
      <alignment horizontal="center" vertical="center"/>
    </xf>
    <xf numFmtId="44" fontId="22" fillId="2" borderId="1" xfId="0" applyNumberFormat="1" applyFont="1" applyFill="1" applyBorder="1" applyAlignment="1">
      <alignment horizontal="center" vertical="center"/>
    </xf>
    <xf numFmtId="44" fontId="22" fillId="2" borderId="4" xfId="0" applyNumberFormat="1" applyFont="1" applyFill="1" applyBorder="1" applyAlignment="1">
      <alignment horizontal="center" vertical="center"/>
    </xf>
    <xf numFmtId="44" fontId="22" fillId="2" borderId="9" xfId="0" applyNumberFormat="1" applyFont="1" applyFill="1" applyBorder="1" applyAlignment="1">
      <alignment horizontal="center" vertical="center"/>
    </xf>
    <xf numFmtId="44" fontId="22" fillId="2" borderId="15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top" wrapText="1"/>
    </xf>
    <xf numFmtId="44" fontId="20" fillId="2" borderId="8" xfId="0" applyNumberFormat="1" applyFont="1" applyFill="1" applyBorder="1" applyAlignment="1">
      <alignment horizontal="center" vertical="center"/>
    </xf>
    <xf numFmtId="0" fontId="20" fillId="2" borderId="45" xfId="0" applyNumberFormat="1" applyFont="1" applyFill="1" applyBorder="1" applyAlignment="1">
      <alignment horizontal="center" vertical="center"/>
    </xf>
    <xf numFmtId="0" fontId="20" fillId="2" borderId="0" xfId="0" applyNumberFormat="1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top" wrapText="1"/>
    </xf>
    <xf numFmtId="44" fontId="24" fillId="22" borderId="36" xfId="0" applyNumberFormat="1" applyFont="1" applyFill="1" applyBorder="1" applyAlignment="1">
      <alignment horizontal="center" vertical="center" wrapText="1"/>
    </xf>
    <xf numFmtId="44" fontId="20" fillId="2" borderId="19" xfId="0" applyNumberFormat="1" applyFont="1" applyFill="1" applyBorder="1" applyAlignment="1">
      <alignment horizontal="center" vertical="center" textRotation="90" wrapText="1"/>
    </xf>
    <xf numFmtId="44" fontId="24" fillId="22" borderId="50" xfId="0" applyNumberFormat="1" applyFont="1" applyFill="1" applyBorder="1" applyAlignment="1">
      <alignment horizontal="center" vertical="center" wrapText="1"/>
    </xf>
    <xf numFmtId="44" fontId="22" fillId="22" borderId="83" xfId="0" applyNumberFormat="1" applyFont="1" applyFill="1" applyBorder="1" applyAlignment="1">
      <alignment horizontal="center" vertical="center" wrapText="1"/>
    </xf>
    <xf numFmtId="44" fontId="24" fillId="22" borderId="11" xfId="0" applyNumberFormat="1" applyFont="1" applyFill="1" applyBorder="1" applyAlignment="1">
      <alignment horizontal="center" vertical="center"/>
    </xf>
    <xf numFmtId="44" fontId="25" fillId="2" borderId="15" xfId="0" applyNumberFormat="1" applyFont="1" applyFill="1" applyBorder="1" applyAlignment="1">
      <alignment horizontal="center" vertical="center" wrapText="1"/>
    </xf>
    <xf numFmtId="44" fontId="24" fillId="22" borderId="8" xfId="0" applyNumberFormat="1" applyFont="1" applyFill="1" applyBorder="1" applyAlignment="1">
      <alignment horizontal="center" vertical="center"/>
    </xf>
    <xf numFmtId="44" fontId="24" fillId="22" borderId="9" xfId="0" applyNumberFormat="1" applyFont="1" applyFill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22" fillId="2" borderId="15" xfId="0" applyNumberFormat="1" applyFont="1" applyFill="1" applyBorder="1" applyAlignment="1">
      <alignment horizontal="center" vertical="top" wrapText="1"/>
    </xf>
    <xf numFmtId="44" fontId="24" fillId="22" borderId="14" xfId="0" applyNumberFormat="1" applyFont="1" applyFill="1" applyBorder="1" applyAlignment="1">
      <alignment horizontal="center" vertical="center" wrapText="1"/>
    </xf>
    <xf numFmtId="44" fontId="22" fillId="2" borderId="14" xfId="0" applyNumberFormat="1" applyFont="1" applyFill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center" textRotation="90" wrapText="1"/>
    </xf>
    <xf numFmtId="44" fontId="24" fillId="22" borderId="99" xfId="0" applyNumberFormat="1" applyFont="1" applyFill="1" applyBorder="1" applyAlignment="1">
      <alignment horizontal="center" vertical="center"/>
    </xf>
    <xf numFmtId="44" fontId="24" fillId="22" borderId="18" xfId="0" applyNumberFormat="1" applyFont="1" applyFill="1" applyBorder="1" applyAlignment="1">
      <alignment horizontal="center" vertical="center"/>
    </xf>
    <xf numFmtId="44" fontId="24" fillId="22" borderId="18" xfId="0" applyNumberFormat="1" applyFont="1" applyFill="1" applyBorder="1" applyAlignment="1">
      <alignment horizontal="center" vertical="center" wrapText="1"/>
    </xf>
    <xf numFmtId="44" fontId="24" fillId="22" borderId="97" xfId="0" applyNumberFormat="1" applyFont="1" applyFill="1" applyBorder="1" applyAlignment="1">
      <alignment horizontal="center" vertical="center"/>
    </xf>
    <xf numFmtId="44" fontId="40" fillId="0" borderId="0" xfId="0" applyNumberFormat="1" applyFont="1" applyAlignment="1">
      <alignment horizontal="center" vertical="center"/>
    </xf>
    <xf numFmtId="0" fontId="40" fillId="0" borderId="0" xfId="0" applyFont="1"/>
    <xf numFmtId="44" fontId="40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6" fillId="0" borderId="1" xfId="0" applyFont="1" applyBorder="1" applyAlignment="1">
      <alignment horizontal="center" vertical="center" wrapText="1"/>
    </xf>
    <xf numFmtId="44" fontId="36" fillId="2" borderId="4" xfId="0" applyNumberFormat="1" applyFont="1" applyFill="1" applyBorder="1" applyAlignment="1">
      <alignment horizontal="center" vertical="center" wrapText="1"/>
    </xf>
    <xf numFmtId="44" fontId="36" fillId="2" borderId="8" xfId="0" applyNumberFormat="1" applyFont="1" applyFill="1" applyBorder="1" applyAlignment="1">
      <alignment horizontal="center" vertical="center" wrapText="1"/>
    </xf>
    <xf numFmtId="44" fontId="36" fillId="2" borderId="15" xfId="0" applyNumberFormat="1" applyFont="1" applyFill="1" applyBorder="1" applyAlignment="1">
      <alignment horizontal="center" vertical="center" wrapText="1"/>
    </xf>
    <xf numFmtId="44" fontId="36" fillId="2" borderId="1" xfId="0" applyNumberFormat="1" applyFont="1" applyFill="1" applyBorder="1" applyAlignment="1">
      <alignment horizontal="center" vertical="center" wrapText="1"/>
    </xf>
    <xf numFmtId="44" fontId="36" fillId="2" borderId="14" xfId="0" applyNumberFormat="1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44" fontId="40" fillId="2" borderId="5" xfId="0" applyNumberFormat="1" applyFont="1" applyFill="1" applyBorder="1" applyAlignment="1">
      <alignment horizontal="center" vertical="center"/>
    </xf>
    <xf numFmtId="44" fontId="40" fillId="2" borderId="0" xfId="0" applyNumberFormat="1" applyFont="1" applyFill="1" applyAlignment="1">
      <alignment horizontal="center" vertical="center"/>
    </xf>
    <xf numFmtId="44" fontId="40" fillId="2" borderId="4" xfId="0" applyNumberFormat="1" applyFont="1" applyFill="1" applyBorder="1" applyAlignment="1">
      <alignment horizontal="center" vertical="center"/>
    </xf>
    <xf numFmtId="44" fontId="40" fillId="2" borderId="36" xfId="0" applyNumberFormat="1" applyFont="1" applyFill="1" applyBorder="1" applyAlignment="1">
      <alignment horizontal="center" vertical="center"/>
    </xf>
    <xf numFmtId="44" fontId="40" fillId="2" borderId="9" xfId="0" applyNumberFormat="1" applyFont="1" applyFill="1" applyBorder="1" applyAlignment="1">
      <alignment horizontal="center" vertical="center"/>
    </xf>
    <xf numFmtId="44" fontId="40" fillId="2" borderId="35" xfId="0" applyNumberFormat="1" applyFont="1" applyFill="1" applyBorder="1" applyAlignment="1">
      <alignment horizontal="center" vertical="center"/>
    </xf>
    <xf numFmtId="44" fontId="40" fillId="2" borderId="2" xfId="0" applyNumberFormat="1" applyFont="1" applyFill="1" applyBorder="1" applyAlignment="1">
      <alignment horizontal="center" vertical="center"/>
    </xf>
    <xf numFmtId="44" fontId="40" fillId="2" borderId="33" xfId="0" applyNumberFormat="1" applyFont="1" applyFill="1" applyBorder="1" applyAlignment="1">
      <alignment horizontal="center" vertical="center"/>
    </xf>
    <xf numFmtId="44" fontId="40" fillId="2" borderId="1" xfId="0" applyNumberFormat="1" applyFont="1" applyFill="1" applyBorder="1" applyAlignment="1">
      <alignment horizontal="center" vertical="center"/>
    </xf>
    <xf numFmtId="44" fontId="40" fillId="2" borderId="31" xfId="0" applyNumberFormat="1" applyFont="1" applyFill="1" applyBorder="1" applyAlignment="1">
      <alignment horizontal="center" vertical="center"/>
    </xf>
    <xf numFmtId="44" fontId="40" fillId="2" borderId="15" xfId="0" applyNumberFormat="1" applyFont="1" applyFill="1" applyBorder="1" applyAlignment="1">
      <alignment horizontal="center" vertical="center"/>
    </xf>
    <xf numFmtId="44" fontId="40" fillId="2" borderId="32" xfId="0" applyNumberFormat="1" applyFont="1" applyFill="1" applyBorder="1" applyAlignment="1">
      <alignment horizontal="center" vertical="center"/>
    </xf>
    <xf numFmtId="44" fontId="40" fillId="2" borderId="0" xfId="0" applyNumberFormat="1" applyFont="1" applyFill="1" applyBorder="1" applyAlignment="1">
      <alignment horizontal="center" vertical="center"/>
    </xf>
    <xf numFmtId="44" fontId="40" fillId="2" borderId="19" xfId="0" applyNumberFormat="1" applyFont="1" applyFill="1" applyBorder="1" applyAlignment="1">
      <alignment horizontal="center" vertical="center"/>
    </xf>
    <xf numFmtId="44" fontId="40" fillId="2" borderId="47" xfId="0" applyNumberFormat="1" applyFont="1" applyFill="1" applyBorder="1" applyAlignment="1">
      <alignment horizontal="center" vertical="center"/>
    </xf>
    <xf numFmtId="44" fontId="40" fillId="2" borderId="50" xfId="0" applyNumberFormat="1" applyFont="1" applyFill="1" applyBorder="1" applyAlignment="1">
      <alignment horizontal="center" vertical="center"/>
    </xf>
    <xf numFmtId="44" fontId="40" fillId="2" borderId="64" xfId="0" applyNumberFormat="1" applyFont="1" applyFill="1" applyBorder="1" applyAlignment="1">
      <alignment horizontal="center" vertical="center"/>
    </xf>
    <xf numFmtId="44" fontId="22" fillId="2" borderId="0" xfId="0" applyNumberFormat="1" applyFont="1" applyFill="1" applyBorder="1" applyAlignment="1">
      <alignment horizontal="center" vertical="center"/>
    </xf>
    <xf numFmtId="0" fontId="22" fillId="0" borderId="78" xfId="0" applyFont="1" applyBorder="1" applyAlignment="1">
      <alignment horizontal="left" vertical="center" wrapText="1"/>
    </xf>
    <xf numFmtId="44" fontId="24" fillId="22" borderId="3" xfId="0" applyNumberFormat="1" applyFont="1" applyFill="1" applyBorder="1" applyAlignment="1">
      <alignment horizontal="center" vertical="center"/>
    </xf>
    <xf numFmtId="44" fontId="24" fillId="22" borderId="71" xfId="0" applyNumberFormat="1" applyFont="1" applyFill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44" fontId="24" fillId="22" borderId="74" xfId="0" applyNumberFormat="1" applyFont="1" applyFill="1" applyBorder="1" applyAlignment="1">
      <alignment horizontal="center" vertical="center"/>
    </xf>
    <xf numFmtId="44" fontId="24" fillId="22" borderId="22" xfId="0" applyNumberFormat="1" applyFont="1" applyFill="1" applyBorder="1" applyAlignment="1">
      <alignment horizontal="center" vertical="center"/>
    </xf>
    <xf numFmtId="44" fontId="24" fillId="22" borderId="7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left" vertical="top"/>
    </xf>
    <xf numFmtId="0" fontId="40" fillId="0" borderId="0" xfId="0" applyFont="1" applyFill="1" applyAlignment="1">
      <alignment vertical="top"/>
    </xf>
    <xf numFmtId="0" fontId="45" fillId="0" borderId="0" xfId="0" applyFont="1" applyFill="1" applyAlignment="1">
      <alignment horizontal="left" vertical="top"/>
    </xf>
    <xf numFmtId="0" fontId="45" fillId="0" borderId="0" xfId="0" applyFont="1" applyFill="1" applyAlignment="1">
      <alignment vertical="top"/>
    </xf>
    <xf numFmtId="0" fontId="4" fillId="0" borderId="0" xfId="0" applyFont="1" applyFill="1"/>
    <xf numFmtId="44" fontId="20" fillId="0" borderId="15" xfId="0" applyNumberFormat="1" applyFont="1" applyBorder="1" applyAlignment="1">
      <alignment horizontal="center" vertical="center" textRotation="90"/>
    </xf>
    <xf numFmtId="44" fontId="22" fillId="2" borderId="32" xfId="0" applyNumberFormat="1" applyFont="1" applyFill="1" applyBorder="1" applyAlignment="1">
      <alignment horizontal="center" vertical="center"/>
    </xf>
    <xf numFmtId="0" fontId="34" fillId="25" borderId="0" xfId="18" applyFill="1" applyAlignment="1">
      <alignment horizontal="left"/>
    </xf>
    <xf numFmtId="44" fontId="22" fillId="2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/>
    </xf>
    <xf numFmtId="0" fontId="34" fillId="23" borderId="0" xfId="18" applyFill="1" applyAlignment="1">
      <alignment horizontal="left"/>
    </xf>
    <xf numFmtId="44" fontId="22" fillId="2" borderId="8" xfId="0" applyNumberFormat="1" applyFont="1" applyFill="1" applyBorder="1" applyAlignment="1">
      <alignment horizontal="center" vertical="center"/>
    </xf>
    <xf numFmtId="44" fontId="22" fillId="2" borderId="14" xfId="0" applyNumberFormat="1" applyFont="1" applyFill="1" applyBorder="1" applyAlignment="1">
      <alignment horizontal="center" vertical="center"/>
    </xf>
    <xf numFmtId="4" fontId="24" fillId="22" borderId="35" xfId="0" applyNumberFormat="1" applyFont="1" applyFill="1" applyBorder="1" applyAlignment="1">
      <alignment horizontal="center" vertical="center"/>
    </xf>
    <xf numFmtId="4" fontId="24" fillId="22" borderId="31" xfId="0" applyNumberFormat="1" applyFont="1" applyFill="1" applyBorder="1" applyAlignment="1">
      <alignment horizontal="center" vertical="center"/>
    </xf>
    <xf numFmtId="4" fontId="24" fillId="22" borderId="9" xfId="0" applyNumberFormat="1" applyFont="1" applyFill="1" applyBorder="1" applyAlignment="1">
      <alignment horizontal="center" vertical="center"/>
    </xf>
    <xf numFmtId="4" fontId="24" fillId="22" borderId="1" xfId="0" applyNumberFormat="1" applyFont="1" applyFill="1" applyBorder="1" applyAlignment="1">
      <alignment horizontal="center" vertical="center"/>
    </xf>
    <xf numFmtId="4" fontId="24" fillId="22" borderId="5" xfId="0" applyNumberFormat="1" applyFont="1" applyFill="1" applyBorder="1" applyAlignment="1">
      <alignment horizontal="center" vertical="center"/>
    </xf>
    <xf numFmtId="4" fontId="24" fillId="22" borderId="19" xfId="0" applyNumberFormat="1" applyFont="1" applyFill="1" applyBorder="1" applyAlignment="1">
      <alignment horizontal="center" vertical="center"/>
    </xf>
    <xf numFmtId="44" fontId="22" fillId="2" borderId="2" xfId="0" applyNumberFormat="1" applyFont="1" applyFill="1" applyBorder="1" applyAlignment="1">
      <alignment horizontal="center" vertical="center"/>
    </xf>
    <xf numFmtId="44" fontId="22" fillId="2" borderId="1" xfId="0" applyNumberFormat="1" applyFont="1" applyFill="1" applyBorder="1" applyAlignment="1">
      <alignment horizontal="center" vertical="center"/>
    </xf>
    <xf numFmtId="44" fontId="22" fillId="2" borderId="4" xfId="0" applyNumberFormat="1" applyFont="1" applyFill="1" applyBorder="1" applyAlignment="1">
      <alignment horizontal="center" vertical="center"/>
    </xf>
    <xf numFmtId="44" fontId="22" fillId="2" borderId="9" xfId="0" applyNumberFormat="1" applyFont="1" applyFill="1" applyBorder="1" applyAlignment="1">
      <alignment horizontal="center" vertical="center"/>
    </xf>
    <xf numFmtId="44" fontId="22" fillId="2" borderId="15" xfId="0" applyNumberFormat="1" applyFont="1" applyFill="1" applyBorder="1" applyAlignment="1">
      <alignment horizontal="center" vertical="center"/>
    </xf>
    <xf numFmtId="9" fontId="24" fillId="22" borderId="3" xfId="17" applyFont="1" applyFill="1" applyBorder="1" applyAlignment="1">
      <alignment horizontal="center" vertical="center"/>
    </xf>
    <xf numFmtId="44" fontId="20" fillId="22" borderId="3" xfId="0" applyNumberFormat="1" applyFont="1" applyFill="1" applyBorder="1" applyAlignment="1">
      <alignment horizontal="left" vertical="top" wrapText="1"/>
    </xf>
    <xf numFmtId="44" fontId="40" fillId="22" borderId="34" xfId="0" applyNumberFormat="1" applyFont="1" applyFill="1" applyBorder="1" applyAlignment="1">
      <alignment horizontal="left" vertical="center" wrapText="1"/>
    </xf>
    <xf numFmtId="44" fontId="40" fillId="22" borderId="45" xfId="0" applyNumberFormat="1" applyFont="1" applyFill="1" applyBorder="1" applyAlignment="1">
      <alignment horizontal="left" vertical="center" wrapText="1"/>
    </xf>
    <xf numFmtId="44" fontId="20" fillId="2" borderId="15" xfId="0" applyNumberFormat="1" applyFont="1" applyFill="1" applyBorder="1" applyAlignment="1">
      <alignment horizontal="left" vertical="center" wrapText="1"/>
    </xf>
    <xf numFmtId="44" fontId="40" fillId="22" borderId="66" xfId="0" applyNumberFormat="1" applyFont="1" applyFill="1" applyBorder="1" applyAlignment="1">
      <alignment horizontal="left" vertical="center" wrapText="1"/>
    </xf>
    <xf numFmtId="44" fontId="20" fillId="22" borderId="34" xfId="0" applyNumberFormat="1" applyFont="1" applyFill="1" applyBorder="1" applyAlignment="1">
      <alignment horizontal="left" vertical="top" wrapText="1"/>
    </xf>
    <xf numFmtId="44" fontId="20" fillId="22" borderId="34" xfId="0" applyNumberFormat="1" applyFont="1" applyFill="1" applyBorder="1" applyAlignment="1">
      <alignment horizontal="center" vertical="center" wrapText="1"/>
    </xf>
    <xf numFmtId="44" fontId="20" fillId="22" borderId="47" xfId="0" applyNumberFormat="1" applyFont="1" applyFill="1" applyBorder="1" applyAlignment="1">
      <alignment horizontal="center" vertical="center" wrapText="1"/>
    </xf>
    <xf numFmtId="44" fontId="22" fillId="22" borderId="71" xfId="0" applyNumberFormat="1" applyFont="1" applyFill="1" applyBorder="1" applyAlignment="1">
      <alignment horizontal="center" vertical="center" wrapText="1"/>
    </xf>
    <xf numFmtId="44" fontId="22" fillId="22" borderId="34" xfId="0" applyNumberFormat="1" applyFont="1" applyFill="1" applyBorder="1" applyAlignment="1">
      <alignment horizontal="center" vertical="center" wrapText="1"/>
    </xf>
    <xf numFmtId="44" fontId="22" fillId="22" borderId="47" xfId="0" applyNumberFormat="1" applyFont="1" applyFill="1" applyBorder="1" applyAlignment="1">
      <alignment horizontal="center" vertical="center" wrapText="1"/>
    </xf>
    <xf numFmtId="44" fontId="20" fillId="2" borderId="4" xfId="0" applyNumberFormat="1" applyFont="1" applyFill="1" applyBorder="1" applyAlignment="1">
      <alignment horizontal="center" vertical="center" textRotation="90" wrapText="1"/>
    </xf>
    <xf numFmtId="9" fontId="24" fillId="22" borderId="77" xfId="17" applyFont="1" applyFill="1" applyBorder="1" applyAlignment="1">
      <alignment horizontal="center" vertical="center"/>
    </xf>
    <xf numFmtId="44" fontId="36" fillId="2" borderId="4" xfId="0" applyNumberFormat="1" applyFont="1" applyFill="1" applyBorder="1" applyAlignment="1">
      <alignment horizontal="center" vertical="top" wrapText="1"/>
    </xf>
    <xf numFmtId="44" fontId="23" fillId="2" borderId="1" xfId="0" applyNumberFormat="1" applyFont="1" applyFill="1" applyBorder="1" applyAlignment="1">
      <alignment horizontal="center" vertical="center"/>
    </xf>
    <xf numFmtId="44" fontId="24" fillId="22" borderId="95" xfId="0" applyNumberFormat="1" applyFont="1" applyFill="1" applyBorder="1" applyAlignment="1">
      <alignment horizontal="center" vertical="center"/>
    </xf>
    <xf numFmtId="44" fontId="24" fillId="22" borderId="95" xfId="0" applyNumberFormat="1" applyFont="1" applyFill="1" applyBorder="1" applyAlignment="1">
      <alignment horizontal="center" vertical="center" wrapText="1"/>
    </xf>
    <xf numFmtId="44" fontId="24" fillId="22" borderId="96" xfId="0" applyNumberFormat="1" applyFont="1" applyFill="1" applyBorder="1" applyAlignment="1">
      <alignment horizontal="center" vertical="center" wrapText="1"/>
    </xf>
    <xf numFmtId="44" fontId="24" fillId="22" borderId="101" xfId="0" applyNumberFormat="1" applyFont="1" applyFill="1" applyBorder="1" applyAlignment="1">
      <alignment horizontal="center" vertical="center"/>
    </xf>
    <xf numFmtId="44" fontId="24" fillId="22" borderId="24" xfId="0" applyNumberFormat="1" applyFont="1" applyFill="1" applyBorder="1" applyAlignment="1">
      <alignment horizontal="center" vertical="center"/>
    </xf>
    <xf numFmtId="44" fontId="22" fillId="0" borderId="36" xfId="0" applyNumberFormat="1" applyFont="1" applyFill="1" applyBorder="1" applyAlignment="1">
      <alignment horizontal="center" vertical="center"/>
    </xf>
    <xf numFmtId="0" fontId="20" fillId="2" borderId="8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/>
    </xf>
    <xf numFmtId="3" fontId="20" fillId="2" borderId="5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3" fontId="20" fillId="2" borderId="8" xfId="0" applyNumberFormat="1" applyFont="1" applyFill="1" applyBorder="1" applyAlignment="1">
      <alignment horizontal="center" vertical="center"/>
    </xf>
    <xf numFmtId="3" fontId="20" fillId="2" borderId="14" xfId="0" applyNumberFormat="1" applyFont="1" applyFill="1" applyBorder="1" applyAlignment="1">
      <alignment horizontal="center" vertical="center"/>
    </xf>
    <xf numFmtId="44" fontId="22" fillId="2" borderId="8" xfId="0" applyNumberFormat="1" applyFont="1" applyFill="1" applyBorder="1" applyAlignment="1">
      <alignment horizontal="center" vertical="center"/>
    </xf>
    <xf numFmtId="44" fontId="22" fillId="2" borderId="5" xfId="0" applyNumberFormat="1" applyFont="1" applyFill="1" applyBorder="1" applyAlignment="1">
      <alignment horizontal="center" vertical="center"/>
    </xf>
    <xf numFmtId="44" fontId="22" fillId="2" borderId="14" xfId="0" applyNumberFormat="1" applyFont="1" applyFill="1" applyBorder="1" applyAlignment="1">
      <alignment horizontal="center" vertical="center"/>
    </xf>
    <xf numFmtId="44" fontId="24" fillId="23" borderId="7" xfId="0" applyNumberFormat="1" applyFont="1" applyFill="1" applyBorder="1" applyAlignment="1">
      <alignment horizontal="center" vertical="center"/>
    </xf>
    <xf numFmtId="44" fontId="24" fillId="23" borderId="11" xfId="0" applyNumberFormat="1" applyFont="1" applyFill="1" applyBorder="1" applyAlignment="1">
      <alignment horizontal="center" vertical="center"/>
    </xf>
    <xf numFmtId="44" fontId="24" fillId="23" borderId="13" xfId="0" applyNumberFormat="1" applyFont="1" applyFill="1" applyBorder="1" applyAlignment="1">
      <alignment horizontal="center" vertical="center"/>
    </xf>
    <xf numFmtId="44" fontId="24" fillId="23" borderId="10" xfId="0" applyNumberFormat="1" applyFont="1" applyFill="1" applyBorder="1" applyAlignment="1">
      <alignment horizontal="center" vertical="center"/>
    </xf>
    <xf numFmtId="44" fontId="24" fillId="23" borderId="12" xfId="0" applyNumberFormat="1" applyFont="1" applyFill="1" applyBorder="1" applyAlignment="1">
      <alignment horizontal="center" vertical="center"/>
    </xf>
    <xf numFmtId="44" fontId="24" fillId="23" borderId="16" xfId="0" applyNumberFormat="1" applyFont="1" applyFill="1" applyBorder="1" applyAlignment="1">
      <alignment horizontal="center" vertical="center"/>
    </xf>
    <xf numFmtId="44" fontId="24" fillId="23" borderId="21" xfId="0" applyNumberFormat="1" applyFont="1" applyFill="1" applyBorder="1" applyAlignment="1">
      <alignment horizontal="center" vertical="center"/>
    </xf>
    <xf numFmtId="44" fontId="24" fillId="23" borderId="30" xfId="0" applyNumberFormat="1" applyFont="1" applyFill="1" applyBorder="1" applyAlignment="1">
      <alignment horizontal="center" vertical="center"/>
    </xf>
    <xf numFmtId="44" fontId="24" fillId="23" borderId="40" xfId="0" applyNumberFormat="1" applyFont="1" applyFill="1" applyBorder="1" applyAlignment="1">
      <alignment horizontal="center" vertical="center"/>
    </xf>
    <xf numFmtId="44" fontId="24" fillId="23" borderId="22" xfId="0" applyNumberFormat="1" applyFont="1" applyFill="1" applyBorder="1" applyAlignment="1">
      <alignment horizontal="center" vertical="center"/>
    </xf>
    <xf numFmtId="44" fontId="24" fillId="23" borderId="17" xfId="0" applyNumberFormat="1" applyFont="1" applyFill="1" applyBorder="1" applyAlignment="1">
      <alignment horizontal="center" vertical="center"/>
    </xf>
    <xf numFmtId="44" fontId="24" fillId="23" borderId="18" xfId="0" applyNumberFormat="1" applyFont="1" applyFill="1" applyBorder="1" applyAlignment="1">
      <alignment horizontal="center" vertical="center"/>
    </xf>
    <xf numFmtId="44" fontId="24" fillId="23" borderId="41" xfId="0" applyNumberFormat="1" applyFont="1" applyFill="1" applyBorder="1" applyAlignment="1">
      <alignment horizontal="center" vertical="center"/>
    </xf>
    <xf numFmtId="44" fontId="24" fillId="23" borderId="23" xfId="0" applyNumberFormat="1" applyFont="1" applyFill="1" applyBorder="1" applyAlignment="1">
      <alignment horizontal="center" vertical="center"/>
    </xf>
    <xf numFmtId="4" fontId="24" fillId="22" borderId="35" xfId="0" applyNumberFormat="1" applyFont="1" applyFill="1" applyBorder="1" applyAlignment="1">
      <alignment horizontal="center" vertical="center"/>
    </xf>
    <xf numFmtId="4" fontId="24" fillId="22" borderId="31" xfId="0" applyNumberFormat="1" applyFont="1" applyFill="1" applyBorder="1" applyAlignment="1">
      <alignment horizontal="center" vertical="center"/>
    </xf>
    <xf numFmtId="4" fontId="24" fillId="22" borderId="32" xfId="0" applyNumberFormat="1" applyFont="1" applyFill="1" applyBorder="1" applyAlignment="1">
      <alignment horizontal="center" vertical="center"/>
    </xf>
    <xf numFmtId="4" fontId="24" fillId="22" borderId="36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3" fontId="20" fillId="2" borderId="2" xfId="0" applyNumberFormat="1" applyFont="1" applyFill="1" applyBorder="1" applyAlignment="1">
      <alignment horizontal="center" vertical="center"/>
    </xf>
    <xf numFmtId="3" fontId="20" fillId="2" borderId="1" xfId="0" applyNumberFormat="1" applyFont="1" applyFill="1" applyBorder="1" applyAlignment="1">
      <alignment horizontal="center" vertical="center"/>
    </xf>
    <xf numFmtId="3" fontId="20" fillId="2" borderId="4" xfId="0" applyNumberFormat="1" applyFont="1" applyFill="1" applyBorder="1" applyAlignment="1">
      <alignment horizontal="center" vertical="center"/>
    </xf>
    <xf numFmtId="0" fontId="40" fillId="19" borderId="0" xfId="0" applyFont="1" applyFill="1" applyAlignment="1">
      <alignment horizontal="left" vertical="top"/>
    </xf>
    <xf numFmtId="0" fontId="40" fillId="19" borderId="0" xfId="0" applyFont="1" applyFill="1" applyAlignment="1">
      <alignment horizontal="center" vertical="top"/>
    </xf>
    <xf numFmtId="44" fontId="6" fillId="21" borderId="60" xfId="20" applyNumberFormat="1" applyBorder="1" applyAlignment="1">
      <alignment horizontal="left" vertical="top" wrapText="1"/>
    </xf>
    <xf numFmtId="4" fontId="24" fillId="22" borderId="9" xfId="0" applyNumberFormat="1" applyFont="1" applyFill="1" applyBorder="1" applyAlignment="1">
      <alignment horizontal="center" vertical="center"/>
    </xf>
    <xf numFmtId="4" fontId="24" fillId="22" borderId="2" xfId="0" applyNumberFormat="1" applyFont="1" applyFill="1" applyBorder="1" applyAlignment="1">
      <alignment horizontal="center" vertical="center"/>
    </xf>
    <xf numFmtId="4" fontId="24" fillId="22" borderId="1" xfId="0" applyNumberFormat="1" applyFont="1" applyFill="1" applyBorder="1" applyAlignment="1">
      <alignment horizontal="center" vertical="center"/>
    </xf>
    <xf numFmtId="4" fontId="24" fillId="22" borderId="4" xfId="0" applyNumberFormat="1" applyFont="1" applyFill="1" applyBorder="1" applyAlignment="1">
      <alignment horizontal="center" vertical="center"/>
    </xf>
    <xf numFmtId="4" fontId="24" fillId="22" borderId="15" xfId="0" applyNumberFormat="1" applyFont="1" applyFill="1" applyBorder="1" applyAlignment="1">
      <alignment horizontal="center" vertical="center"/>
    </xf>
    <xf numFmtId="4" fontId="24" fillId="22" borderId="8" xfId="0" applyNumberFormat="1" applyFont="1" applyFill="1" applyBorder="1" applyAlignment="1">
      <alignment horizontal="center" vertical="center"/>
    </xf>
    <xf numFmtId="4" fontId="24" fillId="22" borderId="5" xfId="0" applyNumberFormat="1" applyFont="1" applyFill="1" applyBorder="1" applyAlignment="1">
      <alignment horizontal="center" vertical="center"/>
    </xf>
    <xf numFmtId="4" fontId="24" fillId="22" borderId="14" xfId="0" applyNumberFormat="1" applyFont="1" applyFill="1" applyBorder="1" applyAlignment="1">
      <alignment horizontal="center" vertical="center"/>
    </xf>
    <xf numFmtId="4" fontId="24" fillId="22" borderId="33" xfId="0" applyNumberFormat="1" applyFont="1" applyFill="1" applyBorder="1" applyAlignment="1">
      <alignment horizontal="center" vertical="center"/>
    </xf>
    <xf numFmtId="44" fontId="19" fillId="8" borderId="35" xfId="6" applyNumberFormat="1" applyFont="1" applyBorder="1" applyAlignment="1">
      <alignment horizontal="center" vertical="center" wrapText="1"/>
    </xf>
    <xf numFmtId="44" fontId="19" fillId="8" borderId="36" xfId="6" applyNumberFormat="1" applyFont="1" applyBorder="1" applyAlignment="1">
      <alignment horizontal="center" vertical="center" wrapText="1"/>
    </xf>
    <xf numFmtId="4" fontId="24" fillId="22" borderId="20" xfId="0" applyNumberFormat="1" applyFont="1" applyFill="1" applyBorder="1" applyAlignment="1">
      <alignment horizontal="center" vertical="center"/>
    </xf>
    <xf numFmtId="4" fontId="24" fillId="22" borderId="19" xfId="0" applyNumberFormat="1" applyFont="1" applyFill="1" applyBorder="1" applyAlignment="1">
      <alignment horizontal="center" vertical="center"/>
    </xf>
    <xf numFmtId="4" fontId="24" fillId="22" borderId="50" xfId="0" applyNumberFormat="1" applyFont="1" applyFill="1" applyBorder="1" applyAlignment="1">
      <alignment horizontal="center" vertical="center"/>
    </xf>
    <xf numFmtId="9" fontId="19" fillId="8" borderId="36" xfId="6" applyNumberFormat="1" applyFont="1" applyBorder="1" applyAlignment="1">
      <alignment horizontal="center" vertical="center" wrapText="1"/>
    </xf>
    <xf numFmtId="9" fontId="19" fillId="8" borderId="64" xfId="6" applyNumberFormat="1" applyFont="1" applyBorder="1" applyAlignment="1">
      <alignment horizontal="center" vertical="center" wrapText="1"/>
    </xf>
    <xf numFmtId="9" fontId="19" fillId="8" borderId="19" xfId="6" applyNumberFormat="1" applyFont="1" applyBorder="1" applyAlignment="1">
      <alignment horizontal="center" vertical="center" wrapText="1"/>
    </xf>
    <xf numFmtId="9" fontId="19" fillId="8" borderId="51" xfId="6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3" fontId="20" fillId="2" borderId="9" xfId="0" applyNumberFormat="1" applyFont="1" applyFill="1" applyBorder="1" applyAlignment="1">
      <alignment horizontal="center" vertical="center"/>
    </xf>
    <xf numFmtId="3" fontId="20" fillId="2" borderId="15" xfId="0" applyNumberFormat="1" applyFont="1" applyFill="1" applyBorder="1" applyAlignment="1">
      <alignment horizontal="center" vertical="center"/>
    </xf>
    <xf numFmtId="164" fontId="24" fillId="11" borderId="89" xfId="0" applyNumberFormat="1" applyFont="1" applyFill="1" applyBorder="1" applyAlignment="1">
      <alignment horizontal="right" vertical="center" wrapText="1"/>
    </xf>
    <xf numFmtId="164" fontId="24" fillId="11" borderId="90" xfId="0" applyNumberFormat="1" applyFont="1" applyFill="1" applyBorder="1" applyAlignment="1">
      <alignment horizontal="right" vertical="center" wrapText="1"/>
    </xf>
    <xf numFmtId="164" fontId="24" fillId="11" borderId="47" xfId="0" applyNumberFormat="1" applyFont="1" applyFill="1" applyBorder="1" applyAlignment="1">
      <alignment horizontal="right" vertical="center" wrapText="1"/>
    </xf>
    <xf numFmtId="0" fontId="19" fillId="8" borderId="9" xfId="6" applyFont="1" applyBorder="1" applyAlignment="1">
      <alignment horizontal="center" vertical="center" wrapText="1"/>
    </xf>
    <xf numFmtId="0" fontId="19" fillId="8" borderId="4" xfId="6" applyFont="1" applyBorder="1" applyAlignment="1">
      <alignment horizontal="center" vertical="center" wrapText="1"/>
    </xf>
    <xf numFmtId="44" fontId="31" fillId="2" borderId="9" xfId="0" applyNumberFormat="1" applyFont="1" applyFill="1" applyBorder="1" applyAlignment="1">
      <alignment horizontal="center" vertical="center"/>
    </xf>
    <xf numFmtId="44" fontId="31" fillId="2" borderId="1" xfId="0" applyNumberFormat="1" applyFont="1" applyFill="1" applyBorder="1" applyAlignment="1">
      <alignment horizontal="center" vertical="center"/>
    </xf>
    <xf numFmtId="44" fontId="31" fillId="2" borderId="4" xfId="0" applyNumberFormat="1" applyFont="1" applyFill="1" applyBorder="1" applyAlignment="1">
      <alignment horizontal="center" vertical="center"/>
    </xf>
    <xf numFmtId="44" fontId="31" fillId="2" borderId="15" xfId="0" applyNumberFormat="1" applyFont="1" applyFill="1" applyBorder="1" applyAlignment="1">
      <alignment horizontal="center" vertical="center"/>
    </xf>
    <xf numFmtId="44" fontId="22" fillId="2" borderId="2" xfId="0" applyNumberFormat="1" applyFont="1" applyFill="1" applyBorder="1" applyAlignment="1">
      <alignment horizontal="center" vertical="center"/>
    </xf>
    <xf numFmtId="44" fontId="22" fillId="2" borderId="1" xfId="0" applyNumberFormat="1" applyFont="1" applyFill="1" applyBorder="1" applyAlignment="1">
      <alignment horizontal="center" vertical="center"/>
    </xf>
    <xf numFmtId="44" fontId="22" fillId="2" borderId="4" xfId="0" applyNumberFormat="1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0" fontId="20" fillId="2" borderId="40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0" fillId="2" borderId="48" xfId="0" applyFont="1" applyFill="1" applyBorder="1" applyAlignment="1">
      <alignment horizontal="center" vertical="center"/>
    </xf>
    <xf numFmtId="0" fontId="20" fillId="2" borderId="79" xfId="0" applyFont="1" applyFill="1" applyBorder="1" applyAlignment="1">
      <alignment horizontal="center" vertical="center"/>
    </xf>
    <xf numFmtId="0" fontId="20" fillId="2" borderId="87" xfId="0" applyFont="1" applyFill="1" applyBorder="1" applyAlignment="1">
      <alignment horizontal="center" vertical="center"/>
    </xf>
    <xf numFmtId="0" fontId="20" fillId="2" borderId="76" xfId="0" applyFont="1" applyFill="1" applyBorder="1" applyAlignment="1">
      <alignment horizontal="center" vertical="center"/>
    </xf>
    <xf numFmtId="0" fontId="20" fillId="2" borderId="77" xfId="0" applyFont="1" applyFill="1" applyBorder="1" applyAlignment="1">
      <alignment horizontal="center" vertical="center"/>
    </xf>
    <xf numFmtId="0" fontId="20" fillId="2" borderId="80" xfId="0" applyFont="1" applyFill="1" applyBorder="1" applyAlignment="1">
      <alignment horizontal="center" vertical="center"/>
    </xf>
    <xf numFmtId="4" fontId="24" fillId="23" borderId="17" xfId="0" applyNumberFormat="1" applyFont="1" applyFill="1" applyBorder="1" applyAlignment="1">
      <alignment horizontal="center" vertical="center"/>
    </xf>
    <xf numFmtId="4" fontId="24" fillId="23" borderId="18" xfId="0" applyNumberFormat="1" applyFont="1" applyFill="1" applyBorder="1" applyAlignment="1">
      <alignment horizontal="center" vertical="center"/>
    </xf>
    <xf numFmtId="4" fontId="24" fillId="23" borderId="41" xfId="0" applyNumberFormat="1" applyFont="1" applyFill="1" applyBorder="1" applyAlignment="1">
      <alignment horizontal="center" vertical="center"/>
    </xf>
    <xf numFmtId="4" fontId="24" fillId="23" borderId="23" xfId="0" applyNumberFormat="1" applyFont="1" applyFill="1" applyBorder="1" applyAlignment="1">
      <alignment horizontal="center" vertical="center"/>
    </xf>
    <xf numFmtId="44" fontId="19" fillId="8" borderId="21" xfId="6" applyNumberFormat="1" applyFont="1" applyBorder="1" applyAlignment="1">
      <alignment horizontal="center" vertical="center" wrapText="1"/>
    </xf>
    <xf numFmtId="44" fontId="19" fillId="8" borderId="17" xfId="6" applyNumberFormat="1" applyFont="1" applyBorder="1" applyAlignment="1">
      <alignment horizontal="center" vertical="center" wrapText="1"/>
    </xf>
    <xf numFmtId="44" fontId="24" fillId="23" borderId="49" xfId="0" applyNumberFormat="1" applyFont="1" applyFill="1" applyBorder="1" applyAlignment="1">
      <alignment horizontal="center" vertical="center"/>
    </xf>
    <xf numFmtId="0" fontId="21" fillId="7" borderId="9" xfId="0" applyFont="1" applyFill="1" applyBorder="1" applyAlignment="1">
      <alignment horizontal="left" vertical="center" wrapText="1"/>
    </xf>
    <xf numFmtId="0" fontId="21" fillId="7" borderId="2" xfId="0" applyFont="1" applyFill="1" applyBorder="1" applyAlignment="1">
      <alignment horizontal="left" vertical="center" wrapText="1"/>
    </xf>
    <xf numFmtId="0" fontId="21" fillId="7" borderId="1" xfId="0" applyFont="1" applyFill="1" applyBorder="1" applyAlignment="1">
      <alignment horizontal="left" vertical="center" wrapText="1"/>
    </xf>
    <xf numFmtId="0" fontId="21" fillId="7" borderId="4" xfId="0" applyFont="1" applyFill="1" applyBorder="1" applyAlignment="1">
      <alignment horizontal="left" vertical="center" wrapText="1"/>
    </xf>
    <xf numFmtId="44" fontId="24" fillId="23" borderId="63" xfId="0" applyNumberFormat="1" applyFont="1" applyFill="1" applyBorder="1" applyAlignment="1">
      <alignment horizontal="center" vertical="center"/>
    </xf>
    <xf numFmtId="44" fontId="24" fillId="23" borderId="48" xfId="0" applyNumberFormat="1" applyFont="1" applyFill="1" applyBorder="1" applyAlignment="1">
      <alignment horizontal="center" vertical="center"/>
    </xf>
    <xf numFmtId="44" fontId="22" fillId="2" borderId="9" xfId="0" applyNumberFormat="1" applyFont="1" applyFill="1" applyBorder="1" applyAlignment="1">
      <alignment horizontal="center" vertical="center"/>
    </xf>
    <xf numFmtId="44" fontId="22" fillId="2" borderId="15" xfId="0" applyNumberFormat="1" applyFont="1" applyFill="1" applyBorder="1" applyAlignment="1">
      <alignment horizontal="center" vertical="center"/>
    </xf>
    <xf numFmtId="0" fontId="21" fillId="7" borderId="2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 wrapText="1"/>
    </xf>
    <xf numFmtId="4" fontId="24" fillId="22" borderId="52" xfId="0" applyNumberFormat="1" applyFont="1" applyFill="1" applyBorder="1" applyAlignment="1">
      <alignment horizontal="center" vertical="center"/>
    </xf>
    <xf numFmtId="4" fontId="24" fillId="22" borderId="51" xfId="0" applyNumberFormat="1" applyFont="1" applyFill="1" applyBorder="1" applyAlignment="1">
      <alignment horizontal="center" vertical="center"/>
    </xf>
    <xf numFmtId="4" fontId="24" fillId="22" borderId="53" xfId="0" applyNumberFormat="1" applyFont="1" applyFill="1" applyBorder="1" applyAlignment="1">
      <alignment horizontal="center" vertical="center"/>
    </xf>
    <xf numFmtId="44" fontId="31" fillId="2" borderId="2" xfId="0" applyNumberFormat="1" applyFont="1" applyFill="1" applyBorder="1" applyAlignment="1">
      <alignment horizontal="center" vertical="center"/>
    </xf>
    <xf numFmtId="0" fontId="18" fillId="0" borderId="46" xfId="9" applyAlignment="1">
      <alignment horizontal="center"/>
    </xf>
    <xf numFmtId="9" fontId="19" fillId="8" borderId="10" xfId="6" applyNumberFormat="1" applyFont="1" applyBorder="1" applyAlignment="1">
      <alignment horizontal="center" vertical="center" wrapText="1"/>
    </xf>
    <xf numFmtId="9" fontId="19" fillId="8" borderId="12" xfId="6" applyNumberFormat="1" applyFont="1" applyBorder="1" applyAlignment="1">
      <alignment horizontal="center" vertical="center" wrapText="1"/>
    </xf>
    <xf numFmtId="0" fontId="19" fillId="8" borderId="8" xfId="6" applyFont="1" applyBorder="1" applyAlignment="1">
      <alignment horizontal="center" vertical="center" wrapText="1"/>
    </xf>
    <xf numFmtId="0" fontId="19" fillId="8" borderId="5" xfId="6" applyFont="1" applyBorder="1" applyAlignment="1">
      <alignment horizontal="center" vertical="center" wrapText="1"/>
    </xf>
    <xf numFmtId="9" fontId="19" fillId="8" borderId="7" xfId="6" applyNumberFormat="1" applyFont="1" applyBorder="1" applyAlignment="1">
      <alignment horizontal="center" vertical="center" wrapText="1"/>
    </xf>
    <xf numFmtId="9" fontId="19" fillId="8" borderId="11" xfId="6" applyNumberFormat="1" applyFont="1" applyBorder="1" applyAlignment="1">
      <alignment horizontal="center" vertical="center" wrapText="1"/>
    </xf>
    <xf numFmtId="9" fontId="19" fillId="8" borderId="8" xfId="6" applyNumberFormat="1" applyFont="1" applyBorder="1" applyAlignment="1">
      <alignment horizontal="center" vertical="center" wrapText="1"/>
    </xf>
    <xf numFmtId="9" fontId="19" fillId="8" borderId="5" xfId="6" applyNumberFormat="1" applyFont="1" applyBorder="1" applyAlignment="1">
      <alignment horizontal="center" vertical="center" wrapText="1"/>
    </xf>
    <xf numFmtId="0" fontId="19" fillId="8" borderId="21" xfId="6" applyFont="1" applyBorder="1" applyAlignment="1">
      <alignment horizontal="center" vertical="center"/>
    </xf>
    <xf numFmtId="0" fontId="19" fillId="8" borderId="40" xfId="6" applyFont="1" applyBorder="1" applyAlignment="1">
      <alignment horizontal="center" vertical="center"/>
    </xf>
    <xf numFmtId="0" fontId="19" fillId="8" borderId="25" xfId="6" applyFont="1" applyBorder="1" applyAlignment="1">
      <alignment horizontal="center" vertical="center"/>
    </xf>
    <xf numFmtId="0" fontId="19" fillId="8" borderId="68" xfId="6" applyFont="1" applyBorder="1" applyAlignment="1">
      <alignment horizontal="center" vertical="center"/>
    </xf>
    <xf numFmtId="0" fontId="19" fillId="8" borderId="27" xfId="6" applyFont="1" applyBorder="1" applyAlignment="1">
      <alignment horizontal="center" vertical="center" wrapText="1"/>
    </xf>
    <xf numFmtId="0" fontId="19" fillId="8" borderId="69" xfId="6" applyFont="1" applyBorder="1" applyAlignment="1">
      <alignment horizontal="center" vertical="center" wrapText="1"/>
    </xf>
    <xf numFmtId="0" fontId="19" fillId="8" borderId="26" xfId="6" applyFont="1" applyBorder="1" applyAlignment="1">
      <alignment horizontal="center" vertical="center" wrapText="1"/>
    </xf>
    <xf numFmtId="0" fontId="19" fillId="8" borderId="54" xfId="6" applyFont="1" applyBorder="1" applyAlignment="1">
      <alignment horizontal="center" vertical="center" wrapText="1"/>
    </xf>
    <xf numFmtId="0" fontId="27" fillId="0" borderId="57" xfId="12" applyAlignment="1">
      <alignment horizontal="left"/>
    </xf>
    <xf numFmtId="0" fontId="6" fillId="19" borderId="0" xfId="0" applyFont="1" applyFill="1" applyAlignment="1">
      <alignment horizontal="left" vertical="top"/>
    </xf>
    <xf numFmtId="0" fontId="0" fillId="19" borderId="0" xfId="0" applyFont="1" applyFill="1" applyAlignment="1">
      <alignment horizontal="left" vertical="center"/>
    </xf>
    <xf numFmtId="0" fontId="20" fillId="19" borderId="0" xfId="0" applyFont="1" applyFill="1" applyAlignment="1">
      <alignment horizontal="left" vertical="center" wrapText="1"/>
    </xf>
    <xf numFmtId="0" fontId="40" fillId="19" borderId="0" xfId="0" applyFont="1" applyFill="1" applyAlignment="1">
      <alignment horizontal="left" vertical="top" wrapText="1"/>
    </xf>
    <xf numFmtId="9" fontId="19" fillId="8" borderId="82" xfId="6" applyNumberFormat="1" applyFont="1" applyBorder="1" applyAlignment="1">
      <alignment horizontal="center" vertical="center" wrapText="1"/>
    </xf>
    <xf numFmtId="9" fontId="19" fillId="8" borderId="84" xfId="6" applyNumberFormat="1" applyFont="1" applyBorder="1" applyAlignment="1">
      <alignment horizontal="center" vertical="center" wrapText="1"/>
    </xf>
    <xf numFmtId="9" fontId="19" fillId="8" borderId="81" xfId="6" applyNumberFormat="1" applyFont="1" applyBorder="1" applyAlignment="1">
      <alignment horizontal="center" vertical="center" wrapText="1"/>
    </xf>
    <xf numFmtId="9" fontId="19" fillId="8" borderId="88" xfId="6" applyNumberFormat="1" applyFont="1" applyBorder="1" applyAlignment="1">
      <alignment horizontal="center" vertical="center" wrapText="1"/>
    </xf>
    <xf numFmtId="44" fontId="19" fillId="8" borderId="28" xfId="6" applyNumberFormat="1" applyFont="1" applyBorder="1" applyAlignment="1">
      <alignment horizontal="center" vertical="center" wrapText="1"/>
    </xf>
    <xf numFmtId="44" fontId="19" fillId="8" borderId="29" xfId="6" applyNumberFormat="1" applyFont="1" applyBorder="1" applyAlignment="1">
      <alignment horizontal="center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44" fontId="19" fillId="8" borderId="26" xfId="6" applyNumberFormat="1" applyFont="1" applyBorder="1" applyAlignment="1">
      <alignment horizontal="center" vertical="center" wrapText="1"/>
    </xf>
    <xf numFmtId="44" fontId="19" fillId="8" borderId="54" xfId="6" applyNumberFormat="1" applyFont="1" applyBorder="1" applyAlignment="1">
      <alignment horizontal="center" vertical="center" wrapText="1"/>
    </xf>
    <xf numFmtId="44" fontId="19" fillId="8" borderId="61" xfId="6" applyNumberFormat="1" applyFont="1" applyBorder="1" applyAlignment="1">
      <alignment horizontal="center" vertical="center" wrapText="1"/>
    </xf>
    <xf numFmtId="44" fontId="19" fillId="8" borderId="62" xfId="6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20" fillId="0" borderId="9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2" borderId="56" xfId="0" applyFont="1" applyFill="1" applyBorder="1" applyAlignment="1">
      <alignment horizontal="center" vertical="center"/>
    </xf>
    <xf numFmtId="0" fontId="20" fillId="2" borderId="95" xfId="0" applyFont="1" applyFill="1" applyBorder="1" applyAlignment="1">
      <alignment horizontal="center" vertical="center"/>
    </xf>
    <xf numFmtId="0" fontId="20" fillId="2" borderId="98" xfId="0" applyFont="1" applyFill="1" applyBorder="1" applyAlignment="1">
      <alignment horizontal="center" vertical="center"/>
    </xf>
    <xf numFmtId="0" fontId="20" fillId="2" borderId="96" xfId="0" applyFont="1" applyFill="1" applyBorder="1" applyAlignment="1">
      <alignment horizontal="center" vertical="center"/>
    </xf>
    <xf numFmtId="0" fontId="20" fillId="0" borderId="78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94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44" fontId="24" fillId="23" borderId="7" xfId="0" applyNumberFormat="1" applyFont="1" applyFill="1" applyBorder="1" applyAlignment="1">
      <alignment horizontal="center" vertical="center" wrapText="1"/>
    </xf>
    <xf numFmtId="44" fontId="24" fillId="23" borderId="11" xfId="0" applyNumberFormat="1" applyFont="1" applyFill="1" applyBorder="1" applyAlignment="1">
      <alignment horizontal="center" vertical="center" wrapText="1"/>
    </xf>
    <xf numFmtId="44" fontId="24" fillId="23" borderId="13" xfId="0" applyNumberFormat="1" applyFont="1" applyFill="1" applyBorder="1" applyAlignment="1">
      <alignment horizontal="center" vertical="center" wrapText="1"/>
    </xf>
    <xf numFmtId="44" fontId="24" fillId="23" borderId="10" xfId="0" applyNumberFormat="1" applyFont="1" applyFill="1" applyBorder="1" applyAlignment="1">
      <alignment horizontal="center" vertical="center" wrapText="1"/>
    </xf>
    <xf numFmtId="44" fontId="24" fillId="23" borderId="12" xfId="0" applyNumberFormat="1" applyFont="1" applyFill="1" applyBorder="1" applyAlignment="1">
      <alignment horizontal="center" vertical="center" wrapText="1"/>
    </xf>
    <xf numFmtId="44" fontId="24" fillId="23" borderId="16" xfId="0" applyNumberFormat="1" applyFont="1" applyFill="1" applyBorder="1" applyAlignment="1">
      <alignment horizontal="center" vertical="center" wrapText="1"/>
    </xf>
    <xf numFmtId="0" fontId="20" fillId="2" borderId="97" xfId="0" applyFont="1" applyFill="1" applyBorder="1" applyAlignment="1">
      <alignment horizontal="center" vertical="center"/>
    </xf>
    <xf numFmtId="0" fontId="20" fillId="0" borderId="88" xfId="0" applyFont="1" applyBorder="1" applyAlignment="1">
      <alignment horizontal="left" vertical="center" wrapText="1"/>
    </xf>
    <xf numFmtId="44" fontId="24" fillId="23" borderId="51" xfId="0" applyNumberFormat="1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9" fontId="19" fillId="8" borderId="87" xfId="6" applyNumberFormat="1" applyFont="1" applyBorder="1" applyAlignment="1">
      <alignment horizontal="center" vertical="center" wrapText="1"/>
    </xf>
    <xf numFmtId="9" fontId="19" fillId="8" borderId="93" xfId="6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center" wrapText="1"/>
    </xf>
    <xf numFmtId="0" fontId="19" fillId="8" borderId="37" xfId="6" applyFont="1" applyBorder="1" applyAlignment="1">
      <alignment horizontal="center" vertical="center"/>
    </xf>
    <xf numFmtId="0" fontId="19" fillId="8" borderId="39" xfId="6" applyFont="1" applyBorder="1" applyAlignment="1">
      <alignment horizontal="center" vertical="center" wrapText="1"/>
    </xf>
    <xf numFmtId="0" fontId="19" fillId="8" borderId="38" xfId="6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44" fontId="19" fillId="8" borderId="38" xfId="6" applyNumberFormat="1" applyFont="1" applyBorder="1" applyAlignment="1">
      <alignment horizontal="center" vertical="center" wrapText="1"/>
    </xf>
    <xf numFmtId="9" fontId="48" fillId="8" borderId="7" xfId="6" applyNumberFormat="1" applyFont="1" applyBorder="1" applyAlignment="1">
      <alignment horizontal="center" vertical="center" wrapText="1"/>
    </xf>
    <xf numFmtId="9" fontId="48" fillId="8" borderId="11" xfId="6" applyNumberFormat="1" applyFont="1" applyBorder="1" applyAlignment="1">
      <alignment horizontal="center" vertical="center" wrapText="1"/>
    </xf>
    <xf numFmtId="9" fontId="48" fillId="8" borderId="8" xfId="6" applyNumberFormat="1" applyFont="1" applyBorder="1" applyAlignment="1">
      <alignment horizontal="center" vertical="center" wrapText="1"/>
    </xf>
    <xf numFmtId="9" fontId="48" fillId="8" borderId="5" xfId="6" applyNumberFormat="1" applyFont="1" applyBorder="1" applyAlignment="1">
      <alignment horizontal="center" vertical="center" wrapText="1"/>
    </xf>
    <xf numFmtId="9" fontId="19" fillId="8" borderId="49" xfId="6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44" fontId="24" fillId="23" borderId="5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4" fillId="19" borderId="0" xfId="0" applyFont="1" applyFill="1" applyAlignment="1">
      <alignment horizontal="left" vertical="top"/>
    </xf>
    <xf numFmtId="0" fontId="20" fillId="19" borderId="0" xfId="0" applyFont="1" applyFill="1" applyAlignment="1">
      <alignment horizontal="left" vertical="top" wrapText="1"/>
    </xf>
    <xf numFmtId="0" fontId="0" fillId="19" borderId="0" xfId="0" applyFont="1" applyFill="1" applyAlignment="1">
      <alignment horizontal="left" vertical="top" wrapText="1"/>
    </xf>
    <xf numFmtId="0" fontId="0" fillId="19" borderId="51" xfId="0" applyFont="1" applyFill="1" applyBorder="1" applyAlignment="1">
      <alignment horizontal="left" vertical="top" wrapText="1"/>
    </xf>
    <xf numFmtId="44" fontId="24" fillId="23" borderId="78" xfId="0" applyNumberFormat="1" applyFont="1" applyFill="1" applyBorder="1" applyAlignment="1">
      <alignment horizontal="center" vertical="center"/>
    </xf>
    <xf numFmtId="44" fontId="24" fillId="23" borderId="44" xfId="0" applyNumberFormat="1" applyFont="1" applyFill="1" applyBorder="1" applyAlignment="1">
      <alignment horizontal="center" vertical="center"/>
    </xf>
    <xf numFmtId="44" fontId="24" fillId="23" borderId="64" xfId="0" applyNumberFormat="1" applyFont="1" applyFill="1" applyBorder="1" applyAlignment="1">
      <alignment horizontal="center" vertical="center"/>
    </xf>
    <xf numFmtId="44" fontId="20" fillId="2" borderId="20" xfId="0" applyNumberFormat="1" applyFont="1" applyFill="1" applyBorder="1" applyAlignment="1">
      <alignment horizontal="center" vertical="center"/>
    </xf>
    <xf numFmtId="44" fontId="20" fillId="2" borderId="19" xfId="0" applyNumberFormat="1" applyFont="1" applyFill="1" applyBorder="1" applyAlignment="1">
      <alignment horizontal="center" vertical="center"/>
    </xf>
    <xf numFmtId="44" fontId="20" fillId="2" borderId="50" xfId="0" applyNumberFormat="1" applyFont="1" applyFill="1" applyBorder="1" applyAlignment="1">
      <alignment horizontal="center" vertical="center"/>
    </xf>
    <xf numFmtId="44" fontId="20" fillId="2" borderId="45" xfId="0" applyNumberFormat="1" applyFont="1" applyFill="1" applyBorder="1" applyAlignment="1">
      <alignment horizontal="center" vertical="center"/>
    </xf>
    <xf numFmtId="44" fontId="20" fillId="2" borderId="0" xfId="0" applyNumberFormat="1" applyFont="1" applyFill="1" applyBorder="1" applyAlignment="1">
      <alignment horizontal="center" vertical="center"/>
    </xf>
    <xf numFmtId="44" fontId="20" fillId="2" borderId="47" xfId="0" applyNumberFormat="1" applyFont="1" applyFill="1" applyBorder="1" applyAlignment="1">
      <alignment horizontal="center" vertical="center"/>
    </xf>
    <xf numFmtId="164" fontId="24" fillId="11" borderId="85" xfId="0" applyNumberFormat="1" applyFont="1" applyFill="1" applyBorder="1" applyAlignment="1">
      <alignment horizontal="right" vertical="center" wrapText="1"/>
    </xf>
    <xf numFmtId="164" fontId="24" fillId="11" borderId="6" xfId="0" applyNumberFormat="1" applyFont="1" applyFill="1" applyBorder="1" applyAlignment="1">
      <alignment horizontal="right" vertical="center" wrapText="1"/>
    </xf>
    <xf numFmtId="164" fontId="24" fillId="11" borderId="86" xfId="0" applyNumberFormat="1" applyFont="1" applyFill="1" applyBorder="1" applyAlignment="1">
      <alignment horizontal="righ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2" borderId="52" xfId="0" applyFont="1" applyFill="1" applyBorder="1" applyAlignment="1">
      <alignment horizontal="center" vertical="center"/>
    </xf>
    <xf numFmtId="0" fontId="20" fillId="2" borderId="51" xfId="0" applyFont="1" applyFill="1" applyBorder="1" applyAlignment="1">
      <alignment horizontal="center" vertical="center"/>
    </xf>
    <xf numFmtId="0" fontId="20" fillId="2" borderId="53" xfId="0" applyFont="1" applyFill="1" applyBorder="1" applyAlignment="1">
      <alignment horizontal="center" vertical="center"/>
    </xf>
    <xf numFmtId="9" fontId="19" fillId="8" borderId="13" xfId="6" applyNumberFormat="1" applyFont="1" applyBorder="1" applyAlignment="1">
      <alignment horizontal="center" vertical="center" wrapText="1"/>
    </xf>
    <xf numFmtId="0" fontId="19" fillId="8" borderId="22" xfId="6" applyFont="1" applyBorder="1" applyAlignment="1">
      <alignment horizontal="center" vertical="center"/>
    </xf>
    <xf numFmtId="0" fontId="19" fillId="8" borderId="15" xfId="6" applyFont="1" applyBorder="1" applyAlignment="1">
      <alignment horizontal="center" vertical="center" wrapText="1"/>
    </xf>
    <xf numFmtId="9" fontId="19" fillId="8" borderId="16" xfId="6" applyNumberFormat="1" applyFont="1" applyBorder="1" applyAlignment="1">
      <alignment horizontal="center" vertical="center" wrapText="1"/>
    </xf>
    <xf numFmtId="9" fontId="19" fillId="8" borderId="20" xfId="6" applyNumberFormat="1" applyFont="1" applyBorder="1" applyAlignment="1">
      <alignment horizontal="center" vertical="center" wrapText="1"/>
    </xf>
    <xf numFmtId="9" fontId="19" fillId="8" borderId="52" xfId="6" applyNumberFormat="1" applyFont="1" applyBorder="1" applyAlignment="1">
      <alignment horizontal="center" vertical="center" wrapText="1"/>
    </xf>
    <xf numFmtId="9" fontId="19" fillId="8" borderId="50" xfId="6" applyNumberFormat="1" applyFont="1" applyBorder="1" applyAlignment="1">
      <alignment horizontal="center" vertical="center" wrapText="1"/>
    </xf>
    <xf numFmtId="9" fontId="19" fillId="8" borderId="53" xfId="6" applyNumberFormat="1" applyFont="1" applyBorder="1" applyAlignment="1">
      <alignment horizontal="center" vertical="center" wrapText="1"/>
    </xf>
    <xf numFmtId="9" fontId="19" fillId="8" borderId="14" xfId="6" applyNumberFormat="1" applyFont="1" applyBorder="1" applyAlignment="1">
      <alignment horizontal="center" vertical="center" wrapText="1"/>
    </xf>
    <xf numFmtId="0" fontId="19" fillId="8" borderId="14" xfId="6" applyFont="1" applyBorder="1" applyAlignment="1">
      <alignment horizontal="center" vertical="center" wrapText="1"/>
    </xf>
    <xf numFmtId="44" fontId="19" fillId="8" borderId="32" xfId="6" applyNumberFormat="1" applyFont="1" applyBorder="1" applyAlignment="1">
      <alignment horizontal="center" vertical="center" wrapText="1"/>
    </xf>
    <xf numFmtId="0" fontId="33" fillId="7" borderId="9" xfId="0" applyFont="1" applyFill="1" applyBorder="1" applyAlignment="1">
      <alignment horizontal="left" vertical="center" wrapText="1"/>
    </xf>
    <xf numFmtId="0" fontId="21" fillId="7" borderId="15" xfId="0" applyFont="1" applyFill="1" applyBorder="1" applyAlignment="1">
      <alignment horizontal="left" vertical="center" wrapText="1"/>
    </xf>
    <xf numFmtId="44" fontId="26" fillId="2" borderId="9" xfId="0" applyNumberFormat="1" applyFont="1" applyFill="1" applyBorder="1" applyAlignment="1">
      <alignment horizontal="center" vertical="center"/>
    </xf>
    <xf numFmtId="44" fontId="26" fillId="2" borderId="2" xfId="0" applyNumberFormat="1" applyFont="1" applyFill="1" applyBorder="1" applyAlignment="1">
      <alignment horizontal="center" vertical="center"/>
    </xf>
    <xf numFmtId="44" fontId="26" fillId="2" borderId="1" xfId="0" applyNumberFormat="1" applyFont="1" applyFill="1" applyBorder="1" applyAlignment="1">
      <alignment horizontal="center" vertical="center"/>
    </xf>
    <xf numFmtId="44" fontId="26" fillId="2" borderId="4" xfId="0" applyNumberFormat="1" applyFont="1" applyFill="1" applyBorder="1" applyAlignment="1">
      <alignment horizontal="center" vertical="center"/>
    </xf>
    <xf numFmtId="44" fontId="26" fillId="2" borderId="15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4" fontId="24" fillId="11" borderId="73" xfId="0" applyNumberFormat="1" applyFont="1" applyFill="1" applyBorder="1" applyAlignment="1">
      <alignment horizontal="right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164" fontId="24" fillId="11" borderId="100" xfId="0" applyNumberFormat="1" applyFont="1" applyFill="1" applyBorder="1" applyAlignment="1">
      <alignment horizontal="right" vertical="center" wrapText="1"/>
    </xf>
    <xf numFmtId="164" fontId="24" fillId="11" borderId="42" xfId="0" applyNumberFormat="1" applyFont="1" applyFill="1" applyBorder="1" applyAlignment="1">
      <alignment horizontal="right" vertical="center" wrapText="1"/>
    </xf>
    <xf numFmtId="164" fontId="20" fillId="11" borderId="42" xfId="0" applyNumberFormat="1" applyFont="1" applyFill="1" applyBorder="1" applyAlignment="1">
      <alignment horizontal="right" vertical="center" wrapText="1"/>
    </xf>
    <xf numFmtId="164" fontId="20" fillId="11" borderId="6" xfId="0" applyNumberFormat="1" applyFont="1" applyFill="1" applyBorder="1" applyAlignment="1">
      <alignment horizontal="right" vertical="center" wrapText="1"/>
    </xf>
    <xf numFmtId="164" fontId="20" fillId="11" borderId="86" xfId="0" applyNumberFormat="1" applyFont="1" applyFill="1" applyBorder="1" applyAlignment="1">
      <alignment horizontal="right" vertical="center" wrapText="1"/>
    </xf>
    <xf numFmtId="0" fontId="42" fillId="19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left" vertical="top"/>
    </xf>
    <xf numFmtId="0" fontId="40" fillId="0" borderId="0" xfId="0" applyFont="1" applyFill="1" applyAlignment="1">
      <alignment horizontal="center" vertical="top"/>
    </xf>
    <xf numFmtId="0" fontId="19" fillId="8" borderId="1" xfId="6" applyFont="1" applyBorder="1" applyAlignment="1">
      <alignment horizontal="center" vertical="center"/>
    </xf>
    <xf numFmtId="0" fontId="19" fillId="8" borderId="1" xfId="6" applyFont="1" applyBorder="1" applyAlignment="1">
      <alignment horizontal="center" vertical="center" wrapText="1"/>
    </xf>
    <xf numFmtId="44" fontId="19" fillId="8" borderId="1" xfId="6" applyNumberFormat="1" applyFont="1" applyBorder="1" applyAlignment="1">
      <alignment horizontal="center" vertical="center" wrapText="1"/>
    </xf>
    <xf numFmtId="44" fontId="24" fillId="23" borderId="1" xfId="0" applyNumberFormat="1" applyFont="1" applyFill="1" applyBorder="1" applyAlignment="1">
      <alignment horizontal="center" vertical="center"/>
    </xf>
    <xf numFmtId="9" fontId="19" fillId="8" borderId="1" xfId="6" applyNumberFormat="1" applyFont="1" applyBorder="1" applyAlignment="1">
      <alignment horizontal="center" vertical="center" wrapText="1"/>
    </xf>
    <xf numFmtId="9" fontId="19" fillId="8" borderId="4" xfId="6" applyNumberFormat="1" applyFont="1" applyBorder="1" applyAlignment="1">
      <alignment horizontal="center" vertical="center" wrapText="1"/>
    </xf>
    <xf numFmtId="9" fontId="19" fillId="8" borderId="2" xfId="6" applyNumberFormat="1" applyFont="1" applyBorder="1" applyAlignment="1">
      <alignment horizontal="center" vertical="center" wrapText="1"/>
    </xf>
    <xf numFmtId="0" fontId="13" fillId="12" borderId="31" xfId="0" applyFont="1" applyFill="1" applyBorder="1" applyAlignment="1">
      <alignment horizontal="left" vertical="top" wrapText="1"/>
    </xf>
    <xf numFmtId="0" fontId="13" fillId="12" borderId="34" xfId="0" applyFont="1" applyFill="1" applyBorder="1" applyAlignment="1">
      <alignment horizontal="left" vertical="top" wrapText="1"/>
    </xf>
    <xf numFmtId="0" fontId="13" fillId="12" borderId="44" xfId="0" applyFont="1" applyFill="1" applyBorder="1" applyAlignment="1">
      <alignment horizontal="left" vertical="top" wrapText="1"/>
    </xf>
    <xf numFmtId="44" fontId="4" fillId="0" borderId="0" xfId="0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</cellXfs>
  <cellStyles count="21">
    <cellStyle name="20% - Ênfase2" xfId="19" builtinId="34"/>
    <cellStyle name="20% - Ênfase4" xfId="20" builtinId="42"/>
    <cellStyle name="20% - Ênfase5" xfId="8" builtinId="46"/>
    <cellStyle name="40% - Ênfase4" xfId="11" builtinId="43"/>
    <cellStyle name="60% - Ênfase2" xfId="10" builtinId="36"/>
    <cellStyle name="Bom" xfId="14" builtinId="26"/>
    <cellStyle name="Ênfase2" xfId="6" builtinId="33"/>
    <cellStyle name="Ênfase5" xfId="7" builtinId="45"/>
    <cellStyle name="Entrada" xfId="16" builtinId="20"/>
    <cellStyle name="Hiperlink" xfId="1" builtinId="8"/>
    <cellStyle name="Neutro" xfId="15" builtinId="28"/>
    <cellStyle name="Normal" xfId="0" builtinId="0"/>
    <cellStyle name="Normal 2" xfId="3" xr:uid="{00000000-0005-0000-0000-000006000000}"/>
    <cellStyle name="Porcentagem" xfId="17" builtinId="5"/>
    <cellStyle name="Porcentagem 2" xfId="5" xr:uid="{00000000-0005-0000-0000-000007000000}"/>
    <cellStyle name="Porcentagem 3" xfId="4" xr:uid="{00000000-0005-0000-0000-000008000000}"/>
    <cellStyle name="Ruim" xfId="18" builtinId="27"/>
    <cellStyle name="Título 1" xfId="9" builtinId="16"/>
    <cellStyle name="Título 2" xfId="12" builtinId="17"/>
    <cellStyle name="Título 3" xfId="13" builtinId="18"/>
    <cellStyle name="Vírgula 2" xfId="2" xr:uid="{00000000-0005-0000-0000-00000B000000}"/>
  </cellStyles>
  <dxfs count="1395"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2865</xdr:colOff>
      <xdr:row>5</xdr:row>
      <xdr:rowOff>34290</xdr:rowOff>
    </xdr:to>
    <xdr:pic>
      <xdr:nvPicPr>
        <xdr:cNvPr id="4" name="Imagem 3" descr="Jurisprudência">
          <a:extLst>
            <a:ext uri="{FF2B5EF4-FFF2-40B4-BE49-F238E27FC236}">
              <a16:creationId xmlns:a16="http://schemas.microsoft.com/office/drawing/2014/main" id="{E932DD4F-3A92-46EB-AA1F-0F0F11560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215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356234</xdr:colOff>
      <xdr:row>17</xdr:row>
      <xdr:rowOff>131445</xdr:rowOff>
    </xdr:from>
    <xdr:to>
      <xdr:col>6</xdr:col>
      <xdr:colOff>1002029</xdr:colOff>
      <xdr:row>18</xdr:row>
      <xdr:rowOff>161925</xdr:rowOff>
    </xdr:to>
    <xdr:sp macro="" textlink="">
      <xdr:nvSpPr>
        <xdr:cNvPr id="3" name="Seta: para a Esquerda 2">
          <a:extLst>
            <a:ext uri="{FF2B5EF4-FFF2-40B4-BE49-F238E27FC236}">
              <a16:creationId xmlns:a16="http://schemas.microsoft.com/office/drawing/2014/main" id="{736EEA42-5B29-41C0-9F5F-EE7DB6D37C39}"/>
            </a:ext>
          </a:extLst>
        </xdr:cNvPr>
        <xdr:cNvSpPr/>
      </xdr:nvSpPr>
      <xdr:spPr>
        <a:xfrm>
          <a:off x="5299709" y="3589020"/>
          <a:ext cx="645795" cy="2495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356234</xdr:colOff>
      <xdr:row>10</xdr:row>
      <xdr:rowOff>131445</xdr:rowOff>
    </xdr:from>
    <xdr:to>
      <xdr:col>6</xdr:col>
      <xdr:colOff>1002029</xdr:colOff>
      <xdr:row>11</xdr:row>
      <xdr:rowOff>161925</xdr:rowOff>
    </xdr:to>
    <xdr:sp macro="" textlink="">
      <xdr:nvSpPr>
        <xdr:cNvPr id="3" name="Seta: para a Esquerda 2">
          <a:extLst>
            <a:ext uri="{FF2B5EF4-FFF2-40B4-BE49-F238E27FC236}">
              <a16:creationId xmlns:a16="http://schemas.microsoft.com/office/drawing/2014/main" id="{02F045A2-3686-4F78-A1EE-4AD0DE5625D1}"/>
            </a:ext>
          </a:extLst>
        </xdr:cNvPr>
        <xdr:cNvSpPr/>
      </xdr:nvSpPr>
      <xdr:spPr>
        <a:xfrm>
          <a:off x="5303519" y="3592830"/>
          <a:ext cx="643890" cy="2476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390525</xdr:colOff>
      <xdr:row>3</xdr:row>
      <xdr:rowOff>257174</xdr:rowOff>
    </xdr:from>
    <xdr:ext cx="1133475" cy="1133475"/>
    <xdr:pic>
      <xdr:nvPicPr>
        <xdr:cNvPr id="3" name="Imagem 2" descr="Primer Manta Líquida 18L Preta Vedacit">
          <a:extLst>
            <a:ext uri="{FF2B5EF4-FFF2-40B4-BE49-F238E27FC236}">
              <a16:creationId xmlns:a16="http://schemas.microsoft.com/office/drawing/2014/main" id="{6F39F6E9-98BC-4E61-8973-37D098141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" y="4591049"/>
          <a:ext cx="1133475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609600</xdr:colOff>
      <xdr:row>2</xdr:row>
      <xdr:rowOff>66674</xdr:rowOff>
    </xdr:from>
    <xdr:to>
      <xdr:col>7</xdr:col>
      <xdr:colOff>1315908</xdr:colOff>
      <xdr:row>2</xdr:row>
      <xdr:rowOff>1638299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ADBC377-C9B0-4CFD-A81F-0B3AFBD7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971549"/>
          <a:ext cx="706308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161925</xdr:colOff>
      <xdr:row>4</xdr:row>
      <xdr:rowOff>28575</xdr:rowOff>
    </xdr:from>
    <xdr:to>
      <xdr:col>7</xdr:col>
      <xdr:colOff>1743075</xdr:colOff>
      <xdr:row>4</xdr:row>
      <xdr:rowOff>1285875</xdr:rowOff>
    </xdr:to>
    <xdr:pic>
      <xdr:nvPicPr>
        <xdr:cNvPr id="5" name="Imagem 4" descr="Impermeabilizante Sika Top 107 Cinza Argamassa Aditivo 18kg">
          <a:extLst>
            <a:ext uri="{FF2B5EF4-FFF2-40B4-BE49-F238E27FC236}">
              <a16:creationId xmlns:a16="http://schemas.microsoft.com/office/drawing/2014/main" id="{85C53E67-855F-4221-9261-2A64096AE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5505450"/>
          <a:ext cx="158115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de-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leroymerlin.com.br/primer-manta-vedacit-18l-preta-vedacit_8700640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theme="4" tint="-0.249977111117893"/>
  </sheetPr>
  <dimension ref="A3:AE168"/>
  <sheetViews>
    <sheetView showGridLines="0" topLeftCell="A14" zoomScale="130" zoomScaleNormal="130" workbookViewId="0">
      <selection activeCell="B140" sqref="B140:B150"/>
    </sheetView>
  </sheetViews>
  <sheetFormatPr defaultColWidth="9.109375" defaultRowHeight="14.4" x14ac:dyDescent="0.3"/>
  <cols>
    <col min="1" max="1" width="4.109375" style="20" customWidth="1"/>
    <col min="2" max="2" width="25.109375" customWidth="1"/>
    <col min="3" max="3" width="6.33203125" customWidth="1"/>
    <col min="4" max="4" width="5.44140625" style="20" customWidth="1"/>
    <col min="5" max="5" width="32.33203125" style="13" customWidth="1"/>
    <col min="6" max="6" width="10.88671875" style="46" customWidth="1"/>
    <col min="7" max="7" width="23.5546875" style="13" customWidth="1"/>
    <col min="8" max="8" width="5.6640625" style="13" customWidth="1"/>
    <col min="9" max="9" width="10.109375" style="13" customWidth="1"/>
    <col min="10" max="10" width="12" style="13" customWidth="1"/>
    <col min="11" max="11" width="7.5546875" hidden="1" customWidth="1"/>
    <col min="12" max="12" width="9.5546875" hidden="1" customWidth="1"/>
    <col min="13" max="13" width="12.88671875" customWidth="1"/>
    <col min="14" max="14" width="7.33203125" customWidth="1"/>
    <col min="15" max="15" width="21.44140625" customWidth="1"/>
    <col min="16" max="16" width="11.6640625" customWidth="1"/>
    <col min="17" max="17" width="13.6640625" customWidth="1"/>
    <col min="18" max="18" width="7.88671875" customWidth="1"/>
    <col min="19" max="19" width="12" bestFit="1" customWidth="1"/>
    <col min="20" max="20" width="5.88671875" customWidth="1"/>
    <col min="23" max="23" width="11.5546875" bestFit="1" customWidth="1"/>
  </cols>
  <sheetData>
    <row r="3" spans="1:31" x14ac:dyDescent="0.3">
      <c r="E3"/>
    </row>
    <row r="6" spans="1:31" x14ac:dyDescent="0.3">
      <c r="A6" s="153" t="s">
        <v>0</v>
      </c>
      <c r="B6" s="154"/>
      <c r="C6" s="154"/>
      <c r="D6" s="155"/>
      <c r="E6" s="156"/>
    </row>
    <row r="7" spans="1:31" x14ac:dyDescent="0.3">
      <c r="A7" s="153" t="s">
        <v>167</v>
      </c>
      <c r="B7" s="154"/>
      <c r="C7" s="154"/>
      <c r="D7" s="155"/>
      <c r="E7" s="156"/>
    </row>
    <row r="8" spans="1:31" x14ac:dyDescent="0.3">
      <c r="A8" s="153" t="s">
        <v>343</v>
      </c>
      <c r="B8" s="154"/>
      <c r="C8" s="154"/>
      <c r="D8" s="155"/>
      <c r="E8" s="156"/>
    </row>
    <row r="9" spans="1:31" x14ac:dyDescent="0.3">
      <c r="A9" s="59"/>
    </row>
    <row r="10" spans="1:31" ht="20.399999999999999" thickBot="1" x14ac:dyDescent="0.45">
      <c r="A10" s="697" t="s">
        <v>1</v>
      </c>
      <c r="B10" s="697"/>
      <c r="C10" s="697"/>
      <c r="D10" s="697"/>
      <c r="E10" s="697"/>
      <c r="F10" s="697"/>
      <c r="G10" s="697"/>
      <c r="H10" s="697"/>
      <c r="I10" s="697"/>
      <c r="J10" s="697"/>
      <c r="K10" s="697"/>
      <c r="L10" s="697"/>
      <c r="M10" s="697"/>
      <c r="N10" s="697"/>
      <c r="O10" s="697"/>
      <c r="P10" s="697"/>
      <c r="Q10" s="697"/>
    </row>
    <row r="11" spans="1:31" ht="15.6" thickTop="1" thickBot="1" x14ac:dyDescent="0.35">
      <c r="A11" s="59"/>
      <c r="T11" s="260" t="s">
        <v>79</v>
      </c>
      <c r="U11" s="260"/>
      <c r="V11" s="260"/>
      <c r="W11" s="260"/>
      <c r="X11" s="260"/>
      <c r="Y11" s="260"/>
      <c r="Z11" s="260"/>
      <c r="AA11" s="261"/>
      <c r="AB11" s="261"/>
      <c r="AC11" s="261"/>
      <c r="AD11" s="261"/>
      <c r="AE11" s="261"/>
    </row>
    <row r="12" spans="1:31" ht="18.600000000000001" thickTop="1" thickBot="1" x14ac:dyDescent="0.4">
      <c r="A12" s="120" t="s">
        <v>4</v>
      </c>
      <c r="B12" s="121"/>
      <c r="C12" s="121"/>
      <c r="D12" s="122"/>
      <c r="E12" s="123"/>
      <c r="F12" s="117"/>
      <c r="T12" s="260"/>
      <c r="U12" s="260"/>
      <c r="V12" s="260"/>
      <c r="W12" s="260"/>
      <c r="X12" s="260"/>
      <c r="Y12" s="260"/>
      <c r="Z12" s="260"/>
      <c r="AA12" s="261"/>
      <c r="AB12" s="261"/>
      <c r="AC12" s="261"/>
      <c r="AD12" s="261"/>
      <c r="AE12" s="261"/>
    </row>
    <row r="13" spans="1:31" ht="15.6" thickTop="1" thickBot="1" x14ac:dyDescent="0.35">
      <c r="A13" s="28"/>
      <c r="H13" s="137" t="s">
        <v>3</v>
      </c>
      <c r="I13" s="138"/>
      <c r="J13" s="138"/>
      <c r="K13" s="139"/>
      <c r="L13" s="139"/>
      <c r="M13" s="139"/>
      <c r="N13" s="139"/>
      <c r="O13" s="139"/>
      <c r="P13" s="139"/>
      <c r="T13" s="261"/>
      <c r="U13" s="262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</row>
    <row r="14" spans="1:31" ht="18" customHeight="1" thickTop="1" thickBot="1" x14ac:dyDescent="0.35">
      <c r="A14" s="146" t="s">
        <v>2</v>
      </c>
      <c r="B14" s="118"/>
      <c r="C14" s="118"/>
      <c r="D14" s="118"/>
      <c r="E14" s="119"/>
      <c r="F14" s="76"/>
      <c r="G14" s="50"/>
      <c r="H14" s="136">
        <v>0.3</v>
      </c>
      <c r="I14" s="628" t="s">
        <v>124</v>
      </c>
      <c r="J14" s="628"/>
      <c r="K14" s="628"/>
      <c r="L14" s="628"/>
      <c r="M14" s="628"/>
      <c r="N14" s="628"/>
      <c r="O14" s="628"/>
      <c r="P14" s="628"/>
      <c r="R14" s="60"/>
      <c r="T14" s="265" t="s">
        <v>80</v>
      </c>
      <c r="U14" s="265"/>
      <c r="V14" s="265"/>
      <c r="W14" s="265"/>
      <c r="X14" s="265"/>
      <c r="Y14" s="265"/>
      <c r="Z14" s="265"/>
      <c r="AA14" s="265"/>
      <c r="AB14" s="265"/>
      <c r="AC14" s="261"/>
      <c r="AD14" s="262" t="s">
        <v>81</v>
      </c>
      <c r="AE14" s="261"/>
    </row>
    <row r="15" spans="1:31" ht="18" customHeight="1" x14ac:dyDescent="0.3">
      <c r="A15" s="147" t="s">
        <v>108</v>
      </c>
      <c r="B15" s="77"/>
      <c r="C15" s="77"/>
      <c r="D15" s="78"/>
      <c r="E15" s="79"/>
      <c r="F15" s="124"/>
      <c r="G15" s="50"/>
      <c r="H15" s="133">
        <v>0.7</v>
      </c>
      <c r="I15" s="140" t="s">
        <v>116</v>
      </c>
      <c r="J15" s="140"/>
      <c r="K15" s="140"/>
      <c r="L15" s="140"/>
      <c r="M15" s="140"/>
      <c r="N15" s="140"/>
      <c r="O15" s="140"/>
      <c r="P15" s="141"/>
      <c r="R15" s="60"/>
      <c r="T15" s="261" t="s">
        <v>82</v>
      </c>
      <c r="U15" s="263" t="s">
        <v>83</v>
      </c>
      <c r="V15" s="263"/>
      <c r="W15" s="263"/>
      <c r="X15" s="263"/>
      <c r="Y15" s="263"/>
      <c r="Z15" s="263"/>
      <c r="AA15" s="263"/>
      <c r="AB15" s="263"/>
      <c r="AC15" s="261"/>
      <c r="AD15" s="264" t="s">
        <v>125</v>
      </c>
      <c r="AE15" s="261"/>
    </row>
    <row r="16" spans="1:31" ht="21" customHeight="1" x14ac:dyDescent="0.3">
      <c r="A16" s="59" t="s">
        <v>5</v>
      </c>
      <c r="B16" s="60"/>
      <c r="C16" s="60"/>
      <c r="D16" s="62"/>
      <c r="E16" s="70">
        <f>AVERAGE(I49:I61)</f>
        <v>5.7907692307692304</v>
      </c>
      <c r="F16" s="67"/>
      <c r="G16" s="50"/>
      <c r="H16" s="134"/>
      <c r="P16" s="135"/>
      <c r="Q16" s="135"/>
      <c r="R16" s="60"/>
      <c r="T16" s="261" t="s">
        <v>84</v>
      </c>
      <c r="U16" s="263" t="s">
        <v>85</v>
      </c>
      <c r="V16" s="263"/>
      <c r="W16" s="263"/>
      <c r="X16" s="263"/>
      <c r="Y16" s="263"/>
      <c r="Z16" s="263"/>
      <c r="AA16" s="263"/>
      <c r="AB16" s="263"/>
      <c r="AC16" s="261"/>
      <c r="AD16" s="264" t="s">
        <v>125</v>
      </c>
      <c r="AE16" s="261"/>
    </row>
    <row r="17" spans="1:31" ht="16.2" customHeight="1" x14ac:dyDescent="0.3">
      <c r="A17" s="59" t="s">
        <v>6</v>
      </c>
      <c r="B17" s="60"/>
      <c r="C17" s="60"/>
      <c r="D17" s="62"/>
      <c r="E17" s="70">
        <f>_xlfn.STDEV.S(I49:I61)</f>
        <v>1.8084959751980896</v>
      </c>
      <c r="F17" s="68"/>
      <c r="G17" s="50"/>
      <c r="H17" s="145" t="s">
        <v>75</v>
      </c>
      <c r="I17" s="142"/>
      <c r="J17" s="143"/>
      <c r="K17" s="112"/>
      <c r="L17" s="112"/>
      <c r="M17" s="112"/>
      <c r="N17" s="112"/>
      <c r="O17" s="112"/>
      <c r="P17" s="112"/>
      <c r="Q17" s="112"/>
      <c r="R17" s="60"/>
      <c r="T17" s="261" t="s">
        <v>86</v>
      </c>
      <c r="U17" s="263" t="s">
        <v>87</v>
      </c>
      <c r="V17" s="263"/>
      <c r="W17" s="263"/>
      <c r="X17" s="263"/>
      <c r="Y17" s="263"/>
      <c r="Z17" s="263"/>
      <c r="AA17" s="263"/>
      <c r="AB17" s="263"/>
      <c r="AC17" s="261"/>
      <c r="AD17" s="264" t="s">
        <v>125</v>
      </c>
      <c r="AE17" s="261"/>
    </row>
    <row r="18" spans="1:31" ht="17.399999999999999" customHeight="1" x14ac:dyDescent="0.3">
      <c r="A18" s="59" t="s">
        <v>29</v>
      </c>
      <c r="B18" s="60"/>
      <c r="C18" s="60"/>
      <c r="D18" s="62"/>
      <c r="E18" s="71">
        <f>(E17/E16)*100</f>
        <v>31.230669072230562</v>
      </c>
      <c r="F18" s="68"/>
      <c r="G18" s="50"/>
      <c r="H18" s="143"/>
      <c r="I18" s="143"/>
      <c r="J18" s="143"/>
      <c r="K18" s="112"/>
      <c r="L18" s="112"/>
      <c r="M18" s="112"/>
      <c r="N18" s="112"/>
      <c r="O18" s="112"/>
      <c r="P18" s="112"/>
      <c r="Q18" s="112"/>
      <c r="R18" s="60"/>
      <c r="T18" s="261" t="s">
        <v>88</v>
      </c>
      <c r="U18" s="263" t="s">
        <v>89</v>
      </c>
      <c r="V18" s="263"/>
      <c r="W18" s="263"/>
      <c r="X18" s="263"/>
      <c r="Y18" s="263"/>
      <c r="Z18" s="263"/>
      <c r="AA18" s="263"/>
      <c r="AB18" s="263"/>
      <c r="AC18" s="261"/>
      <c r="AD18" s="264" t="s">
        <v>125</v>
      </c>
      <c r="AE18" s="261"/>
    </row>
    <row r="19" spans="1:31" ht="16.2" customHeight="1" x14ac:dyDescent="0.3">
      <c r="A19" s="59" t="s">
        <v>7</v>
      </c>
      <c r="B19" s="60"/>
      <c r="C19" s="60"/>
      <c r="D19" s="62"/>
      <c r="E19" s="131" t="str">
        <f>IF(E18&gt;25,"Mediana","Média")</f>
        <v>Mediana</v>
      </c>
      <c r="F19" s="69"/>
      <c r="G19" s="50"/>
      <c r="H19" s="144">
        <v>0.25</v>
      </c>
      <c r="I19" s="143" t="s">
        <v>76</v>
      </c>
      <c r="J19" s="143" t="s">
        <v>5</v>
      </c>
      <c r="K19" s="125"/>
      <c r="L19" s="126"/>
      <c r="M19" s="127"/>
      <c r="N19" s="127"/>
      <c r="O19" s="127"/>
      <c r="P19" s="112"/>
      <c r="Q19" s="112"/>
      <c r="R19" s="60"/>
      <c r="T19" s="261" t="s">
        <v>90</v>
      </c>
      <c r="U19" s="263" t="s">
        <v>156</v>
      </c>
      <c r="V19" s="263"/>
      <c r="W19" s="263"/>
      <c r="X19" s="263"/>
      <c r="Y19" s="263"/>
      <c r="Z19" s="263"/>
      <c r="AA19" s="263"/>
      <c r="AB19" s="263"/>
      <c r="AC19" s="261"/>
      <c r="AD19" s="264" t="s">
        <v>127</v>
      </c>
      <c r="AE19" s="261"/>
    </row>
    <row r="20" spans="1:31" ht="22.2" customHeight="1" x14ac:dyDescent="0.3">
      <c r="A20" s="59" t="s">
        <v>8</v>
      </c>
      <c r="B20" s="60"/>
      <c r="C20" s="60"/>
      <c r="D20" s="62"/>
      <c r="E20" s="70">
        <f>MIN(I49:I61)</f>
        <v>3.12</v>
      </c>
      <c r="F20" s="67"/>
      <c r="G20" s="50"/>
      <c r="H20" s="143"/>
      <c r="I20" s="143" t="s">
        <v>77</v>
      </c>
      <c r="J20" s="143" t="s">
        <v>78</v>
      </c>
      <c r="K20" s="129"/>
      <c r="L20" s="102"/>
      <c r="M20" s="127"/>
      <c r="N20" s="127"/>
      <c r="O20" s="127"/>
      <c r="P20" s="112"/>
      <c r="Q20" s="112"/>
      <c r="R20" s="60"/>
      <c r="T20" s="261" t="s">
        <v>92</v>
      </c>
      <c r="U20" s="263" t="s">
        <v>157</v>
      </c>
      <c r="V20" s="263"/>
      <c r="W20" s="263"/>
      <c r="X20" s="263"/>
      <c r="Y20" s="263"/>
      <c r="Z20" s="263"/>
      <c r="AA20" s="263"/>
      <c r="AB20" s="263"/>
      <c r="AC20" s="261"/>
      <c r="AD20" s="264" t="s">
        <v>127</v>
      </c>
      <c r="AE20" s="261"/>
    </row>
    <row r="21" spans="1:31" ht="13.2" customHeight="1" x14ac:dyDescent="0.3">
      <c r="A21" s="147" t="s">
        <v>109</v>
      </c>
      <c r="B21" s="77"/>
      <c r="C21" s="77"/>
      <c r="D21" s="78"/>
      <c r="E21" s="79"/>
      <c r="F21" s="76"/>
      <c r="G21" s="50"/>
      <c r="K21" s="129"/>
      <c r="L21" s="102"/>
      <c r="M21" s="127"/>
      <c r="N21" s="127"/>
      <c r="O21" s="127"/>
      <c r="P21" s="112"/>
      <c r="Q21" s="112"/>
      <c r="R21" s="60"/>
      <c r="T21" s="261" t="s">
        <v>94</v>
      </c>
      <c r="U21" s="263" t="s">
        <v>599</v>
      </c>
      <c r="V21" s="263"/>
      <c r="W21" s="263"/>
      <c r="X21" s="263"/>
      <c r="Y21" s="263"/>
      <c r="Z21" s="263"/>
      <c r="AA21" s="263"/>
      <c r="AB21" s="263"/>
      <c r="AC21" s="261"/>
      <c r="AD21" s="264" t="s">
        <v>125</v>
      </c>
      <c r="AE21" s="261"/>
    </row>
    <row r="22" spans="1:31" ht="15.6" customHeight="1" x14ac:dyDescent="0.3">
      <c r="A22" s="59" t="s">
        <v>5</v>
      </c>
      <c r="B22" s="60"/>
      <c r="C22" s="60"/>
      <c r="D22" s="62"/>
      <c r="E22" s="70">
        <f>AVERAGE(I62:I69)</f>
        <v>5.42</v>
      </c>
      <c r="F22" s="76"/>
      <c r="G22" s="50"/>
      <c r="H22" s="100"/>
      <c r="I22" s="128"/>
      <c r="J22" s="128"/>
      <c r="K22" s="129"/>
      <c r="L22" s="104"/>
      <c r="M22" s="127"/>
      <c r="N22" s="127"/>
      <c r="O22" s="127"/>
      <c r="P22" s="112"/>
      <c r="Q22" s="112"/>
      <c r="R22" s="60"/>
      <c r="T22" s="261" t="s">
        <v>96</v>
      </c>
      <c r="U22" s="263" t="s">
        <v>97</v>
      </c>
      <c r="V22" s="263"/>
      <c r="W22" s="263"/>
      <c r="X22" s="263"/>
      <c r="Y22" s="263"/>
      <c r="Z22" s="263"/>
      <c r="AA22" s="263"/>
      <c r="AB22" s="263"/>
      <c r="AC22" s="261"/>
      <c r="AD22" s="264" t="s">
        <v>125</v>
      </c>
      <c r="AE22" s="261"/>
    </row>
    <row r="23" spans="1:31" ht="13.2" customHeight="1" x14ac:dyDescent="0.3">
      <c r="A23" s="59" t="s">
        <v>6</v>
      </c>
      <c r="B23" s="60"/>
      <c r="C23" s="60"/>
      <c r="D23" s="62"/>
      <c r="E23" s="70">
        <f>_xlfn.STDEV.S(I62:I69)</f>
        <v>2.4846327696462516</v>
      </c>
      <c r="F23" s="76"/>
      <c r="G23" s="147" t="s">
        <v>113</v>
      </c>
      <c r="H23" s="77"/>
      <c r="I23" s="79"/>
      <c r="J23" s="157"/>
      <c r="K23" s="125"/>
      <c r="L23" s="126"/>
      <c r="M23" s="127"/>
      <c r="N23" s="127"/>
      <c r="O23" s="127"/>
      <c r="P23" s="112"/>
      <c r="Q23" s="112"/>
      <c r="R23" s="60"/>
      <c r="T23" s="261" t="s">
        <v>98</v>
      </c>
      <c r="U23" s="263" t="s">
        <v>99</v>
      </c>
      <c r="V23" s="263"/>
      <c r="W23" s="263"/>
      <c r="X23" s="263"/>
      <c r="Y23" s="263"/>
      <c r="Z23" s="263"/>
      <c r="AA23" s="263"/>
      <c r="AB23" s="263"/>
      <c r="AC23" s="261"/>
      <c r="AD23" s="264" t="s">
        <v>127</v>
      </c>
      <c r="AE23" s="261"/>
    </row>
    <row r="24" spans="1:31" ht="13.95" customHeight="1" x14ac:dyDescent="0.3">
      <c r="A24" s="59" t="s">
        <v>29</v>
      </c>
      <c r="B24" s="60"/>
      <c r="C24" s="60"/>
      <c r="D24" s="62"/>
      <c r="E24" s="71">
        <f>(E23/E22)*100</f>
        <v>45.841933019303532</v>
      </c>
      <c r="F24" s="76"/>
      <c r="G24" s="59" t="s">
        <v>5</v>
      </c>
      <c r="H24" s="60"/>
      <c r="I24" s="70">
        <f>AVERAGE($I$103:$I$113)</f>
        <v>3.561818181818182</v>
      </c>
      <c r="J24" s="128"/>
      <c r="K24" s="129"/>
      <c r="L24" s="102"/>
      <c r="M24" s="127"/>
      <c r="N24" s="127"/>
      <c r="O24" s="147" t="s">
        <v>225</v>
      </c>
      <c r="P24" s="77"/>
      <c r="Q24" s="79"/>
      <c r="R24" s="60"/>
      <c r="T24" s="261" t="s">
        <v>100</v>
      </c>
      <c r="U24" s="263" t="s">
        <v>101</v>
      </c>
      <c r="V24" s="263"/>
      <c r="W24" s="263"/>
      <c r="X24" s="263"/>
      <c r="Y24" s="263"/>
      <c r="Z24" s="263"/>
      <c r="AA24" s="263"/>
      <c r="AB24" s="263"/>
      <c r="AC24" s="261"/>
      <c r="AD24" s="264" t="s">
        <v>125</v>
      </c>
      <c r="AE24" s="261"/>
    </row>
    <row r="25" spans="1:31" ht="15" customHeight="1" x14ac:dyDescent="0.3">
      <c r="A25" s="59" t="s">
        <v>7</v>
      </c>
      <c r="B25" s="60"/>
      <c r="C25" s="60"/>
      <c r="D25" s="62"/>
      <c r="E25" s="131" t="str">
        <f>IF(E24&gt;25,"Mediana","Média")</f>
        <v>Mediana</v>
      </c>
      <c r="F25" s="76"/>
      <c r="G25" s="59" t="s">
        <v>6</v>
      </c>
      <c r="H25" s="60"/>
      <c r="I25" s="70">
        <f>_xlfn.STDEV.S($I$103:$I$113)</f>
        <v>2.9341806971685238</v>
      </c>
      <c r="J25" s="128"/>
      <c r="K25" s="129"/>
      <c r="L25" s="102"/>
      <c r="M25" s="112"/>
      <c r="N25" s="112"/>
      <c r="O25" s="59" t="s">
        <v>5</v>
      </c>
      <c r="P25" s="60"/>
      <c r="Q25" s="70">
        <f>AVERAGE($I$134:$I$139)</f>
        <v>3.7216666666666662</v>
      </c>
      <c r="R25" s="60"/>
      <c r="T25" s="261" t="s">
        <v>150</v>
      </c>
      <c r="U25" s="261" t="s">
        <v>151</v>
      </c>
      <c r="V25" s="261"/>
      <c r="W25" s="261"/>
      <c r="X25" s="261"/>
      <c r="Y25" s="261"/>
      <c r="Z25" s="261"/>
      <c r="AA25" s="261"/>
      <c r="AB25" s="261"/>
      <c r="AC25" s="261"/>
      <c r="AD25" s="264" t="s">
        <v>127</v>
      </c>
      <c r="AE25" s="261"/>
    </row>
    <row r="26" spans="1:31" ht="18.600000000000001" customHeight="1" x14ac:dyDescent="0.3">
      <c r="A26" s="59" t="s">
        <v>8</v>
      </c>
      <c r="B26" s="60"/>
      <c r="C26" s="60"/>
      <c r="D26" s="62"/>
      <c r="E26" s="70">
        <f>MIN(I62:I69)</f>
        <v>2.5</v>
      </c>
      <c r="F26" s="124"/>
      <c r="G26" s="59" t="s">
        <v>29</v>
      </c>
      <c r="H26" s="60"/>
      <c r="I26" s="71">
        <f>(I25/I24)*100</f>
        <v>82.378733202791636</v>
      </c>
      <c r="J26" s="128"/>
      <c r="K26" s="129"/>
      <c r="L26" s="104"/>
      <c r="M26" s="60"/>
      <c r="N26" s="60"/>
      <c r="O26" s="59" t="s">
        <v>6</v>
      </c>
      <c r="P26" s="60"/>
      <c r="Q26" s="70">
        <f>_xlfn.STDEV.S($I$134:$I$139)</f>
        <v>1.3813097649212038</v>
      </c>
      <c r="R26" s="60"/>
      <c r="T26" s="262" t="s">
        <v>102</v>
      </c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</row>
    <row r="27" spans="1:31" ht="19.95" customHeight="1" x14ac:dyDescent="0.3">
      <c r="A27" s="147" t="s">
        <v>110</v>
      </c>
      <c r="B27" s="147"/>
      <c r="C27" s="77"/>
      <c r="D27" s="78"/>
      <c r="E27" s="79"/>
      <c r="F27"/>
      <c r="G27" s="59" t="s">
        <v>7</v>
      </c>
      <c r="H27" s="60"/>
      <c r="I27" s="131" t="str">
        <f>IF(I26&gt;25,"Mediana","Média")</f>
        <v>Mediana</v>
      </c>
      <c r="J27" s="128"/>
      <c r="K27" s="129"/>
      <c r="L27" s="158"/>
      <c r="O27" s="59" t="s">
        <v>29</v>
      </c>
      <c r="P27" s="60"/>
      <c r="Q27" s="71">
        <f>(Q26/Q25)*100</f>
        <v>37.115354185074892</v>
      </c>
      <c r="R27" s="60"/>
      <c r="T27" s="263" t="s">
        <v>152</v>
      </c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</row>
    <row r="28" spans="1:31" x14ac:dyDescent="0.3">
      <c r="A28" s="59" t="s">
        <v>5</v>
      </c>
      <c r="B28" s="60"/>
      <c r="C28" s="60"/>
      <c r="D28" s="62"/>
      <c r="E28" s="70">
        <f>AVERAGE(I70:I77)</f>
        <v>8.0425000000000004</v>
      </c>
      <c r="F28" s="117"/>
      <c r="G28" s="59" t="s">
        <v>8</v>
      </c>
      <c r="H28" s="60"/>
      <c r="I28" s="70">
        <f>MIN($I$103:$I107)</f>
        <v>1.43</v>
      </c>
      <c r="J28" s="128"/>
      <c r="K28" s="129"/>
      <c r="L28" s="102"/>
      <c r="O28" s="59" t="s">
        <v>7</v>
      </c>
      <c r="P28" s="60"/>
      <c r="Q28" s="131" t="str">
        <f>IF(Q27&gt;25,"Mediana","Média")</f>
        <v>Mediana</v>
      </c>
      <c r="T28" s="263" t="s">
        <v>153</v>
      </c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</row>
    <row r="29" spans="1:31" x14ac:dyDescent="0.3">
      <c r="A29" s="59" t="s">
        <v>6</v>
      </c>
      <c r="B29" s="60"/>
      <c r="C29" s="60"/>
      <c r="D29" s="62"/>
      <c r="E29" s="70">
        <f>_xlfn.STDEV.S(I70:I77)</f>
        <v>2.3252695696259735</v>
      </c>
      <c r="F29" s="67"/>
      <c r="G29" s="147" t="s">
        <v>114</v>
      </c>
      <c r="H29" s="77"/>
      <c r="I29" s="79"/>
      <c r="J29" s="157"/>
      <c r="K29" s="125"/>
      <c r="L29" s="126"/>
      <c r="O29" s="59" t="s">
        <v>8</v>
      </c>
      <c r="P29" s="60"/>
      <c r="Q29" s="70">
        <f>MIN($I$134:$I$139)</f>
        <v>2.5</v>
      </c>
      <c r="T29" s="261" t="s">
        <v>154</v>
      </c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</row>
    <row r="30" spans="1:31" x14ac:dyDescent="0.3">
      <c r="A30" s="59" t="s">
        <v>29</v>
      </c>
      <c r="B30" s="60"/>
      <c r="C30" s="60"/>
      <c r="D30" s="62"/>
      <c r="E30" s="71">
        <f>(E29/E28)*100</f>
        <v>28.91227316911375</v>
      </c>
      <c r="F30" s="68"/>
      <c r="G30" s="59" t="s">
        <v>5</v>
      </c>
      <c r="H30" s="60"/>
      <c r="I30" s="70">
        <f>AVERAGE($I$114:$I$124)</f>
        <v>3.6972727272727268</v>
      </c>
      <c r="J30" s="128"/>
      <c r="K30" s="129"/>
      <c r="L30" s="102"/>
      <c r="T30" s="626" t="s">
        <v>155</v>
      </c>
      <c r="U30" s="626"/>
      <c r="V30" s="626"/>
      <c r="W30" s="626"/>
      <c r="X30" s="626"/>
      <c r="Y30" s="626"/>
      <c r="Z30" s="626"/>
      <c r="AA30" s="626"/>
      <c r="AB30" s="626"/>
      <c r="AC30" s="626"/>
      <c r="AD30" s="626"/>
      <c r="AE30" s="261"/>
    </row>
    <row r="31" spans="1:31" ht="14.4" customHeight="1" x14ac:dyDescent="0.3">
      <c r="A31" s="59" t="s">
        <v>7</v>
      </c>
      <c r="B31" s="60"/>
      <c r="C31" s="60"/>
      <c r="D31" s="62"/>
      <c r="E31" s="131" t="str">
        <f>IF(E30&gt;25,"Mediana","Média")</f>
        <v>Mediana</v>
      </c>
      <c r="F31" s="68"/>
      <c r="G31" s="59" t="s">
        <v>6</v>
      </c>
      <c r="H31" s="60"/>
      <c r="I31" s="70">
        <f>_xlfn.STDEV.S($I$114:$I$124)</f>
        <v>1.1393865973328909</v>
      </c>
      <c r="J31" s="128"/>
      <c r="K31" s="129"/>
      <c r="L31" s="102"/>
      <c r="O31" s="147" t="s">
        <v>226</v>
      </c>
      <c r="P31" s="77"/>
      <c r="Q31" s="79"/>
      <c r="T31" s="627" t="s">
        <v>103</v>
      </c>
      <c r="U31" s="627"/>
      <c r="V31" s="627"/>
      <c r="W31" s="627"/>
      <c r="X31" s="627"/>
      <c r="Y31" s="627"/>
      <c r="Z31" s="627"/>
      <c r="AA31" s="627"/>
      <c r="AB31" s="627"/>
      <c r="AC31" s="627"/>
      <c r="AD31" s="627"/>
      <c r="AE31" s="261"/>
    </row>
    <row r="32" spans="1:31" ht="14.4" customHeight="1" x14ac:dyDescent="0.3">
      <c r="A32" s="59" t="s">
        <v>8</v>
      </c>
      <c r="B32" s="60"/>
      <c r="C32" s="60"/>
      <c r="D32" s="62"/>
      <c r="E32" s="70">
        <f>MIN(I70:I77)</f>
        <v>4.5</v>
      </c>
      <c r="F32" s="69"/>
      <c r="G32" s="59" t="s">
        <v>29</v>
      </c>
      <c r="H32" s="60"/>
      <c r="I32" s="71">
        <f>(I31/I30)*100</f>
        <v>30.816947555106474</v>
      </c>
      <c r="J32" s="128"/>
      <c r="K32" s="129"/>
      <c r="L32" s="104"/>
      <c r="O32" s="59" t="s">
        <v>5</v>
      </c>
      <c r="P32" s="60"/>
      <c r="Q32" s="70">
        <f>AVERAGE($I$140:$I$150)</f>
        <v>3.3472727272727281</v>
      </c>
      <c r="T32" s="626" t="s">
        <v>155</v>
      </c>
      <c r="U32" s="626"/>
      <c r="V32" s="626"/>
      <c r="W32" s="626"/>
      <c r="X32" s="626"/>
      <c r="Y32" s="626"/>
      <c r="Z32" s="626"/>
      <c r="AA32" s="626"/>
      <c r="AB32" s="626"/>
      <c r="AC32" s="626"/>
      <c r="AD32" s="626"/>
      <c r="AE32" s="261"/>
    </row>
    <row r="33" spans="1:31" x14ac:dyDescent="0.3">
      <c r="A33" s="147" t="s">
        <v>111</v>
      </c>
      <c r="B33" s="77"/>
      <c r="C33" s="77"/>
      <c r="D33" s="78"/>
      <c r="E33" s="79"/>
      <c r="F33" s="67"/>
      <c r="G33" s="59" t="s">
        <v>7</v>
      </c>
      <c r="H33" s="60"/>
      <c r="I33" s="131" t="str">
        <f>IF(I32&gt;25,"Mediana","Média")</f>
        <v>Mediana</v>
      </c>
      <c r="J33" s="128"/>
      <c r="K33" s="129"/>
      <c r="L33" s="158"/>
      <c r="O33" s="59" t="s">
        <v>6</v>
      </c>
      <c r="P33" s="60"/>
      <c r="Q33" s="70">
        <f>_xlfn.STDEV.S($I$140:$I$150)</f>
        <v>0.92933407243133626</v>
      </c>
      <c r="T33" s="627" t="s">
        <v>103</v>
      </c>
      <c r="U33" s="627"/>
      <c r="V33" s="627"/>
      <c r="W33" s="627"/>
      <c r="X33" s="627"/>
      <c r="Y33" s="627"/>
      <c r="Z33" s="627"/>
      <c r="AA33" s="627"/>
      <c r="AB33" s="627"/>
      <c r="AC33" s="627"/>
      <c r="AD33" s="627"/>
      <c r="AE33" s="261"/>
    </row>
    <row r="34" spans="1:31" x14ac:dyDescent="0.3">
      <c r="A34" s="59" t="s">
        <v>5</v>
      </c>
      <c r="B34" s="60"/>
      <c r="C34" s="60"/>
      <c r="D34" s="62"/>
      <c r="E34" s="70">
        <f>AVERAGE($I$78:$I$87)</f>
        <v>3.0178000000000003</v>
      </c>
      <c r="F34" s="66"/>
      <c r="G34" s="59" t="s">
        <v>8</v>
      </c>
      <c r="H34" s="60"/>
      <c r="I34" s="70">
        <f>MIN($I$114:$I124)</f>
        <v>2.21</v>
      </c>
      <c r="J34" s="128"/>
      <c r="K34" s="129"/>
      <c r="L34" s="102"/>
      <c r="O34" s="59" t="s">
        <v>29</v>
      </c>
      <c r="P34" s="60"/>
      <c r="Q34" s="71">
        <f>(Q33/Q32)*100</f>
        <v>27.763918513700968</v>
      </c>
    </row>
    <row r="35" spans="1:31" x14ac:dyDescent="0.3">
      <c r="A35" s="59" t="s">
        <v>6</v>
      </c>
      <c r="B35" s="60"/>
      <c r="C35" s="60"/>
      <c r="D35" s="62"/>
      <c r="E35" s="70">
        <f>_xlfn.STDEV.S($I$78:$I$87)</f>
        <v>2.6679829168202041</v>
      </c>
      <c r="F35" s="130"/>
      <c r="G35" s="147" t="s">
        <v>115</v>
      </c>
      <c r="H35" s="77"/>
      <c r="I35" s="79"/>
      <c r="J35" s="157"/>
      <c r="K35" s="125"/>
      <c r="L35" s="126"/>
      <c r="O35" s="59" t="s">
        <v>7</v>
      </c>
      <c r="P35" s="60"/>
      <c r="Q35" s="131" t="str">
        <f>IF(Q34&gt;25,"Mediana","Média")</f>
        <v>Mediana</v>
      </c>
    </row>
    <row r="36" spans="1:31" ht="14.4" customHeight="1" x14ac:dyDescent="0.3">
      <c r="A36" s="59" t="s">
        <v>29</v>
      </c>
      <c r="B36" s="60"/>
      <c r="C36" s="60"/>
      <c r="D36" s="62"/>
      <c r="E36" s="71">
        <f>(E35/E34)*100</f>
        <v>88.408208523434411</v>
      </c>
      <c r="F36" s="67"/>
      <c r="G36" s="59" t="s">
        <v>5</v>
      </c>
      <c r="H36" s="60"/>
      <c r="I36" s="70">
        <f>AVERAGE($I$125:$I$133)</f>
        <v>5.1233333333333331</v>
      </c>
      <c r="J36" s="128"/>
      <c r="K36" s="129"/>
      <c r="L36" s="102"/>
      <c r="O36" s="59" t="s">
        <v>8</v>
      </c>
      <c r="P36" s="60"/>
      <c r="Q36" s="70">
        <f>MIN($I$140:$I$150)</f>
        <v>2.08</v>
      </c>
    </row>
    <row r="37" spans="1:31" ht="18" customHeight="1" x14ac:dyDescent="0.3">
      <c r="A37" s="59" t="s">
        <v>7</v>
      </c>
      <c r="B37" s="60"/>
      <c r="C37" s="60"/>
      <c r="D37" s="62"/>
      <c r="E37" s="131" t="str">
        <f>IF(E36&gt;25,"Mediana","Média")</f>
        <v>Mediana</v>
      </c>
      <c r="F37" s="68"/>
      <c r="G37" s="59" t="s">
        <v>6</v>
      </c>
      <c r="H37" s="60"/>
      <c r="I37" s="70">
        <f>_xlfn.STDEV.S($I$125:$I$133)</f>
        <v>2.2490831465288244</v>
      </c>
      <c r="J37" s="128"/>
      <c r="K37" s="129"/>
      <c r="L37" s="102"/>
    </row>
    <row r="38" spans="1:31" ht="14.4" customHeight="1" x14ac:dyDescent="0.3">
      <c r="A38" s="59" t="s">
        <v>8</v>
      </c>
      <c r="B38" s="60"/>
      <c r="C38" s="60"/>
      <c r="D38" s="62"/>
      <c r="E38" s="70">
        <f>MIN($I$78:$I$87)</f>
        <v>0.98</v>
      </c>
      <c r="F38" s="68"/>
      <c r="G38" s="59" t="s">
        <v>29</v>
      </c>
      <c r="H38" s="60"/>
      <c r="I38" s="71">
        <f>(I37/I36)*100</f>
        <v>43.898825241291306</v>
      </c>
      <c r="J38" s="128"/>
      <c r="K38" s="129"/>
      <c r="L38" s="104"/>
    </row>
    <row r="39" spans="1:31" x14ac:dyDescent="0.3">
      <c r="A39" s="147" t="s">
        <v>112</v>
      </c>
      <c r="B39" s="77"/>
      <c r="C39" s="77"/>
      <c r="D39" s="78"/>
      <c r="E39" s="79"/>
      <c r="F39" s="69"/>
      <c r="G39" s="59" t="s">
        <v>7</v>
      </c>
      <c r="H39" s="60"/>
      <c r="I39" s="131" t="str">
        <f>IF(I38&gt;25,"Mediana","Média")</f>
        <v>Mediana</v>
      </c>
      <c r="J39" s="128"/>
      <c r="K39" s="129"/>
      <c r="L39" s="158"/>
    </row>
    <row r="40" spans="1:31" x14ac:dyDescent="0.3">
      <c r="A40" s="59" t="s">
        <v>5</v>
      </c>
      <c r="B40" s="60"/>
      <c r="C40" s="60"/>
      <c r="D40" s="62"/>
      <c r="E40" s="70">
        <f>AVERAGE(I88:I102)</f>
        <v>4.1040000000000001</v>
      </c>
      <c r="F40" s="67"/>
      <c r="G40" s="59" t="s">
        <v>8</v>
      </c>
      <c r="H40" s="60"/>
      <c r="I40" s="70">
        <f>MIN($I$125:$I$133)</f>
        <v>3</v>
      </c>
      <c r="J40" s="128"/>
      <c r="K40" s="129"/>
      <c r="L40" s="102"/>
    </row>
    <row r="41" spans="1:31" x14ac:dyDescent="0.3">
      <c r="A41" s="59" t="s">
        <v>6</v>
      </c>
      <c r="B41" s="60"/>
      <c r="C41" s="60"/>
      <c r="D41" s="62"/>
      <c r="E41" s="70">
        <f>_xlfn.STDEV.S(I88:I102)</f>
        <v>1.8864055010219078</v>
      </c>
      <c r="F41" s="67"/>
      <c r="G41" s="50"/>
      <c r="J41" s="98"/>
      <c r="K41" s="97"/>
      <c r="L41" s="97"/>
    </row>
    <row r="42" spans="1:31" x14ac:dyDescent="0.3">
      <c r="A42" s="59" t="s">
        <v>29</v>
      </c>
      <c r="B42" s="60"/>
      <c r="C42" s="60"/>
      <c r="D42" s="62"/>
      <c r="E42" s="71">
        <f>(E41/E40)*100</f>
        <v>45.965046321196581</v>
      </c>
      <c r="F42" s="67"/>
      <c r="G42" s="50"/>
    </row>
    <row r="43" spans="1:31" x14ac:dyDescent="0.3">
      <c r="A43" s="59" t="s">
        <v>7</v>
      </c>
      <c r="B43" s="60"/>
      <c r="C43" s="60"/>
      <c r="D43" s="62"/>
      <c r="E43" s="131" t="str">
        <f>IF(E42&gt;25,"Mediana","Média")</f>
        <v>Mediana</v>
      </c>
      <c r="F43" s="67"/>
      <c r="G43" s="50"/>
    </row>
    <row r="44" spans="1:31" x14ac:dyDescent="0.3">
      <c r="A44" s="59" t="s">
        <v>8</v>
      </c>
      <c r="B44" s="60"/>
      <c r="C44" s="60"/>
      <c r="D44" s="62"/>
      <c r="E44" s="70">
        <f>MIN(I88:I102)</f>
        <v>2.38</v>
      </c>
      <c r="F44" s="67"/>
      <c r="G44" s="50"/>
    </row>
    <row r="45" spans="1:31" x14ac:dyDescent="0.3">
      <c r="A45" s="59"/>
      <c r="B45" s="60"/>
      <c r="C45" s="60"/>
      <c r="D45" s="62"/>
      <c r="E45" s="70"/>
      <c r="F45" s="67"/>
      <c r="G45" s="50"/>
    </row>
    <row r="46" spans="1:31" ht="15" thickBot="1" x14ac:dyDescent="0.35">
      <c r="A46" s="59"/>
      <c r="B46" s="60"/>
      <c r="C46" s="60"/>
      <c r="D46" s="62"/>
      <c r="E46" s="70"/>
      <c r="F46" s="67"/>
      <c r="G46" s="50"/>
    </row>
    <row r="47" spans="1:31" ht="15" customHeight="1" x14ac:dyDescent="0.3">
      <c r="A47" s="706" t="s">
        <v>10</v>
      </c>
      <c r="B47" s="656" t="s">
        <v>11</v>
      </c>
      <c r="C47" s="656" t="s">
        <v>12</v>
      </c>
      <c r="D47" s="656" t="s">
        <v>13</v>
      </c>
      <c r="E47" s="656" t="s">
        <v>14</v>
      </c>
      <c r="F47" s="656" t="s">
        <v>15</v>
      </c>
      <c r="G47" s="656" t="s">
        <v>16</v>
      </c>
      <c r="H47" s="700" t="s">
        <v>17</v>
      </c>
      <c r="I47" s="638" t="s">
        <v>18</v>
      </c>
      <c r="J47" s="638" t="s">
        <v>66</v>
      </c>
      <c r="K47" s="702" t="s">
        <v>118</v>
      </c>
      <c r="L47" s="704" t="s">
        <v>117</v>
      </c>
      <c r="M47" s="698" t="s">
        <v>19</v>
      </c>
      <c r="N47" s="643" t="s">
        <v>119</v>
      </c>
      <c r="O47" s="644"/>
      <c r="P47" s="679" t="s">
        <v>20</v>
      </c>
      <c r="Q47" s="680"/>
    </row>
    <row r="48" spans="1:31" s="6" customFormat="1" ht="32.25" customHeight="1" thickBot="1" x14ac:dyDescent="0.35">
      <c r="A48" s="707"/>
      <c r="B48" s="657"/>
      <c r="C48" s="657"/>
      <c r="D48" s="657"/>
      <c r="E48" s="657"/>
      <c r="F48" s="657"/>
      <c r="G48" s="657"/>
      <c r="H48" s="701"/>
      <c r="I48" s="639"/>
      <c r="J48" s="639"/>
      <c r="K48" s="703"/>
      <c r="L48" s="705"/>
      <c r="M48" s="699"/>
      <c r="N48" s="645"/>
      <c r="O48" s="646"/>
      <c r="P48" s="30" t="s">
        <v>21</v>
      </c>
      <c r="Q48" s="31" t="s">
        <v>22</v>
      </c>
    </row>
    <row r="49" spans="1:17" ht="33" customHeight="1" x14ac:dyDescent="0.3">
      <c r="A49" s="665">
        <v>1</v>
      </c>
      <c r="B49" s="682" t="s">
        <v>165</v>
      </c>
      <c r="C49" s="649" t="s">
        <v>12</v>
      </c>
      <c r="D49" s="651">
        <f>100+50+100</f>
        <v>250</v>
      </c>
      <c r="E49" s="54" t="s">
        <v>247</v>
      </c>
      <c r="F49" s="33" t="s">
        <v>166</v>
      </c>
      <c r="G49" s="33" t="s">
        <v>122</v>
      </c>
      <c r="H49" s="34" t="s">
        <v>122</v>
      </c>
      <c r="I49" s="292">
        <v>3.12</v>
      </c>
      <c r="J49" s="688">
        <f>AVERAGE(I49:I61)</f>
        <v>5.7907692307692304</v>
      </c>
      <c r="K49" s="629">
        <f>((0.3*J49)+J49)</f>
        <v>7.5279999999999996</v>
      </c>
      <c r="L49" s="613">
        <f>70%*J49</f>
        <v>4.0535384615384613</v>
      </c>
      <c r="M49" s="176" t="str">
        <f>IF(I49&gt;K$49,"EXCESSIVAMENTE ELEVADO",IF(I49&lt;L$49,"INEXEQUÍVEL","VÁLIDO"))</f>
        <v>INEXEQUÍVEL</v>
      </c>
      <c r="N49" s="209">
        <f>I49/$J$49</f>
        <v>0.53878852284803402</v>
      </c>
      <c r="O49" s="279" t="s">
        <v>468</v>
      </c>
      <c r="P49" s="605">
        <f>TRUNC(MEDIAN(I52:I59),2)</f>
        <v>6.1</v>
      </c>
      <c r="Q49" s="609">
        <f>P49*D49</f>
        <v>1525</v>
      </c>
    </row>
    <row r="50" spans="1:17" ht="50.4" customHeight="1" x14ac:dyDescent="0.3">
      <c r="A50" s="669"/>
      <c r="B50" s="683"/>
      <c r="C50" s="620"/>
      <c r="D50" s="623"/>
      <c r="E50" s="36" t="s">
        <v>342</v>
      </c>
      <c r="F50" s="33" t="s">
        <v>24</v>
      </c>
      <c r="G50" s="34" t="s">
        <v>246</v>
      </c>
      <c r="H50" s="33" t="s">
        <v>68</v>
      </c>
      <c r="I50" s="300">
        <v>3.5</v>
      </c>
      <c r="J50" s="662"/>
      <c r="K50" s="630"/>
      <c r="L50" s="637"/>
      <c r="M50" s="177" t="str">
        <f>IF(I50&gt;K$49,"EXCESSIVAMENTE ELEVADO",IF(I50&lt;L$49,"INEXEQUÍVEL","VÁLIDO"))</f>
        <v>INEXEQUÍVEL</v>
      </c>
      <c r="N50" s="202">
        <f>I50/$J$49</f>
        <v>0.60441020191285866</v>
      </c>
      <c r="O50" s="346" t="s">
        <v>468</v>
      </c>
      <c r="P50" s="686"/>
      <c r="Q50" s="681"/>
    </row>
    <row r="51" spans="1:17" ht="45" customHeight="1" x14ac:dyDescent="0.3">
      <c r="A51" s="669"/>
      <c r="B51" s="683"/>
      <c r="C51" s="620"/>
      <c r="D51" s="623"/>
      <c r="E51" s="36" t="s">
        <v>242</v>
      </c>
      <c r="F51" s="33" t="s">
        <v>341</v>
      </c>
      <c r="G51" s="34" t="s">
        <v>253</v>
      </c>
      <c r="H51" s="33" t="s">
        <v>68</v>
      </c>
      <c r="I51" s="300">
        <v>3.65</v>
      </c>
      <c r="J51" s="662"/>
      <c r="K51" s="630"/>
      <c r="L51" s="637"/>
      <c r="M51" s="177" t="str">
        <f>IF(I51&gt;K$49,"EXCESSIVAMENTE ELEVADO",IF(I51&lt;L$49,"INEXEQUÍVEL","VÁLIDO"))</f>
        <v>INEXEQUÍVEL</v>
      </c>
      <c r="N51" s="202">
        <f>I51/$J$49</f>
        <v>0.63031349628055267</v>
      </c>
      <c r="O51" s="346" t="s">
        <v>468</v>
      </c>
      <c r="P51" s="687"/>
      <c r="Q51" s="681"/>
    </row>
    <row r="52" spans="1:17" ht="39" customHeight="1" x14ac:dyDescent="0.3">
      <c r="A52" s="669"/>
      <c r="B52" s="683"/>
      <c r="C52" s="620"/>
      <c r="D52" s="623"/>
      <c r="E52" s="33" t="s">
        <v>254</v>
      </c>
      <c r="F52" s="33" t="s">
        <v>26</v>
      </c>
      <c r="G52" s="34" t="s">
        <v>252</v>
      </c>
      <c r="H52" s="33" t="s">
        <v>65</v>
      </c>
      <c r="I52" s="300">
        <v>4.5</v>
      </c>
      <c r="J52" s="662"/>
      <c r="K52" s="630"/>
      <c r="L52" s="637"/>
      <c r="M52" s="177" t="str">
        <f>IF(I52&gt;K$49,"EXCESSIVAMENTE ELEVADO",IF(I52&lt;L$49,"INEXEQUÍVEL","VÁLIDO"))</f>
        <v>VÁLIDO</v>
      </c>
      <c r="N52" s="211"/>
      <c r="O52" s="242"/>
      <c r="P52" s="687"/>
      <c r="Q52" s="681"/>
    </row>
    <row r="53" spans="1:17" ht="43.2" customHeight="1" x14ac:dyDescent="0.3">
      <c r="A53" s="669"/>
      <c r="B53" s="683"/>
      <c r="C53" s="620"/>
      <c r="D53" s="623"/>
      <c r="E53" s="347" t="s">
        <v>239</v>
      </c>
      <c r="F53" s="40" t="s">
        <v>9</v>
      </c>
      <c r="G53" s="34" t="s">
        <v>240</v>
      </c>
      <c r="H53" s="33" t="s">
        <v>68</v>
      </c>
      <c r="I53" s="292">
        <v>5</v>
      </c>
      <c r="J53" s="662"/>
      <c r="K53" s="630"/>
      <c r="L53" s="637"/>
      <c r="M53" s="177" t="str">
        <f>IF(I53&gt;K$49,"EXCESSIVAMENTE ELEVADO",IF(I53&lt;L$49,"INEXEQUÍVEL","VÁLIDO"))</f>
        <v>VÁLIDO</v>
      </c>
      <c r="N53" s="211"/>
      <c r="O53" s="242"/>
      <c r="P53" s="687"/>
      <c r="Q53" s="681"/>
    </row>
    <row r="54" spans="1:17" ht="66.599999999999994" customHeight="1" x14ac:dyDescent="0.3">
      <c r="A54" s="666"/>
      <c r="B54" s="684"/>
      <c r="C54" s="621"/>
      <c r="D54" s="624"/>
      <c r="E54" s="345" t="s">
        <v>232</v>
      </c>
      <c r="F54" s="33" t="s">
        <v>27</v>
      </c>
      <c r="G54" s="34" t="s">
        <v>230</v>
      </c>
      <c r="H54" s="33" t="s">
        <v>122</v>
      </c>
      <c r="I54" s="292">
        <v>5.2</v>
      </c>
      <c r="J54" s="663"/>
      <c r="K54" s="631"/>
      <c r="L54" s="614"/>
      <c r="M54" s="177" t="str">
        <f>IF(I54&gt;K$49,"EXCESSIVAMENTE ELEVADO",IF(I54&lt;L$49,"Inexequível","VÁLIDO"))</f>
        <v>VÁLIDO</v>
      </c>
      <c r="N54" s="202"/>
      <c r="O54" s="243"/>
      <c r="P54" s="606"/>
      <c r="Q54" s="610"/>
    </row>
    <row r="55" spans="1:17" ht="43.2" customHeight="1" x14ac:dyDescent="0.3">
      <c r="A55" s="666"/>
      <c r="B55" s="684"/>
      <c r="C55" s="621"/>
      <c r="D55" s="624"/>
      <c r="E55" s="36" t="s">
        <v>245</v>
      </c>
      <c r="F55" s="40" t="s">
        <v>9</v>
      </c>
      <c r="G55" s="34" t="s">
        <v>241</v>
      </c>
      <c r="H55" s="33" t="s">
        <v>65</v>
      </c>
      <c r="I55" s="292">
        <v>6.1</v>
      </c>
      <c r="J55" s="663"/>
      <c r="K55" s="631"/>
      <c r="L55" s="614"/>
      <c r="M55" s="177" t="str">
        <f>IF(I55&gt;K$49,"EXCESSIVAMENTE ELEVADO",IF(I55&lt;L$49,"Inexequível","VÁLIDO"))</f>
        <v>VÁLIDO</v>
      </c>
      <c r="N55" s="151"/>
      <c r="O55" s="238"/>
      <c r="P55" s="606"/>
      <c r="Q55" s="610"/>
    </row>
    <row r="56" spans="1:17" ht="62.25" customHeight="1" x14ac:dyDescent="0.3">
      <c r="A56" s="666"/>
      <c r="B56" s="684"/>
      <c r="C56" s="621"/>
      <c r="D56" s="624"/>
      <c r="E56" s="45" t="s">
        <v>231</v>
      </c>
      <c r="F56" s="33" t="s">
        <v>27</v>
      </c>
      <c r="G56" s="34" t="s">
        <v>229</v>
      </c>
      <c r="H56" s="179" t="s">
        <v>123</v>
      </c>
      <c r="I56" s="292">
        <v>6.1</v>
      </c>
      <c r="J56" s="663"/>
      <c r="K56" s="631"/>
      <c r="L56" s="614"/>
      <c r="M56" s="177" t="str">
        <f>IF(I56&gt;K$49,"EXCESSIVAMENTE ELEVADO",IF(I56&lt;L$49,"INEXEQUÍVEL","VÁLIDO"))</f>
        <v>VÁLIDO</v>
      </c>
      <c r="N56" s="151"/>
      <c r="O56" s="238"/>
      <c r="P56" s="606"/>
      <c r="Q56" s="610"/>
    </row>
    <row r="57" spans="1:17" ht="55.2" x14ac:dyDescent="0.3">
      <c r="A57" s="666"/>
      <c r="B57" s="684"/>
      <c r="C57" s="621"/>
      <c r="D57" s="624"/>
      <c r="E57" s="308" t="s">
        <v>235</v>
      </c>
      <c r="F57" s="40" t="s">
        <v>27</v>
      </c>
      <c r="G57" s="419" t="s">
        <v>236</v>
      </c>
      <c r="H57" s="33" t="s">
        <v>65</v>
      </c>
      <c r="I57" s="292">
        <f>0.65+5.9</f>
        <v>6.5500000000000007</v>
      </c>
      <c r="J57" s="663"/>
      <c r="K57" s="631"/>
      <c r="L57" s="614"/>
      <c r="M57" s="177" t="str">
        <f>IF(I57&gt;K$49,"EXCESSIVAMENTE ELEVADO",IF(I57&lt;L$49,"Inexequível","VÁLIDO"))</f>
        <v>VÁLIDO</v>
      </c>
      <c r="N57" s="151"/>
      <c r="O57" s="238"/>
      <c r="P57" s="606"/>
      <c r="Q57" s="610"/>
    </row>
    <row r="58" spans="1:17" ht="40.5" customHeight="1" x14ac:dyDescent="0.3">
      <c r="A58" s="666"/>
      <c r="B58" s="684"/>
      <c r="C58" s="621"/>
      <c r="D58" s="624"/>
      <c r="E58" s="36" t="s">
        <v>243</v>
      </c>
      <c r="F58" s="40" t="s">
        <v>9</v>
      </c>
      <c r="G58" s="418" t="s">
        <v>244</v>
      </c>
      <c r="H58" s="38" t="s">
        <v>68</v>
      </c>
      <c r="I58" s="288">
        <v>7.4</v>
      </c>
      <c r="J58" s="663"/>
      <c r="K58" s="631"/>
      <c r="L58" s="614"/>
      <c r="M58" s="258" t="str">
        <f>IF(I58&gt;K$49,"EXCESSIVAMENTE ELEVADO",IF(I58&lt;L$49,"Inexequível","VÁLIDO"))</f>
        <v>VÁLIDO</v>
      </c>
      <c r="N58" s="148"/>
      <c r="O58" s="239"/>
      <c r="P58" s="606"/>
      <c r="Q58" s="610"/>
    </row>
    <row r="59" spans="1:17" ht="55.2" x14ac:dyDescent="0.3">
      <c r="A59" s="667"/>
      <c r="B59" s="685"/>
      <c r="C59" s="622"/>
      <c r="D59" s="625"/>
      <c r="E59" s="347" t="s">
        <v>237</v>
      </c>
      <c r="F59" s="45" t="s">
        <v>9</v>
      </c>
      <c r="G59" s="41" t="s">
        <v>238</v>
      </c>
      <c r="H59" s="38" t="s">
        <v>65</v>
      </c>
      <c r="I59" s="288">
        <v>7.4</v>
      </c>
      <c r="J59" s="664"/>
      <c r="K59" s="632"/>
      <c r="L59" s="616"/>
      <c r="M59" s="177" t="str">
        <f>IF(I59&gt;K$49,"EXCESSIVAMENTE ELEVADO",IF(I59&lt;L$49,"INEXEQUÍVEL","VÁLIDO"))</f>
        <v>VÁLIDO</v>
      </c>
      <c r="N59" s="148"/>
      <c r="O59" s="239"/>
      <c r="P59" s="607"/>
      <c r="Q59" s="611"/>
    </row>
    <row r="60" spans="1:17" ht="40.5" customHeight="1" x14ac:dyDescent="0.3">
      <c r="A60" s="667"/>
      <c r="B60" s="685"/>
      <c r="C60" s="622"/>
      <c r="D60" s="625"/>
      <c r="E60" s="40" t="s">
        <v>227</v>
      </c>
      <c r="F60" s="45" t="s">
        <v>26</v>
      </c>
      <c r="G60" s="41" t="s">
        <v>228</v>
      </c>
      <c r="H60" s="41" t="s">
        <v>65</v>
      </c>
      <c r="I60" s="557">
        <v>8</v>
      </c>
      <c r="J60" s="664"/>
      <c r="K60" s="632"/>
      <c r="L60" s="616"/>
      <c r="M60" s="258" t="str">
        <f>IF(I60&gt;K$49,"EXCESSIVAMENTE ELEVADO",IF(I60&lt;L$49,"INEXEQUÍVEL","VÁLIDO"))</f>
        <v>EXCESSIVAMENTE ELEVADO</v>
      </c>
      <c r="N60" s="210">
        <f>(I60-J49)/J49</f>
        <v>0.381509032943677</v>
      </c>
      <c r="O60" s="245" t="s">
        <v>634</v>
      </c>
      <c r="P60" s="607"/>
      <c r="Q60" s="611"/>
    </row>
    <row r="61" spans="1:17" ht="157.19999999999999" customHeight="1" thickBot="1" x14ac:dyDescent="0.35">
      <c r="A61" s="667"/>
      <c r="B61" s="685"/>
      <c r="C61" s="622"/>
      <c r="D61" s="625"/>
      <c r="E61" s="417" t="s">
        <v>234</v>
      </c>
      <c r="F61" s="45" t="s">
        <v>26</v>
      </c>
      <c r="G61" s="41" t="s">
        <v>233</v>
      </c>
      <c r="H61" s="200" t="s">
        <v>123</v>
      </c>
      <c r="I61" s="288">
        <f>8.16+0.6</f>
        <v>8.76</v>
      </c>
      <c r="J61" s="664"/>
      <c r="K61" s="632"/>
      <c r="L61" s="616"/>
      <c r="M61" s="244" t="str">
        <f>IF(I61&gt;K$49,"EXCESSIVAMENTE ELEVADO",IF(I61&lt;L$49,"Inexequível","VÁLIDO"))</f>
        <v>EXCESSIVAMENTE ELEVADO</v>
      </c>
      <c r="N61" s="210">
        <f>(I61-J49)/J49</f>
        <v>0.51275239107332626</v>
      </c>
      <c r="O61" s="245" t="s">
        <v>120</v>
      </c>
      <c r="P61" s="607"/>
      <c r="Q61" s="611"/>
    </row>
    <row r="62" spans="1:17" ht="36" customHeight="1" x14ac:dyDescent="0.3">
      <c r="A62" s="586">
        <v>2</v>
      </c>
      <c r="B62" s="589" t="s">
        <v>188</v>
      </c>
      <c r="C62" s="592" t="s">
        <v>183</v>
      </c>
      <c r="D62" s="594">
        <f>50+50+50</f>
        <v>150</v>
      </c>
      <c r="E62" s="85" t="s">
        <v>25</v>
      </c>
      <c r="F62" s="85" t="s">
        <v>26</v>
      </c>
      <c r="G62" s="52" t="s">
        <v>252</v>
      </c>
      <c r="H62" s="85" t="s">
        <v>65</v>
      </c>
      <c r="I62" s="473">
        <v>2.5</v>
      </c>
      <c r="J62" s="596">
        <f>AVERAGE(I62:I69)</f>
        <v>5.42</v>
      </c>
      <c r="K62" s="693">
        <f>((0.3*J62)+J62)</f>
        <v>7.0459999999999994</v>
      </c>
      <c r="L62" s="640">
        <f>0.7*J62</f>
        <v>3.7939999999999996</v>
      </c>
      <c r="M62" s="176" t="str">
        <f t="shared" ref="M62:M64" si="0">IF(I62&gt;K$62,"EXCESSIVAMENTE ELEVADO",IF(I62&lt;L$62,"INEXEQUÍVEL","VÁLIDO"))</f>
        <v>INEXEQUÍVEL</v>
      </c>
      <c r="N62" s="209">
        <f>I62/$J$62</f>
        <v>0.46125461254612549</v>
      </c>
      <c r="O62" s="563" t="s">
        <v>468</v>
      </c>
      <c r="P62" s="599">
        <f>TRUNC(MEDIAN(I65:I67),2)</f>
        <v>6.25</v>
      </c>
      <c r="Q62" s="602">
        <f>P62*D62</f>
        <v>937.5</v>
      </c>
    </row>
    <row r="63" spans="1:17" ht="40.200000000000003" customHeight="1" x14ac:dyDescent="0.3">
      <c r="A63" s="587"/>
      <c r="B63" s="590"/>
      <c r="C63" s="584"/>
      <c r="D63" s="585"/>
      <c r="E63" s="54" t="s">
        <v>338</v>
      </c>
      <c r="F63" s="33" t="s">
        <v>9</v>
      </c>
      <c r="G63" s="34" t="s">
        <v>272</v>
      </c>
      <c r="H63" s="33" t="s">
        <v>68</v>
      </c>
      <c r="I63" s="95">
        <v>2.54</v>
      </c>
      <c r="J63" s="597"/>
      <c r="K63" s="694"/>
      <c r="L63" s="641"/>
      <c r="M63" s="376" t="str">
        <f t="shared" si="0"/>
        <v>INEXEQUÍVEL</v>
      </c>
      <c r="N63" s="202">
        <f>I63/$J$62</f>
        <v>0.4686346863468635</v>
      </c>
      <c r="O63" s="562" t="s">
        <v>468</v>
      </c>
      <c r="P63" s="600"/>
      <c r="Q63" s="603"/>
    </row>
    <row r="64" spans="1:17" ht="39.6" customHeight="1" x14ac:dyDescent="0.3">
      <c r="A64" s="587"/>
      <c r="B64" s="590"/>
      <c r="C64" s="584"/>
      <c r="D64" s="585"/>
      <c r="E64" s="36" t="s">
        <v>339</v>
      </c>
      <c r="F64" s="33" t="s">
        <v>24</v>
      </c>
      <c r="G64" s="34" t="s">
        <v>340</v>
      </c>
      <c r="H64" s="33" t="s">
        <v>68</v>
      </c>
      <c r="I64" s="35">
        <v>3</v>
      </c>
      <c r="J64" s="597"/>
      <c r="K64" s="694"/>
      <c r="L64" s="641"/>
      <c r="M64" s="390" t="str">
        <f t="shared" si="0"/>
        <v>INEXEQUÍVEL</v>
      </c>
      <c r="N64" s="202">
        <f>I64/$J$62</f>
        <v>0.55350553505535061</v>
      </c>
      <c r="O64" s="562" t="s">
        <v>468</v>
      </c>
      <c r="P64" s="600"/>
      <c r="Q64" s="603"/>
    </row>
    <row r="65" spans="1:17" ht="37.5" customHeight="1" x14ac:dyDescent="0.3">
      <c r="A65" s="587"/>
      <c r="B65" s="590"/>
      <c r="C65" s="584"/>
      <c r="D65" s="585"/>
      <c r="E65" s="391" t="s">
        <v>247</v>
      </c>
      <c r="F65" s="45" t="s">
        <v>9</v>
      </c>
      <c r="G65" s="38" t="s">
        <v>122</v>
      </c>
      <c r="H65" s="33" t="s">
        <v>122</v>
      </c>
      <c r="I65" s="35">
        <v>5.72</v>
      </c>
      <c r="J65" s="597"/>
      <c r="K65" s="694"/>
      <c r="L65" s="641"/>
      <c r="M65" s="177" t="str">
        <f>IF(I65&gt;K$49,"EXCESSIVAMENTE ELEVADO",IF(I65&lt;L$49,"INEXEQUÍVEL","VÁLIDO"))</f>
        <v>VÁLIDO</v>
      </c>
      <c r="N65" s="151"/>
      <c r="O65" s="238"/>
      <c r="P65" s="600"/>
      <c r="Q65" s="603"/>
    </row>
    <row r="66" spans="1:17" ht="78.75" customHeight="1" x14ac:dyDescent="0.3">
      <c r="A66" s="587"/>
      <c r="B66" s="590"/>
      <c r="C66" s="584"/>
      <c r="D66" s="585"/>
      <c r="E66" s="33" t="s">
        <v>250</v>
      </c>
      <c r="F66" s="33" t="s">
        <v>27</v>
      </c>
      <c r="G66" s="34" t="s">
        <v>251</v>
      </c>
      <c r="H66" s="34" t="s">
        <v>65</v>
      </c>
      <c r="I66" s="471">
        <f>5.7+0.55</f>
        <v>6.25</v>
      </c>
      <c r="J66" s="597"/>
      <c r="K66" s="694"/>
      <c r="L66" s="641"/>
      <c r="M66" s="177" t="str">
        <f>IF(I66&gt;K$49,"EXCESSIVAMENTE ELEVADO",IF(I66&lt;L$49,"INEXEQUÍVEL","VÁLIDO"))</f>
        <v>VÁLIDO</v>
      </c>
      <c r="N66" s="151"/>
      <c r="O66" s="238"/>
      <c r="P66" s="600"/>
      <c r="Q66" s="603"/>
    </row>
    <row r="67" spans="1:17" ht="65.25" customHeight="1" x14ac:dyDescent="0.3">
      <c r="A67" s="587"/>
      <c r="B67" s="590"/>
      <c r="C67" s="584"/>
      <c r="D67" s="585"/>
      <c r="E67" s="38" t="s">
        <v>248</v>
      </c>
      <c r="F67" s="38" t="s">
        <v>27</v>
      </c>
      <c r="G67" s="41" t="s">
        <v>249</v>
      </c>
      <c r="H67" s="179" t="s">
        <v>123</v>
      </c>
      <c r="I67" s="95">
        <v>6.55</v>
      </c>
      <c r="J67" s="597"/>
      <c r="K67" s="694"/>
      <c r="L67" s="641"/>
      <c r="M67" s="258" t="str">
        <f>IF(I67&gt;K$62,"EXCESSIVAMENTE ELEVADO",IF(I67&lt;L$62,"Inexequível","VÁLIDO"))</f>
        <v>VÁLIDO</v>
      </c>
      <c r="N67" s="151"/>
      <c r="O67" s="238"/>
      <c r="P67" s="600"/>
      <c r="Q67" s="603"/>
    </row>
    <row r="68" spans="1:17" ht="54" customHeight="1" x14ac:dyDescent="0.3">
      <c r="A68" s="587"/>
      <c r="B68" s="590"/>
      <c r="C68" s="584"/>
      <c r="D68" s="585"/>
      <c r="E68" s="33" t="s">
        <v>255</v>
      </c>
      <c r="F68" s="38" t="s">
        <v>27</v>
      </c>
      <c r="G68" s="41" t="s">
        <v>256</v>
      </c>
      <c r="H68" s="179" t="s">
        <v>123</v>
      </c>
      <c r="I68" s="95">
        <f>7.25+0.55</f>
        <v>7.8</v>
      </c>
      <c r="J68" s="597"/>
      <c r="K68" s="694"/>
      <c r="L68" s="641"/>
      <c r="M68" s="258" t="str">
        <f>IF(I68&gt;K$62,"EXCESSIVAMENTE ELEVADO",IF(I68&lt;L$62,"Inexequível","VÁLIDO"))</f>
        <v>EXCESSIVAMENTE ELEVADO</v>
      </c>
      <c r="N68" s="210">
        <f>(I68-J62)/J62</f>
        <v>0.43911439114391143</v>
      </c>
      <c r="O68" s="245" t="s">
        <v>120</v>
      </c>
      <c r="P68" s="600"/>
      <c r="Q68" s="603"/>
    </row>
    <row r="69" spans="1:17" ht="42" thickBot="1" x14ac:dyDescent="0.35">
      <c r="A69" s="588"/>
      <c r="B69" s="591"/>
      <c r="C69" s="593"/>
      <c r="D69" s="595"/>
      <c r="E69" s="132" t="s">
        <v>227</v>
      </c>
      <c r="F69" s="132" t="s">
        <v>26</v>
      </c>
      <c r="G69" s="53" t="s">
        <v>228</v>
      </c>
      <c r="H69" s="53" t="s">
        <v>65</v>
      </c>
      <c r="I69" s="542">
        <v>9</v>
      </c>
      <c r="J69" s="598"/>
      <c r="K69" s="695"/>
      <c r="L69" s="642"/>
      <c r="M69" s="237" t="str">
        <f>IF(I69&gt;K$62,"EXCESSIVAMENTE ELEVADO",IF(I69&lt;L$62,"Inexequível","VÁLIDO"))</f>
        <v>EXCESSIVAMENTE ELEVADO</v>
      </c>
      <c r="N69" s="214">
        <f>(I69-J62)/J62</f>
        <v>0.66051660516605171</v>
      </c>
      <c r="O69" s="247" t="s">
        <v>120</v>
      </c>
      <c r="P69" s="601"/>
      <c r="Q69" s="604"/>
    </row>
    <row r="70" spans="1:17" ht="45.75" customHeight="1" x14ac:dyDescent="0.3">
      <c r="A70" s="665">
        <v>3</v>
      </c>
      <c r="B70" s="647" t="s">
        <v>196</v>
      </c>
      <c r="C70" s="649" t="s">
        <v>42</v>
      </c>
      <c r="D70" s="651">
        <f>200+100+100</f>
        <v>400</v>
      </c>
      <c r="E70" s="183" t="s">
        <v>260</v>
      </c>
      <c r="F70" s="197" t="s">
        <v>9</v>
      </c>
      <c r="G70" s="198" t="s">
        <v>228</v>
      </c>
      <c r="H70" s="85" t="s">
        <v>65</v>
      </c>
      <c r="I70" s="364">
        <v>4.5</v>
      </c>
      <c r="J70" s="658">
        <f>AVERAGE(I70:I77)</f>
        <v>8.0425000000000004</v>
      </c>
      <c r="K70" s="634">
        <f>((0.3*J70)+J70)</f>
        <v>10.455249999999999</v>
      </c>
      <c r="L70" s="629">
        <f>0.7*J70</f>
        <v>5.6297499999999996</v>
      </c>
      <c r="M70" s="176" t="str">
        <f>IF(I70&gt;K$70,"EXCESSIVAMENTE ELEVADO",IF(I70&lt;L$70,"INEXEQUÍVEL","VÁLIDO"))</f>
        <v>INEXEQUÍVEL</v>
      </c>
      <c r="N70" s="201">
        <f>I70/$J$70</f>
        <v>0.55952751010258006</v>
      </c>
      <c r="O70" s="241" t="s">
        <v>121</v>
      </c>
      <c r="P70" s="599">
        <f>TRUNC(MEDIAN(I71:I75),2)</f>
        <v>7.5</v>
      </c>
      <c r="Q70" s="602">
        <f>P70*D70</f>
        <v>3000</v>
      </c>
    </row>
    <row r="71" spans="1:17" ht="42" customHeight="1" x14ac:dyDescent="0.3">
      <c r="A71" s="669"/>
      <c r="B71" s="617"/>
      <c r="C71" s="620"/>
      <c r="D71" s="623"/>
      <c r="E71" s="36" t="s">
        <v>270</v>
      </c>
      <c r="F71" s="45" t="s">
        <v>24</v>
      </c>
      <c r="G71" s="41" t="s">
        <v>271</v>
      </c>
      <c r="H71" s="38" t="s">
        <v>68</v>
      </c>
      <c r="I71" s="366">
        <v>6.49</v>
      </c>
      <c r="J71" s="696"/>
      <c r="K71" s="635"/>
      <c r="L71" s="630"/>
      <c r="M71" s="177" t="str">
        <f t="shared" ref="M71:M77" si="1">IF(I71&gt;K$70,"EXCESSIVAMENTE ELEVADO",IF(I71&lt;L$70,"Inexequível","VÁLIDO"))</f>
        <v>VÁLIDO</v>
      </c>
      <c r="N71" s="202"/>
      <c r="O71" s="243"/>
      <c r="P71" s="600"/>
      <c r="Q71" s="603"/>
    </row>
    <row r="72" spans="1:17" ht="43.5" customHeight="1" x14ac:dyDescent="0.3">
      <c r="A72" s="669"/>
      <c r="B72" s="617"/>
      <c r="C72" s="620"/>
      <c r="D72" s="623"/>
      <c r="E72" s="33" t="s">
        <v>254</v>
      </c>
      <c r="F72" s="33" t="s">
        <v>26</v>
      </c>
      <c r="G72" s="34" t="s">
        <v>252</v>
      </c>
      <c r="H72" s="33" t="s">
        <v>65</v>
      </c>
      <c r="I72" s="366">
        <v>6.9</v>
      </c>
      <c r="J72" s="696"/>
      <c r="K72" s="635"/>
      <c r="L72" s="630"/>
      <c r="M72" s="177" t="str">
        <f t="shared" si="1"/>
        <v>VÁLIDO</v>
      </c>
      <c r="N72" s="202"/>
      <c r="O72" s="243"/>
      <c r="P72" s="600"/>
      <c r="Q72" s="603"/>
    </row>
    <row r="73" spans="1:17" ht="39.75" customHeight="1" x14ac:dyDescent="0.3">
      <c r="A73" s="666"/>
      <c r="B73" s="618"/>
      <c r="C73" s="621"/>
      <c r="D73" s="624"/>
      <c r="E73" s="40" t="s">
        <v>227</v>
      </c>
      <c r="F73" s="45" t="s">
        <v>26</v>
      </c>
      <c r="G73" s="41" t="s">
        <v>228</v>
      </c>
      <c r="H73" s="33" t="s">
        <v>65</v>
      </c>
      <c r="I73" s="366">
        <v>7.5</v>
      </c>
      <c r="J73" s="659"/>
      <c r="K73" s="635"/>
      <c r="L73" s="631"/>
      <c r="M73" s="177" t="str">
        <f t="shared" si="1"/>
        <v>VÁLIDO</v>
      </c>
      <c r="N73" s="151"/>
      <c r="O73" s="238"/>
      <c r="P73" s="600"/>
      <c r="Q73" s="603"/>
    </row>
    <row r="74" spans="1:17" ht="40.200000000000003" customHeight="1" x14ac:dyDescent="0.3">
      <c r="A74" s="667"/>
      <c r="B74" s="619"/>
      <c r="C74" s="622"/>
      <c r="D74" s="625"/>
      <c r="E74" s="54" t="s">
        <v>262</v>
      </c>
      <c r="F74" s="45" t="s">
        <v>9</v>
      </c>
      <c r="G74" s="41" t="s">
        <v>261</v>
      </c>
      <c r="H74" s="33" t="s">
        <v>68</v>
      </c>
      <c r="I74" s="366">
        <v>7.6</v>
      </c>
      <c r="J74" s="660"/>
      <c r="K74" s="635"/>
      <c r="L74" s="632"/>
      <c r="M74" s="177" t="str">
        <f t="shared" si="1"/>
        <v>VÁLIDO</v>
      </c>
      <c r="N74" s="148"/>
      <c r="O74" s="239"/>
      <c r="P74" s="600"/>
      <c r="Q74" s="603"/>
    </row>
    <row r="75" spans="1:17" ht="40.200000000000003" customHeight="1" x14ac:dyDescent="0.3">
      <c r="A75" s="667"/>
      <c r="B75" s="619"/>
      <c r="C75" s="622"/>
      <c r="D75" s="625"/>
      <c r="E75" s="48" t="s">
        <v>344</v>
      </c>
      <c r="F75" s="45" t="s">
        <v>24</v>
      </c>
      <c r="G75" s="34" t="s">
        <v>345</v>
      </c>
      <c r="H75" s="83" t="s">
        <v>65</v>
      </c>
      <c r="I75" s="395">
        <v>8.9</v>
      </c>
      <c r="J75" s="660"/>
      <c r="K75" s="635"/>
      <c r="L75" s="632"/>
      <c r="M75" s="177" t="str">
        <f t="shared" si="1"/>
        <v>VÁLIDO</v>
      </c>
      <c r="N75" s="148"/>
      <c r="O75" s="239"/>
      <c r="P75" s="600"/>
      <c r="Q75" s="603"/>
    </row>
    <row r="76" spans="1:17" ht="54" customHeight="1" x14ac:dyDescent="0.3">
      <c r="A76" s="667"/>
      <c r="B76" s="619"/>
      <c r="C76" s="622"/>
      <c r="D76" s="625"/>
      <c r="E76" s="40" t="s">
        <v>259</v>
      </c>
      <c r="F76" s="45" t="s">
        <v>27</v>
      </c>
      <c r="G76" s="41" t="s">
        <v>249</v>
      </c>
      <c r="H76" s="179" t="s">
        <v>123</v>
      </c>
      <c r="I76" s="366">
        <v>11</v>
      </c>
      <c r="J76" s="660"/>
      <c r="K76" s="635"/>
      <c r="L76" s="632"/>
      <c r="M76" s="258" t="str">
        <f t="shared" si="1"/>
        <v>EXCESSIVAMENTE ELEVADO</v>
      </c>
      <c r="N76" s="210">
        <f>(I76-J70)/J70</f>
        <v>0.36773391358408447</v>
      </c>
      <c r="O76" s="245" t="s">
        <v>120</v>
      </c>
      <c r="P76" s="600"/>
      <c r="Q76" s="603"/>
    </row>
    <row r="77" spans="1:17" ht="63.75" customHeight="1" thickBot="1" x14ac:dyDescent="0.35">
      <c r="A77" s="668"/>
      <c r="B77" s="648"/>
      <c r="C77" s="650"/>
      <c r="D77" s="652"/>
      <c r="E77" s="42" t="s">
        <v>257</v>
      </c>
      <c r="F77" s="42" t="s">
        <v>27</v>
      </c>
      <c r="G77" s="53" t="s">
        <v>258</v>
      </c>
      <c r="H77" s="53"/>
      <c r="I77" s="368">
        <f>10.9+0.55</f>
        <v>11.450000000000001</v>
      </c>
      <c r="J77" s="661"/>
      <c r="K77" s="636"/>
      <c r="L77" s="633"/>
      <c r="M77" s="237" t="str">
        <f t="shared" si="1"/>
        <v>EXCESSIVAMENTE ELEVADO</v>
      </c>
      <c r="N77" s="214">
        <f>(I77-J70)/J70</f>
        <v>0.42368666459434262</v>
      </c>
      <c r="O77" s="247" t="s">
        <v>120</v>
      </c>
      <c r="P77" s="601"/>
      <c r="Q77" s="604"/>
    </row>
    <row r="78" spans="1:17" ht="44.25" customHeight="1" x14ac:dyDescent="0.3">
      <c r="A78" s="665">
        <v>4</v>
      </c>
      <c r="B78" s="647" t="s">
        <v>195</v>
      </c>
      <c r="C78" s="592" t="s">
        <v>42</v>
      </c>
      <c r="D78" s="651">
        <f>100+50+100</f>
        <v>250</v>
      </c>
      <c r="E78" s="183" t="s">
        <v>350</v>
      </c>
      <c r="F78" s="85" t="s">
        <v>9</v>
      </c>
      <c r="G78" s="184" t="s">
        <v>351</v>
      </c>
      <c r="H78" s="85" t="s">
        <v>68</v>
      </c>
      <c r="I78" s="167">
        <v>0.98</v>
      </c>
      <c r="J78" s="658">
        <f>AVERAGE(I78:I87)</f>
        <v>3.0178000000000003</v>
      </c>
      <c r="K78" s="629">
        <f>((0.3*J78)+J78)</f>
        <v>3.9231400000000001</v>
      </c>
      <c r="L78" s="613">
        <f>0.7*J78</f>
        <v>2.11246</v>
      </c>
      <c r="M78" s="176" t="str">
        <f>IF(I78&gt;K$78,"EXCESSIVAMENTE ELEVADO",IF(I78&lt;L$78,"INEXEQUÍVEL","VÁLIDO"))</f>
        <v>INEXEQUÍVEL</v>
      </c>
      <c r="N78" s="209">
        <f>I78/$J$70</f>
        <v>0.12185265775567297</v>
      </c>
      <c r="O78" s="279" t="s">
        <v>121</v>
      </c>
      <c r="P78" s="605">
        <f>TRUNC(MEDIAN(I82:I85),2)</f>
        <v>2.44</v>
      </c>
      <c r="Q78" s="609">
        <f>P78*D78</f>
        <v>610</v>
      </c>
    </row>
    <row r="79" spans="1:17" ht="58.8" customHeight="1" x14ac:dyDescent="0.3">
      <c r="A79" s="666"/>
      <c r="B79" s="618"/>
      <c r="C79" s="584"/>
      <c r="D79" s="624"/>
      <c r="E79" s="108" t="s">
        <v>354</v>
      </c>
      <c r="F79" s="33" t="s">
        <v>24</v>
      </c>
      <c r="G79" s="34" t="s">
        <v>355</v>
      </c>
      <c r="H79" s="33" t="s">
        <v>65</v>
      </c>
      <c r="I79" s="109">
        <v>1.52</v>
      </c>
      <c r="J79" s="659"/>
      <c r="K79" s="631"/>
      <c r="L79" s="614"/>
      <c r="M79" s="177" t="str">
        <f>IF(I79&gt;K$78,"EXCESSIVAMENTE ELEVADO",IF(I79&lt;L$78,"INEXEQUÍVEL","VÁLIDO"))</f>
        <v>INEXEQUÍVEL</v>
      </c>
      <c r="N79" s="202">
        <f>I79/$J$70</f>
        <v>0.18899595896798257</v>
      </c>
      <c r="O79" s="243" t="s">
        <v>121</v>
      </c>
      <c r="P79" s="606"/>
      <c r="Q79" s="610"/>
    </row>
    <row r="80" spans="1:17" ht="40.200000000000003" customHeight="1" x14ac:dyDescent="0.3">
      <c r="A80" s="666"/>
      <c r="B80" s="618"/>
      <c r="C80" s="584"/>
      <c r="D80" s="624"/>
      <c r="E80" s="48" t="s">
        <v>344</v>
      </c>
      <c r="F80" s="33" t="s">
        <v>24</v>
      </c>
      <c r="G80" s="34" t="s">
        <v>356</v>
      </c>
      <c r="H80" s="33" t="s">
        <v>68</v>
      </c>
      <c r="I80" s="109">
        <v>1.7</v>
      </c>
      <c r="J80" s="659"/>
      <c r="K80" s="631"/>
      <c r="L80" s="614"/>
      <c r="M80" s="177" t="str">
        <f>IF(I80&gt;K$78,"EXCESSIVAMENTE ELEVADO",IF(I80&lt;L$78,"INEXEQUÍVEL","VÁLIDO"))</f>
        <v>INEXEQUÍVEL</v>
      </c>
      <c r="N80" s="202">
        <f>I80/$J$70</f>
        <v>0.21137705937208578</v>
      </c>
      <c r="O80" s="243" t="s">
        <v>121</v>
      </c>
      <c r="P80" s="606"/>
      <c r="Q80" s="610"/>
    </row>
    <row r="81" spans="1:17" ht="42" customHeight="1" x14ac:dyDescent="0.3">
      <c r="A81" s="666"/>
      <c r="B81" s="618"/>
      <c r="C81" s="584"/>
      <c r="D81" s="624"/>
      <c r="E81" s="40" t="s">
        <v>227</v>
      </c>
      <c r="F81" s="45" t="s">
        <v>26</v>
      </c>
      <c r="G81" s="41" t="s">
        <v>228</v>
      </c>
      <c r="H81" s="41" t="s">
        <v>65</v>
      </c>
      <c r="I81" s="109">
        <v>2</v>
      </c>
      <c r="J81" s="659"/>
      <c r="K81" s="631"/>
      <c r="L81" s="614"/>
      <c r="M81" s="193" t="str">
        <f>IF(I81&gt;K$78,"EXCESSIVAMENTE ELEVADO",IF(I81&lt;L$78,"INEXEQUÍVEL","VÁLIDO"))</f>
        <v>INEXEQUÍVEL</v>
      </c>
      <c r="N81" s="222">
        <f>I81/$J$70</f>
        <v>0.24867889337892446</v>
      </c>
      <c r="O81" s="425" t="s">
        <v>121</v>
      </c>
      <c r="P81" s="606"/>
      <c r="Q81" s="610"/>
    </row>
    <row r="82" spans="1:17" ht="42" customHeight="1" x14ac:dyDescent="0.3">
      <c r="A82" s="666"/>
      <c r="B82" s="618"/>
      <c r="C82" s="584"/>
      <c r="D82" s="624"/>
      <c r="E82" s="48" t="s">
        <v>346</v>
      </c>
      <c r="F82" s="45" t="s">
        <v>341</v>
      </c>
      <c r="G82" s="41" t="s">
        <v>347</v>
      </c>
      <c r="H82" s="41" t="s">
        <v>68</v>
      </c>
      <c r="I82" s="396">
        <v>2.15</v>
      </c>
      <c r="J82" s="659"/>
      <c r="K82" s="631"/>
      <c r="L82" s="614"/>
      <c r="M82" s="177" t="str">
        <f t="shared" ref="M82:M87" si="2">IF(I82&gt;K$78,"EXCESSIVAMENTE ELEVADO",IF(I82&lt;L$78,"Inexequível","VÁLIDO"))</f>
        <v>VÁLIDO</v>
      </c>
      <c r="N82" s="151"/>
      <c r="O82" s="238"/>
      <c r="P82" s="606"/>
      <c r="Q82" s="610"/>
    </row>
    <row r="83" spans="1:17" ht="42" customHeight="1" x14ac:dyDescent="0.3">
      <c r="A83" s="666"/>
      <c r="B83" s="618"/>
      <c r="C83" s="584"/>
      <c r="D83" s="624"/>
      <c r="E83" s="48" t="s">
        <v>352</v>
      </c>
      <c r="F83" s="45" t="s">
        <v>341</v>
      </c>
      <c r="G83" s="41" t="s">
        <v>353</v>
      </c>
      <c r="H83" s="41" t="s">
        <v>68</v>
      </c>
      <c r="I83" s="396">
        <v>2.38</v>
      </c>
      <c r="J83" s="659"/>
      <c r="K83" s="631"/>
      <c r="L83" s="614"/>
      <c r="M83" s="177" t="str">
        <f t="shared" si="2"/>
        <v>VÁLIDO</v>
      </c>
      <c r="N83" s="151"/>
      <c r="O83" s="238"/>
      <c r="P83" s="606"/>
      <c r="Q83" s="610"/>
    </row>
    <row r="84" spans="1:17" ht="40.200000000000003" customHeight="1" x14ac:dyDescent="0.3">
      <c r="A84" s="666"/>
      <c r="B84" s="618"/>
      <c r="C84" s="584"/>
      <c r="D84" s="624"/>
      <c r="E84" s="33" t="s">
        <v>254</v>
      </c>
      <c r="F84" s="33" t="s">
        <v>26</v>
      </c>
      <c r="G84" s="34" t="s">
        <v>252</v>
      </c>
      <c r="H84" s="41" t="s">
        <v>65</v>
      </c>
      <c r="I84" s="109">
        <v>2.5</v>
      </c>
      <c r="J84" s="659"/>
      <c r="K84" s="631"/>
      <c r="L84" s="614"/>
      <c r="M84" s="177" t="str">
        <f t="shared" si="2"/>
        <v>VÁLIDO</v>
      </c>
      <c r="N84" s="151"/>
      <c r="O84" s="238"/>
      <c r="P84" s="606"/>
      <c r="Q84" s="610"/>
    </row>
    <row r="85" spans="1:17" ht="40.200000000000003" customHeight="1" x14ac:dyDescent="0.3">
      <c r="A85" s="667"/>
      <c r="B85" s="619"/>
      <c r="C85" s="584"/>
      <c r="D85" s="625"/>
      <c r="E85" s="48" t="s">
        <v>348</v>
      </c>
      <c r="F85" s="45" t="s">
        <v>341</v>
      </c>
      <c r="G85" s="34" t="s">
        <v>349</v>
      </c>
      <c r="H85" s="41" t="s">
        <v>68</v>
      </c>
      <c r="I85" s="397">
        <v>2.7</v>
      </c>
      <c r="J85" s="660"/>
      <c r="K85" s="632"/>
      <c r="L85" s="616"/>
      <c r="M85" s="258" t="str">
        <f t="shared" si="2"/>
        <v>VÁLIDO</v>
      </c>
      <c r="N85" s="148"/>
      <c r="O85" s="239"/>
      <c r="P85" s="607"/>
      <c r="Q85" s="611"/>
    </row>
    <row r="86" spans="1:17" ht="68.400000000000006" customHeight="1" x14ac:dyDescent="0.3">
      <c r="A86" s="667"/>
      <c r="B86" s="619"/>
      <c r="C86" s="584"/>
      <c r="D86" s="625"/>
      <c r="E86" s="40" t="s">
        <v>357</v>
      </c>
      <c r="F86" s="45" t="s">
        <v>27</v>
      </c>
      <c r="G86" s="41" t="s">
        <v>256</v>
      </c>
      <c r="H86" s="41" t="s">
        <v>122</v>
      </c>
      <c r="I86" s="397">
        <v>3.99</v>
      </c>
      <c r="J86" s="660"/>
      <c r="K86" s="632"/>
      <c r="L86" s="616"/>
      <c r="M86" s="348" t="str">
        <f t="shared" si="2"/>
        <v>EXCESSIVAMENTE ELEVADO</v>
      </c>
      <c r="N86" s="202">
        <f>(I86-J78)/J78</f>
        <v>0.32215521240638872</v>
      </c>
      <c r="O86" s="246" t="s">
        <v>120</v>
      </c>
      <c r="P86" s="607"/>
      <c r="Q86" s="611"/>
    </row>
    <row r="87" spans="1:17" ht="53.4" customHeight="1" thickBot="1" x14ac:dyDescent="0.35">
      <c r="A87" s="668"/>
      <c r="B87" s="648"/>
      <c r="C87" s="593"/>
      <c r="D87" s="652"/>
      <c r="E87" s="382" t="s">
        <v>359</v>
      </c>
      <c r="F87" s="132" t="s">
        <v>27</v>
      </c>
      <c r="G87" s="564" t="s">
        <v>358</v>
      </c>
      <c r="H87" s="42" t="s">
        <v>65</v>
      </c>
      <c r="I87" s="298">
        <v>10.257999999999999</v>
      </c>
      <c r="J87" s="661"/>
      <c r="K87" s="633"/>
      <c r="L87" s="615"/>
      <c r="M87" s="237" t="str">
        <f t="shared" si="2"/>
        <v>EXCESSIVAMENTE ELEVADO</v>
      </c>
      <c r="N87" s="248">
        <f>(I87-J78)/J78</f>
        <v>2.3991649546026901</v>
      </c>
      <c r="O87" s="249" t="s">
        <v>120</v>
      </c>
      <c r="P87" s="608"/>
      <c r="Q87" s="612"/>
    </row>
    <row r="88" spans="1:17" ht="42" customHeight="1" x14ac:dyDescent="0.3">
      <c r="A88" s="665">
        <v>5</v>
      </c>
      <c r="B88" s="647" t="s">
        <v>197</v>
      </c>
      <c r="C88" s="649" t="s">
        <v>42</v>
      </c>
      <c r="D88" s="651">
        <f>100+50+100</f>
        <v>250</v>
      </c>
      <c r="E88" s="162" t="s">
        <v>352</v>
      </c>
      <c r="F88" s="197" t="s">
        <v>341</v>
      </c>
      <c r="G88" s="198" t="s">
        <v>353</v>
      </c>
      <c r="H88" s="85" t="s">
        <v>68</v>
      </c>
      <c r="I88" s="473">
        <v>2.38</v>
      </c>
      <c r="J88" s="688">
        <f>AVERAGE(I98:I102)</f>
        <v>5.5260000000000007</v>
      </c>
      <c r="K88" s="629">
        <f>((0.3*J88)+J88)</f>
        <v>7.1838000000000006</v>
      </c>
      <c r="L88" s="613">
        <f>0.7*J88</f>
        <v>3.8682000000000003</v>
      </c>
      <c r="M88" s="182" t="str">
        <f t="shared" ref="M88:M94" si="3">IF(I88&gt;K$88,"EXCESSIVAMENTE ELEVADO",IF(I88&lt;L$88,"INEXEQUÍVEL","VÁLIDO"))</f>
        <v>INEXEQUÍVEL</v>
      </c>
      <c r="N88" s="209">
        <f t="shared" ref="N88:N94" si="4">I88/$J$88</f>
        <v>0.43069127759681497</v>
      </c>
      <c r="O88" s="279" t="s">
        <v>121</v>
      </c>
      <c r="P88" s="605">
        <f>TRUNC(MEDIAN(I95:I101),2)</f>
        <v>4</v>
      </c>
      <c r="Q88" s="609">
        <f>P88*D88</f>
        <v>1000</v>
      </c>
    </row>
    <row r="89" spans="1:17" ht="35.25" customHeight="1" x14ac:dyDescent="0.3">
      <c r="A89" s="666"/>
      <c r="B89" s="618"/>
      <c r="C89" s="621"/>
      <c r="D89" s="624"/>
      <c r="E89" s="33" t="s">
        <v>254</v>
      </c>
      <c r="F89" s="33" t="s">
        <v>26</v>
      </c>
      <c r="G89" s="34" t="s">
        <v>252</v>
      </c>
      <c r="H89" s="38" t="s">
        <v>65</v>
      </c>
      <c r="I89" s="471">
        <v>3</v>
      </c>
      <c r="J89" s="663"/>
      <c r="K89" s="631"/>
      <c r="L89" s="614"/>
      <c r="M89" s="177" t="str">
        <f t="shared" si="3"/>
        <v>INEXEQUÍVEL</v>
      </c>
      <c r="N89" s="202">
        <f t="shared" si="4"/>
        <v>0.54288816503800208</v>
      </c>
      <c r="O89" s="243" t="s">
        <v>121</v>
      </c>
      <c r="P89" s="606"/>
      <c r="Q89" s="610"/>
    </row>
    <row r="90" spans="1:17" ht="55.2" customHeight="1" x14ac:dyDescent="0.3">
      <c r="A90" s="666"/>
      <c r="B90" s="618"/>
      <c r="C90" s="621"/>
      <c r="D90" s="624"/>
      <c r="E90" s="36" t="s">
        <v>362</v>
      </c>
      <c r="F90" s="45" t="s">
        <v>341</v>
      </c>
      <c r="G90" s="41" t="s">
        <v>363</v>
      </c>
      <c r="H90" s="38"/>
      <c r="I90" s="471">
        <v>3.08</v>
      </c>
      <c r="J90" s="663"/>
      <c r="K90" s="631"/>
      <c r="L90" s="614"/>
      <c r="M90" s="177" t="str">
        <f t="shared" si="3"/>
        <v>INEXEQUÍVEL</v>
      </c>
      <c r="N90" s="222">
        <f t="shared" si="4"/>
        <v>0.55736518277234881</v>
      </c>
      <c r="O90" s="425" t="s">
        <v>121</v>
      </c>
      <c r="P90" s="606"/>
      <c r="Q90" s="610"/>
    </row>
    <row r="91" spans="1:17" ht="42.75" customHeight="1" x14ac:dyDescent="0.3">
      <c r="A91" s="666"/>
      <c r="B91" s="618"/>
      <c r="C91" s="621"/>
      <c r="D91" s="624"/>
      <c r="E91" s="36" t="s">
        <v>366</v>
      </c>
      <c r="F91" s="45" t="s">
        <v>341</v>
      </c>
      <c r="G91" s="41" t="s">
        <v>269</v>
      </c>
      <c r="H91" s="38"/>
      <c r="I91" s="471">
        <v>3.25</v>
      </c>
      <c r="J91" s="663"/>
      <c r="K91" s="631"/>
      <c r="L91" s="614"/>
      <c r="M91" s="177" t="str">
        <f t="shared" si="3"/>
        <v>INEXEQUÍVEL</v>
      </c>
      <c r="N91" s="202">
        <f t="shared" si="4"/>
        <v>0.58812884545783561</v>
      </c>
      <c r="O91" s="243" t="s">
        <v>121</v>
      </c>
      <c r="P91" s="606"/>
      <c r="Q91" s="610"/>
    </row>
    <row r="92" spans="1:17" ht="39" customHeight="1" x14ac:dyDescent="0.3">
      <c r="A92" s="666"/>
      <c r="B92" s="618"/>
      <c r="C92" s="621"/>
      <c r="D92" s="624"/>
      <c r="E92" s="36" t="s">
        <v>379</v>
      </c>
      <c r="F92" s="45" t="s">
        <v>341</v>
      </c>
      <c r="G92" s="41" t="s">
        <v>380</v>
      </c>
      <c r="H92" s="38"/>
      <c r="I92" s="471">
        <v>3.29</v>
      </c>
      <c r="J92" s="663"/>
      <c r="K92" s="631"/>
      <c r="L92" s="614"/>
      <c r="M92" s="177" t="str">
        <f t="shared" si="3"/>
        <v>INEXEQUÍVEL</v>
      </c>
      <c r="N92" s="222">
        <f t="shared" si="4"/>
        <v>0.59536735432500898</v>
      </c>
      <c r="O92" s="425" t="s">
        <v>121</v>
      </c>
      <c r="P92" s="606"/>
      <c r="Q92" s="610"/>
    </row>
    <row r="93" spans="1:17" ht="48.75" customHeight="1" x14ac:dyDescent="0.3">
      <c r="A93" s="666"/>
      <c r="B93" s="618"/>
      <c r="C93" s="621"/>
      <c r="D93" s="624"/>
      <c r="E93" s="36" t="s">
        <v>376</v>
      </c>
      <c r="F93" s="45" t="s">
        <v>341</v>
      </c>
      <c r="G93" s="41" t="s">
        <v>378</v>
      </c>
      <c r="H93" s="38"/>
      <c r="I93" s="471">
        <v>3.55</v>
      </c>
      <c r="J93" s="663"/>
      <c r="K93" s="631"/>
      <c r="L93" s="614"/>
      <c r="M93" s="177" t="str">
        <f t="shared" si="3"/>
        <v>INEXEQUÍVEL</v>
      </c>
      <c r="N93" s="202">
        <f t="shared" si="4"/>
        <v>0.64241766196163574</v>
      </c>
      <c r="O93" s="243" t="s">
        <v>121</v>
      </c>
      <c r="P93" s="606"/>
      <c r="Q93" s="610"/>
    </row>
    <row r="94" spans="1:17" ht="33.75" customHeight="1" x14ac:dyDescent="0.3">
      <c r="A94" s="666"/>
      <c r="B94" s="618"/>
      <c r="C94" s="621"/>
      <c r="D94" s="624"/>
      <c r="E94" s="36" t="s">
        <v>364</v>
      </c>
      <c r="F94" s="45" t="s">
        <v>341</v>
      </c>
      <c r="G94" s="41" t="s">
        <v>365</v>
      </c>
      <c r="H94" s="38"/>
      <c r="I94" s="471">
        <v>3.5</v>
      </c>
      <c r="J94" s="663"/>
      <c r="K94" s="631"/>
      <c r="L94" s="614"/>
      <c r="M94" s="177" t="str">
        <f t="shared" si="3"/>
        <v>INEXEQUÍVEL</v>
      </c>
      <c r="N94" s="222">
        <f t="shared" si="4"/>
        <v>0.63336952587766915</v>
      </c>
      <c r="O94" s="425" t="s">
        <v>121</v>
      </c>
      <c r="P94" s="606"/>
      <c r="Q94" s="610"/>
    </row>
    <row r="95" spans="1:17" ht="40.5" customHeight="1" x14ac:dyDescent="0.3">
      <c r="A95" s="666"/>
      <c r="B95" s="618"/>
      <c r="C95" s="621"/>
      <c r="D95" s="624"/>
      <c r="E95" s="36" t="s">
        <v>377</v>
      </c>
      <c r="F95" s="45" t="s">
        <v>341</v>
      </c>
      <c r="G95" s="41" t="s">
        <v>373</v>
      </c>
      <c r="H95" s="38"/>
      <c r="I95" s="471">
        <v>3.92</v>
      </c>
      <c r="J95" s="663"/>
      <c r="K95" s="631"/>
      <c r="L95" s="614"/>
      <c r="M95" s="177" t="str">
        <f>IF(I95&gt;K$88,"EXCESSIVAMENTE ELEVADO",IF(I95&lt;L$88,"Inexequível","VÁLIDO"))</f>
        <v>VÁLIDO</v>
      </c>
      <c r="N95" s="151"/>
      <c r="O95" s="238"/>
      <c r="P95" s="606"/>
      <c r="Q95" s="610"/>
    </row>
    <row r="96" spans="1:17" ht="39.75" customHeight="1" x14ac:dyDescent="0.3">
      <c r="A96" s="666"/>
      <c r="B96" s="618"/>
      <c r="C96" s="621"/>
      <c r="D96" s="624"/>
      <c r="E96" s="36" t="s">
        <v>371</v>
      </c>
      <c r="F96" s="45" t="s">
        <v>341</v>
      </c>
      <c r="G96" s="41" t="s">
        <v>372</v>
      </c>
      <c r="H96" s="38"/>
      <c r="I96" s="471">
        <v>3.98</v>
      </c>
      <c r="J96" s="663"/>
      <c r="K96" s="631"/>
      <c r="L96" s="614"/>
      <c r="M96" s="177" t="str">
        <f>IF(I96&gt;K$88,"EXCESSIVAMENTE ELEVADO",IF(I96&lt;L$88,"Inexequível","VÁLIDO"))</f>
        <v>VÁLIDO</v>
      </c>
      <c r="N96" s="151"/>
      <c r="O96" s="238"/>
      <c r="P96" s="606"/>
      <c r="Q96" s="610"/>
    </row>
    <row r="97" spans="1:17" ht="42.75" customHeight="1" x14ac:dyDescent="0.3">
      <c r="A97" s="666"/>
      <c r="B97" s="618"/>
      <c r="C97" s="621"/>
      <c r="D97" s="624"/>
      <c r="E97" s="36" t="s">
        <v>367</v>
      </c>
      <c r="F97" s="45" t="s">
        <v>341</v>
      </c>
      <c r="G97" s="41" t="s">
        <v>368</v>
      </c>
      <c r="H97" s="38"/>
      <c r="I97" s="471">
        <v>3.98</v>
      </c>
      <c r="J97" s="663"/>
      <c r="K97" s="631"/>
      <c r="L97" s="614"/>
      <c r="M97" s="177" t="str">
        <f>IF(I97&gt;K$88,"EXCESSIVAMENTE ELEVADO",IF(I97&lt;L$88,"Inexequível","VÁLIDO"))</f>
        <v>VÁLIDO</v>
      </c>
      <c r="N97" s="151"/>
      <c r="O97" s="238"/>
      <c r="P97" s="606"/>
      <c r="Q97" s="610"/>
    </row>
    <row r="98" spans="1:17" ht="42.75" customHeight="1" x14ac:dyDescent="0.3">
      <c r="A98" s="666"/>
      <c r="B98" s="618"/>
      <c r="C98" s="621"/>
      <c r="D98" s="624"/>
      <c r="E98" s="36" t="s">
        <v>374</v>
      </c>
      <c r="F98" s="45" t="s">
        <v>341</v>
      </c>
      <c r="G98" s="41" t="s">
        <v>375</v>
      </c>
      <c r="H98" s="38"/>
      <c r="I98" s="471">
        <v>4.0999999999999996</v>
      </c>
      <c r="J98" s="663"/>
      <c r="K98" s="631"/>
      <c r="L98" s="614"/>
      <c r="M98" s="177" t="str">
        <f t="shared" ref="M98:M101" si="5">IF(I95&gt;K$88,"EXCESSIVAMENTE ELEVADO",IF(I95&lt;L$88,"Inexequível","VÁLIDO"))</f>
        <v>VÁLIDO</v>
      </c>
      <c r="N98" s="151"/>
      <c r="O98" s="238"/>
      <c r="P98" s="606"/>
      <c r="Q98" s="610"/>
    </row>
    <row r="99" spans="1:17" ht="42.75" customHeight="1" x14ac:dyDescent="0.3">
      <c r="A99" s="666"/>
      <c r="B99" s="618"/>
      <c r="C99" s="621"/>
      <c r="D99" s="624"/>
      <c r="E99" s="40" t="s">
        <v>227</v>
      </c>
      <c r="F99" s="45" t="s">
        <v>26</v>
      </c>
      <c r="G99" s="41" t="s">
        <v>228</v>
      </c>
      <c r="H99" s="38" t="s">
        <v>65</v>
      </c>
      <c r="I99" s="471">
        <v>4</v>
      </c>
      <c r="J99" s="663"/>
      <c r="K99" s="631"/>
      <c r="L99" s="614"/>
      <c r="M99" s="177" t="str">
        <f t="shared" si="5"/>
        <v>VÁLIDO</v>
      </c>
      <c r="N99" s="151"/>
      <c r="O99" s="238"/>
      <c r="P99" s="606"/>
      <c r="Q99" s="610"/>
    </row>
    <row r="100" spans="1:17" ht="41.25" customHeight="1" x14ac:dyDescent="0.3">
      <c r="A100" s="666"/>
      <c r="B100" s="618"/>
      <c r="C100" s="621"/>
      <c r="D100" s="624"/>
      <c r="E100" s="36" t="s">
        <v>360</v>
      </c>
      <c r="F100" s="45" t="s">
        <v>341</v>
      </c>
      <c r="G100" s="41" t="s">
        <v>361</v>
      </c>
      <c r="H100" s="38"/>
      <c r="I100" s="472">
        <v>4</v>
      </c>
      <c r="J100" s="663"/>
      <c r="K100" s="631"/>
      <c r="L100" s="614"/>
      <c r="M100" s="177" t="str">
        <f t="shared" si="5"/>
        <v>VÁLIDO</v>
      </c>
      <c r="N100" s="151"/>
      <c r="O100" s="238"/>
      <c r="P100" s="606"/>
      <c r="Q100" s="610"/>
    </row>
    <row r="101" spans="1:17" ht="48.75" customHeight="1" x14ac:dyDescent="0.3">
      <c r="A101" s="666"/>
      <c r="B101" s="618"/>
      <c r="C101" s="621"/>
      <c r="D101" s="624"/>
      <c r="E101" s="421" t="s">
        <v>369</v>
      </c>
      <c r="F101" s="45" t="s">
        <v>341</v>
      </c>
      <c r="G101" s="41" t="s">
        <v>370</v>
      </c>
      <c r="H101" s="38" t="s">
        <v>65</v>
      </c>
      <c r="I101" s="472">
        <v>4.97</v>
      </c>
      <c r="J101" s="663"/>
      <c r="K101" s="631"/>
      <c r="L101" s="614"/>
      <c r="M101" s="177" t="str">
        <f t="shared" si="5"/>
        <v>VÁLIDO</v>
      </c>
      <c r="N101" s="151"/>
      <c r="O101" s="238"/>
      <c r="P101" s="606"/>
      <c r="Q101" s="610"/>
    </row>
    <row r="102" spans="1:17" ht="56.25" customHeight="1" thickBot="1" x14ac:dyDescent="0.35">
      <c r="A102" s="668"/>
      <c r="B102" s="648"/>
      <c r="C102" s="650"/>
      <c r="D102" s="652"/>
      <c r="E102" s="132" t="s">
        <v>418</v>
      </c>
      <c r="F102" s="132" t="s">
        <v>27</v>
      </c>
      <c r="G102" s="164" t="s">
        <v>605</v>
      </c>
      <c r="H102" s="541" t="s">
        <v>123</v>
      </c>
      <c r="I102" s="474">
        <f>10.56</f>
        <v>10.56</v>
      </c>
      <c r="J102" s="689"/>
      <c r="K102" s="633"/>
      <c r="L102" s="615"/>
      <c r="M102" s="237" t="str">
        <f>IF(I102&gt;K$88,"EXCESSIVAMENTE ELEVADO",IF(I102&lt;L$88,"Inexequível","VÁLIDO"))</f>
        <v>EXCESSIVAMENTE ELEVADO</v>
      </c>
      <c r="N102" s="214">
        <f>(I102-J88)/J88</f>
        <v>0.91096634093376749</v>
      </c>
      <c r="O102" s="247" t="s">
        <v>120</v>
      </c>
      <c r="P102" s="608"/>
      <c r="Q102" s="612"/>
    </row>
    <row r="103" spans="1:17" ht="35.4" customHeight="1" x14ac:dyDescent="0.3">
      <c r="A103" s="669">
        <v>6</v>
      </c>
      <c r="B103" s="617" t="s">
        <v>189</v>
      </c>
      <c r="C103" s="620" t="s">
        <v>190</v>
      </c>
      <c r="D103" s="623">
        <f>40+50+40</f>
        <v>130</v>
      </c>
      <c r="E103" s="48" t="s">
        <v>387</v>
      </c>
      <c r="F103" s="90" t="s">
        <v>9</v>
      </c>
      <c r="G103" s="90" t="s">
        <v>178</v>
      </c>
      <c r="H103" s="49" t="s">
        <v>65</v>
      </c>
      <c r="I103" s="414">
        <v>1.43</v>
      </c>
      <c r="J103" s="597">
        <f>AVERAGE(I103:I113)</f>
        <v>3.561818181818182</v>
      </c>
      <c r="K103" s="405">
        <f>(30%*J103)+J103</f>
        <v>4.6303636363636365</v>
      </c>
      <c r="L103" s="399">
        <f>70%*J103</f>
        <v>2.4932727272727271</v>
      </c>
      <c r="M103" s="376" t="str">
        <f>IF(I103&gt;K$103,"EXCESSIVAMENTE ELEVADO",IF(I103&lt;L$103,"INEXEQUÍVEL","VÁLIDO"))</f>
        <v>INEXEQUÍVEL</v>
      </c>
      <c r="N103" s="222">
        <f>I103/$J$103</f>
        <v>0.40148034711587544</v>
      </c>
      <c r="O103" s="349" t="s">
        <v>468</v>
      </c>
      <c r="P103" s="600">
        <f>ROUND(MEDIAN(I108:I111),2)</f>
        <v>3.27</v>
      </c>
      <c r="Q103" s="603">
        <f>P103*D103</f>
        <v>425.1</v>
      </c>
    </row>
    <row r="104" spans="1:17" ht="42.75" customHeight="1" x14ac:dyDescent="0.3">
      <c r="A104" s="666"/>
      <c r="B104" s="618"/>
      <c r="C104" s="621"/>
      <c r="D104" s="624"/>
      <c r="E104" s="54" t="s">
        <v>383</v>
      </c>
      <c r="F104" s="33" t="s">
        <v>9</v>
      </c>
      <c r="G104" s="34" t="s">
        <v>384</v>
      </c>
      <c r="H104" s="33" t="s">
        <v>65</v>
      </c>
      <c r="I104" s="396">
        <v>1.46</v>
      </c>
      <c r="J104" s="597"/>
      <c r="K104" s="168"/>
      <c r="L104" s="172"/>
      <c r="M104" s="185" t="str">
        <f>IF(I104&gt;K$103,"EXCESSIVAMENTE ELEVADO",IF(I104&lt;L$103,"INEXEQUÍVEL","VÁLIDO"))</f>
        <v>INEXEQUÍVEL</v>
      </c>
      <c r="N104" s="202">
        <f>I104/$J$103</f>
        <v>0.409903011740684</v>
      </c>
      <c r="O104" s="206" t="s">
        <v>468</v>
      </c>
      <c r="P104" s="600"/>
      <c r="Q104" s="603"/>
    </row>
    <row r="105" spans="1:17" ht="68.25" customHeight="1" x14ac:dyDescent="0.3">
      <c r="A105" s="666"/>
      <c r="B105" s="618"/>
      <c r="C105" s="621"/>
      <c r="D105" s="624"/>
      <c r="E105" s="54" t="s">
        <v>390</v>
      </c>
      <c r="F105" s="33" t="s">
        <v>9</v>
      </c>
      <c r="G105" s="33" t="s">
        <v>391</v>
      </c>
      <c r="H105" s="47" t="s">
        <v>68</v>
      </c>
      <c r="I105" s="396">
        <v>2.21</v>
      </c>
      <c r="J105" s="597"/>
      <c r="K105" s="235"/>
      <c r="L105" s="234"/>
      <c r="M105" s="376" t="str">
        <f>IF(I105&gt;K$103,"EXCESSIVAMENTE ELEVADO",IF(I105&lt;L$103,"INEXEQUÍVEL","VÁLIDO"))</f>
        <v>INEXEQUÍVEL</v>
      </c>
      <c r="N105" s="202">
        <f>I105/$J$103</f>
        <v>0.62046962736089839</v>
      </c>
      <c r="O105" s="565" t="s">
        <v>468</v>
      </c>
      <c r="P105" s="600"/>
      <c r="Q105" s="603"/>
    </row>
    <row r="106" spans="1:17" ht="42.75" customHeight="1" x14ac:dyDescent="0.3">
      <c r="A106" s="667"/>
      <c r="B106" s="619"/>
      <c r="C106" s="622"/>
      <c r="D106" s="625"/>
      <c r="E106" s="54" t="s">
        <v>392</v>
      </c>
      <c r="F106" s="33" t="s">
        <v>9</v>
      </c>
      <c r="G106" s="34" t="s">
        <v>393</v>
      </c>
      <c r="H106" s="33" t="s">
        <v>68</v>
      </c>
      <c r="I106" s="396">
        <v>2.36</v>
      </c>
      <c r="J106" s="597"/>
      <c r="K106" s="169"/>
      <c r="L106" s="186"/>
      <c r="M106" s="185" t="str">
        <f>IF(I106&gt;K$103,"EXCESSIVAMENTE ELEVADO",IF(I106&lt;L$103,"INEXEQUÍVEL","VÁLIDO"))</f>
        <v>INEXEQUÍVEL</v>
      </c>
      <c r="N106" s="202">
        <f>I106/$J$103</f>
        <v>0.6625829504849412</v>
      </c>
      <c r="O106" s="206" t="s">
        <v>468</v>
      </c>
      <c r="P106" s="600"/>
      <c r="Q106" s="603"/>
    </row>
    <row r="107" spans="1:17" ht="39.6" customHeight="1" x14ac:dyDescent="0.3">
      <c r="A107" s="667"/>
      <c r="B107" s="619"/>
      <c r="C107" s="622"/>
      <c r="D107" s="625"/>
      <c r="E107" s="54" t="s">
        <v>396</v>
      </c>
      <c r="F107" s="33" t="s">
        <v>9</v>
      </c>
      <c r="G107" s="34" t="s">
        <v>397</v>
      </c>
      <c r="H107" s="423" t="s">
        <v>68</v>
      </c>
      <c r="I107" s="14">
        <v>2.38</v>
      </c>
      <c r="J107" s="597"/>
      <c r="K107" s="169"/>
      <c r="L107" s="186"/>
      <c r="M107" s="376" t="str">
        <f>IF(I107&gt;K$103,"EXCESSIVAMENTE ELEVADO",IF(I107&lt;L$103,"INEXEQUÍVEL","VÁLIDO"))</f>
        <v>INEXEQUÍVEL</v>
      </c>
      <c r="N107" s="202">
        <f>I107/$J$103</f>
        <v>0.66819806023481365</v>
      </c>
      <c r="O107" s="206" t="s">
        <v>468</v>
      </c>
      <c r="P107" s="600"/>
      <c r="Q107" s="603"/>
    </row>
    <row r="108" spans="1:17" ht="46.5" customHeight="1" x14ac:dyDescent="0.3">
      <c r="A108" s="667"/>
      <c r="B108" s="619"/>
      <c r="C108" s="622"/>
      <c r="D108" s="625"/>
      <c r="E108" s="40" t="s">
        <v>227</v>
      </c>
      <c r="F108" s="45" t="s">
        <v>26</v>
      </c>
      <c r="G108" s="41" t="s">
        <v>228</v>
      </c>
      <c r="H108" s="38" t="s">
        <v>65</v>
      </c>
      <c r="I108" s="397">
        <v>2.5</v>
      </c>
      <c r="J108" s="597"/>
      <c r="K108" s="169"/>
      <c r="L108" s="186"/>
      <c r="M108" s="258" t="str">
        <f t="shared" ref="M108:M112" si="6">IF(I108&gt;K$103,"EXCESSIVAMENTE ELEVADO",IF(I108&lt;L$103,"Inexequível","VÁLIDO"))</f>
        <v>VÁLIDO</v>
      </c>
      <c r="N108" s="202"/>
      <c r="O108" s="361"/>
      <c r="P108" s="600"/>
      <c r="Q108" s="603"/>
    </row>
    <row r="109" spans="1:17" ht="35.4" customHeight="1" x14ac:dyDescent="0.3">
      <c r="A109" s="667"/>
      <c r="B109" s="619"/>
      <c r="C109" s="622"/>
      <c r="D109" s="625"/>
      <c r="E109" s="54" t="s">
        <v>386</v>
      </c>
      <c r="F109" s="33" t="s">
        <v>9</v>
      </c>
      <c r="G109" s="34" t="s">
        <v>381</v>
      </c>
      <c r="H109" s="38" t="s">
        <v>65</v>
      </c>
      <c r="I109" s="397">
        <v>3.04</v>
      </c>
      <c r="J109" s="597"/>
      <c r="K109" s="394"/>
      <c r="L109" s="398"/>
      <c r="M109" s="258" t="str">
        <f t="shared" si="6"/>
        <v>VÁLIDO</v>
      </c>
      <c r="N109" s="222"/>
      <c r="O109" s="306"/>
      <c r="P109" s="600"/>
      <c r="Q109" s="603"/>
    </row>
    <row r="110" spans="1:17" ht="35.4" customHeight="1" x14ac:dyDescent="0.3">
      <c r="A110" s="667"/>
      <c r="B110" s="619"/>
      <c r="C110" s="622"/>
      <c r="D110" s="625"/>
      <c r="E110" s="33" t="s">
        <v>254</v>
      </c>
      <c r="F110" s="33" t="s">
        <v>26</v>
      </c>
      <c r="G110" s="34" t="s">
        <v>252</v>
      </c>
      <c r="H110" s="38" t="s">
        <v>65</v>
      </c>
      <c r="I110" s="397">
        <v>3.5</v>
      </c>
      <c r="J110" s="597"/>
      <c r="K110" s="394"/>
      <c r="L110" s="398"/>
      <c r="M110" s="258" t="str">
        <f t="shared" si="6"/>
        <v>VÁLIDO</v>
      </c>
      <c r="N110" s="222"/>
      <c r="O110" s="306"/>
      <c r="P110" s="600"/>
      <c r="Q110" s="603"/>
    </row>
    <row r="111" spans="1:17" ht="48.75" customHeight="1" x14ac:dyDescent="0.3">
      <c r="A111" s="667"/>
      <c r="B111" s="619"/>
      <c r="C111" s="622"/>
      <c r="D111" s="625"/>
      <c r="E111" s="54" t="s">
        <v>385</v>
      </c>
      <c r="F111" s="33" t="s">
        <v>9</v>
      </c>
      <c r="G111" s="34" t="s">
        <v>381</v>
      </c>
      <c r="H111" s="33" t="s">
        <v>65</v>
      </c>
      <c r="I111" s="396">
        <v>3.6</v>
      </c>
      <c r="J111" s="597"/>
      <c r="K111" s="394"/>
      <c r="L111" s="398"/>
      <c r="M111" s="258" t="str">
        <f t="shared" si="6"/>
        <v>VÁLIDO</v>
      </c>
      <c r="N111" s="202"/>
      <c r="O111" s="361"/>
      <c r="P111" s="600"/>
      <c r="Q111" s="603"/>
    </row>
    <row r="112" spans="1:17" ht="61.5" customHeight="1" x14ac:dyDescent="0.3">
      <c r="A112" s="667"/>
      <c r="B112" s="619"/>
      <c r="C112" s="622"/>
      <c r="D112" s="625"/>
      <c r="E112" s="54" t="s">
        <v>394</v>
      </c>
      <c r="F112" s="33" t="s">
        <v>9</v>
      </c>
      <c r="G112" s="34" t="s">
        <v>395</v>
      </c>
      <c r="H112" s="38" t="s">
        <v>65</v>
      </c>
      <c r="I112" s="396">
        <v>4.8</v>
      </c>
      <c r="J112" s="597"/>
      <c r="K112" s="394"/>
      <c r="L112" s="398"/>
      <c r="M112" s="258" t="str">
        <f t="shared" si="6"/>
        <v>EXCESSIVAMENTE ELEVADO</v>
      </c>
      <c r="N112" s="202">
        <f>(I112-J103)/J103</f>
        <v>0.34762633996937203</v>
      </c>
      <c r="O112" s="361" t="s">
        <v>120</v>
      </c>
      <c r="P112" s="600"/>
      <c r="Q112" s="603"/>
    </row>
    <row r="113" spans="1:17" ht="69" customHeight="1" thickBot="1" x14ac:dyDescent="0.35">
      <c r="A113" s="667"/>
      <c r="B113" s="619"/>
      <c r="C113" s="622"/>
      <c r="D113" s="625"/>
      <c r="E113" s="45" t="s">
        <v>400</v>
      </c>
      <c r="F113" s="45" t="s">
        <v>27</v>
      </c>
      <c r="G113" s="38" t="s">
        <v>256</v>
      </c>
      <c r="H113" s="39" t="s">
        <v>65</v>
      </c>
      <c r="I113" s="397">
        <v>11.9</v>
      </c>
      <c r="J113" s="597"/>
      <c r="K113" s="394"/>
      <c r="L113" s="398"/>
      <c r="M113" s="237" t="str">
        <f t="shared" ref="M113" si="7">IF(I113&gt;K$103,"EXCESSIVAMENTE ELEVADO",IF(I113&lt;L$103,"Inexequível","VÁLIDO"))</f>
        <v>EXCESSIVAMENTE ELEVADO</v>
      </c>
      <c r="N113" s="248">
        <f>(I113-J103)/J103</f>
        <v>2.340990301174068</v>
      </c>
      <c r="O113" s="316" t="s">
        <v>120</v>
      </c>
      <c r="P113" s="601"/>
      <c r="Q113" s="604"/>
    </row>
    <row r="114" spans="1:17" ht="63.75" customHeight="1" x14ac:dyDescent="0.3">
      <c r="A114" s="670">
        <v>7</v>
      </c>
      <c r="B114" s="647" t="s">
        <v>192</v>
      </c>
      <c r="C114" s="649" t="s">
        <v>190</v>
      </c>
      <c r="D114" s="651">
        <f>100+50+40</f>
        <v>190</v>
      </c>
      <c r="E114" s="183" t="s">
        <v>390</v>
      </c>
      <c r="F114" s="85" t="s">
        <v>9</v>
      </c>
      <c r="G114" s="85" t="s">
        <v>391</v>
      </c>
      <c r="H114" s="92" t="s">
        <v>68</v>
      </c>
      <c r="I114" s="410">
        <v>2.21</v>
      </c>
      <c r="J114" s="688">
        <f>AVERAGE(I114:I124)</f>
        <v>3.6972727272727268</v>
      </c>
      <c r="K114" s="404">
        <f>(30%*J114)+J114</f>
        <v>4.8064545454545451</v>
      </c>
      <c r="L114" s="402">
        <f>70%*J114</f>
        <v>2.5880909090909086</v>
      </c>
      <c r="M114" s="176" t="str">
        <f>IF(I114&gt;K$114,"EXCESSIVAMENTE ELEVADO",IF(I114&lt;L$114,"INEXEQUÍVEL","VÁLIDO"))</f>
        <v>INEXEQUÍVEL</v>
      </c>
      <c r="N114" s="209">
        <f>I114/$J$114</f>
        <v>0.59773789033685765</v>
      </c>
      <c r="O114" s="279" t="s">
        <v>468</v>
      </c>
      <c r="P114" s="599">
        <f>TRUNC(MEDIAN(I116:I123),2)</f>
        <v>3.63</v>
      </c>
      <c r="Q114" s="602">
        <f>P114*D114</f>
        <v>689.69999999999993</v>
      </c>
    </row>
    <row r="115" spans="1:17" ht="38.25" customHeight="1" x14ac:dyDescent="0.3">
      <c r="A115" s="671"/>
      <c r="B115" s="617"/>
      <c r="C115" s="620"/>
      <c r="D115" s="623"/>
      <c r="E115" s="54" t="s">
        <v>396</v>
      </c>
      <c r="F115" s="33" t="s">
        <v>9</v>
      </c>
      <c r="G115" s="34" t="s">
        <v>397</v>
      </c>
      <c r="H115" s="423" t="s">
        <v>68</v>
      </c>
      <c r="I115" s="14">
        <v>2.38</v>
      </c>
      <c r="J115" s="662"/>
      <c r="K115" s="405"/>
      <c r="L115" s="399"/>
      <c r="M115" s="177" t="str">
        <f>IF(I115&gt;K$114,"EXCESSIVAMENTE ELEVADO",IF(I115&lt;L$114,"INEXEQUÍVEL","VÁLIDO"))</f>
        <v>INEXEQUÍVEL</v>
      </c>
      <c r="N115" s="202">
        <f>I115/$J$114</f>
        <v>0.64371772805507754</v>
      </c>
      <c r="O115" s="243" t="s">
        <v>468</v>
      </c>
      <c r="P115" s="600"/>
      <c r="Q115" s="603"/>
    </row>
    <row r="116" spans="1:17" ht="38.25" customHeight="1" x14ac:dyDescent="0.3">
      <c r="A116" s="671"/>
      <c r="B116" s="617"/>
      <c r="C116" s="620"/>
      <c r="D116" s="623"/>
      <c r="E116" s="40" t="s">
        <v>227</v>
      </c>
      <c r="F116" s="45" t="s">
        <v>26</v>
      </c>
      <c r="G116" s="41" t="s">
        <v>228</v>
      </c>
      <c r="H116" s="179" t="s">
        <v>65</v>
      </c>
      <c r="I116" s="412">
        <v>3</v>
      </c>
      <c r="J116" s="662"/>
      <c r="K116" s="405"/>
      <c r="L116" s="399"/>
      <c r="M116" s="177" t="str">
        <f t="shared" ref="M116:M124" si="8">IF(I116&gt;K$114,"EXCESSIVAMENTE ELEVADO",IF(I116&lt;L$114,"Inexequível","VÁLIDO"))</f>
        <v>VÁLIDO</v>
      </c>
      <c r="N116" s="211"/>
      <c r="O116" s="242"/>
      <c r="P116" s="600"/>
      <c r="Q116" s="603"/>
    </row>
    <row r="117" spans="1:17" ht="42" customHeight="1" x14ac:dyDescent="0.3">
      <c r="A117" s="672"/>
      <c r="B117" s="618"/>
      <c r="C117" s="621"/>
      <c r="D117" s="624"/>
      <c r="E117" s="54" t="s">
        <v>386</v>
      </c>
      <c r="F117" s="33" t="s">
        <v>9</v>
      </c>
      <c r="G117" s="34" t="s">
        <v>381</v>
      </c>
      <c r="H117" s="38" t="s">
        <v>65</v>
      </c>
      <c r="I117" s="413">
        <v>3.04</v>
      </c>
      <c r="J117" s="663"/>
      <c r="K117" s="406"/>
      <c r="L117" s="400"/>
      <c r="M117" s="177" t="str">
        <f t="shared" si="8"/>
        <v>VÁLIDO</v>
      </c>
      <c r="N117" s="151"/>
      <c r="O117" s="238"/>
      <c r="P117" s="600"/>
      <c r="Q117" s="603"/>
    </row>
    <row r="118" spans="1:17" ht="48" customHeight="1" x14ac:dyDescent="0.3">
      <c r="A118" s="672"/>
      <c r="B118" s="618"/>
      <c r="C118" s="621"/>
      <c r="D118" s="624"/>
      <c r="E118" s="54" t="s">
        <v>382</v>
      </c>
      <c r="F118" s="33" t="s">
        <v>9</v>
      </c>
      <c r="G118" s="34" t="s">
        <v>381</v>
      </c>
      <c r="H118" s="33" t="s">
        <v>65</v>
      </c>
      <c r="I118" s="412">
        <v>3.5</v>
      </c>
      <c r="J118" s="663"/>
      <c r="K118" s="406"/>
      <c r="L118" s="400"/>
      <c r="M118" s="177" t="str">
        <f t="shared" si="8"/>
        <v>VÁLIDO</v>
      </c>
      <c r="N118" s="151"/>
      <c r="O118" s="238"/>
      <c r="P118" s="600"/>
      <c r="Q118" s="603"/>
    </row>
    <row r="119" spans="1:17" ht="39.75" customHeight="1" x14ac:dyDescent="0.3">
      <c r="A119" s="673"/>
      <c r="B119" s="619"/>
      <c r="C119" s="622"/>
      <c r="D119" s="625"/>
      <c r="E119" s="33" t="s">
        <v>254</v>
      </c>
      <c r="F119" s="33" t="s">
        <v>26</v>
      </c>
      <c r="G119" s="34" t="s">
        <v>252</v>
      </c>
      <c r="H119" s="33" t="s">
        <v>65</v>
      </c>
      <c r="I119" s="412">
        <v>3.5</v>
      </c>
      <c r="J119" s="664"/>
      <c r="K119" s="407"/>
      <c r="L119" s="401"/>
      <c r="M119" s="177" t="str">
        <f t="shared" si="8"/>
        <v>VÁLIDO</v>
      </c>
      <c r="N119" s="148"/>
      <c r="O119" s="239"/>
      <c r="P119" s="600"/>
      <c r="Q119" s="603"/>
    </row>
    <row r="120" spans="1:17" ht="70.5" customHeight="1" x14ac:dyDescent="0.3">
      <c r="A120" s="673"/>
      <c r="B120" s="619"/>
      <c r="C120" s="622"/>
      <c r="D120" s="625"/>
      <c r="E120" s="54" t="s">
        <v>398</v>
      </c>
      <c r="F120" s="33" t="s">
        <v>9</v>
      </c>
      <c r="G120" s="34" t="s">
        <v>399</v>
      </c>
      <c r="H120" s="33" t="s">
        <v>65</v>
      </c>
      <c r="I120" s="412">
        <v>3.8</v>
      </c>
      <c r="J120" s="664"/>
      <c r="K120" s="407"/>
      <c r="L120" s="401"/>
      <c r="M120" s="177" t="str">
        <f t="shared" si="8"/>
        <v>VÁLIDO</v>
      </c>
      <c r="N120" s="148"/>
      <c r="O120" s="239"/>
      <c r="P120" s="600"/>
      <c r="Q120" s="603"/>
    </row>
    <row r="121" spans="1:17" ht="42" customHeight="1" x14ac:dyDescent="0.3">
      <c r="A121" s="673"/>
      <c r="B121" s="619"/>
      <c r="C121" s="622"/>
      <c r="D121" s="625"/>
      <c r="E121" s="54" t="s">
        <v>392</v>
      </c>
      <c r="F121" s="33" t="s">
        <v>9</v>
      </c>
      <c r="G121" s="34" t="s">
        <v>393</v>
      </c>
      <c r="H121" s="33" t="s">
        <v>68</v>
      </c>
      <c r="I121" s="412">
        <v>3.76</v>
      </c>
      <c r="J121" s="664"/>
      <c r="K121" s="407"/>
      <c r="L121" s="401"/>
      <c r="M121" s="177" t="str">
        <f t="shared" si="8"/>
        <v>VÁLIDO</v>
      </c>
      <c r="N121" s="151"/>
      <c r="O121" s="238"/>
      <c r="P121" s="600"/>
      <c r="Q121" s="603"/>
    </row>
    <row r="122" spans="1:17" ht="48" customHeight="1" x14ac:dyDescent="0.3">
      <c r="A122" s="673"/>
      <c r="B122" s="619"/>
      <c r="C122" s="622"/>
      <c r="D122" s="625"/>
      <c r="E122" s="54" t="s">
        <v>385</v>
      </c>
      <c r="F122" s="33" t="s">
        <v>9</v>
      </c>
      <c r="G122" s="34" t="s">
        <v>381</v>
      </c>
      <c r="H122" s="33" t="s">
        <v>65</v>
      </c>
      <c r="I122" s="412">
        <v>4.5</v>
      </c>
      <c r="J122" s="664"/>
      <c r="K122" s="407"/>
      <c r="L122" s="401"/>
      <c r="M122" s="258" t="str">
        <f t="shared" si="8"/>
        <v>VÁLIDO</v>
      </c>
      <c r="N122" s="202"/>
      <c r="O122" s="246"/>
      <c r="P122" s="600"/>
      <c r="Q122" s="603"/>
    </row>
    <row r="123" spans="1:17" ht="53.4" customHeight="1" x14ac:dyDescent="0.3">
      <c r="A123" s="673"/>
      <c r="B123" s="619"/>
      <c r="C123" s="622"/>
      <c r="D123" s="625"/>
      <c r="E123" s="54" t="s">
        <v>394</v>
      </c>
      <c r="F123" s="33" t="s">
        <v>9</v>
      </c>
      <c r="G123" s="34" t="s">
        <v>395</v>
      </c>
      <c r="H123" s="38" t="s">
        <v>65</v>
      </c>
      <c r="I123" s="413">
        <v>4.8</v>
      </c>
      <c r="J123" s="664"/>
      <c r="K123" s="407"/>
      <c r="L123" s="401"/>
      <c r="M123" s="258" t="str">
        <f>IF(I123&gt;K$114,"EXCESSIVAMENTE ELEVADO",IF(I123&lt;L$114,"Inexequível","VÁLIDO"))</f>
        <v>VÁLIDO</v>
      </c>
      <c r="N123" s="431"/>
      <c r="O123" s="246"/>
      <c r="P123" s="600"/>
      <c r="Q123" s="603"/>
    </row>
    <row r="124" spans="1:17" ht="71.400000000000006" customHeight="1" thickBot="1" x14ac:dyDescent="0.35">
      <c r="A124" s="674"/>
      <c r="B124" s="648"/>
      <c r="C124" s="650"/>
      <c r="D124" s="652"/>
      <c r="E124" s="132" t="s">
        <v>414</v>
      </c>
      <c r="F124" s="132" t="s">
        <v>27</v>
      </c>
      <c r="G124" s="42" t="s">
        <v>256</v>
      </c>
      <c r="H124" s="428" t="s">
        <v>122</v>
      </c>
      <c r="I124" s="424">
        <f>5.58+0.6</f>
        <v>6.18</v>
      </c>
      <c r="J124" s="689"/>
      <c r="K124" s="408"/>
      <c r="L124" s="403"/>
      <c r="M124" s="237" t="str">
        <f t="shared" si="8"/>
        <v>EXCESSIVAMENTE ELEVADO</v>
      </c>
      <c r="N124" s="248">
        <f>(I124-J114)/J114</f>
        <v>0.67150233587410879</v>
      </c>
      <c r="O124" s="249" t="s">
        <v>120</v>
      </c>
      <c r="P124" s="600"/>
      <c r="Q124" s="603"/>
    </row>
    <row r="125" spans="1:17" ht="45" customHeight="1" x14ac:dyDescent="0.3">
      <c r="A125" s="582">
        <v>8</v>
      </c>
      <c r="B125" s="583" t="s">
        <v>191</v>
      </c>
      <c r="C125" s="584" t="s">
        <v>43</v>
      </c>
      <c r="D125" s="585">
        <f>80+50</f>
        <v>130</v>
      </c>
      <c r="E125" s="181" t="s">
        <v>227</v>
      </c>
      <c r="F125" s="196" t="s">
        <v>26</v>
      </c>
      <c r="G125" s="420" t="s">
        <v>228</v>
      </c>
      <c r="H125" s="381" t="s">
        <v>65</v>
      </c>
      <c r="I125" s="395">
        <v>3</v>
      </c>
      <c r="J125" s="662">
        <f>AVERAGE(I125:I133)</f>
        <v>5.1233333333333331</v>
      </c>
      <c r="K125" s="392">
        <f>(30%*J125)+J125</f>
        <v>6.660333333333333</v>
      </c>
      <c r="L125" s="392">
        <f>70%*J125</f>
        <v>3.5863333333333327</v>
      </c>
      <c r="M125" s="177" t="str">
        <f>IF(I125&gt;K$125,"EXCESSIVAMENTE ELEVADO",IF(I125&lt;L$125,"INEXEQUÍVEL","VÁLIDO"))</f>
        <v>INEXEQUÍVEL</v>
      </c>
      <c r="N125" s="202">
        <f>I125/$J$125</f>
        <v>0.58555627846454139</v>
      </c>
      <c r="O125" s="243" t="s">
        <v>468</v>
      </c>
      <c r="P125" s="599">
        <f>TRUNC(MEDIAN(I128:I131),2)</f>
        <v>5.04</v>
      </c>
      <c r="Q125" s="602">
        <f>P125*D125</f>
        <v>655.20000000000005</v>
      </c>
    </row>
    <row r="126" spans="1:17" ht="44.25" customHeight="1" x14ac:dyDescent="0.3">
      <c r="A126" s="582"/>
      <c r="B126" s="583"/>
      <c r="C126" s="584"/>
      <c r="D126" s="585"/>
      <c r="E126" s="54" t="s">
        <v>386</v>
      </c>
      <c r="F126" s="33" t="s">
        <v>9</v>
      </c>
      <c r="G126" s="34" t="s">
        <v>381</v>
      </c>
      <c r="H126" s="38" t="s">
        <v>65</v>
      </c>
      <c r="I126" s="397">
        <v>3.04</v>
      </c>
      <c r="J126" s="663"/>
      <c r="K126" s="283"/>
      <c r="L126" s="283"/>
      <c r="M126" s="177" t="str">
        <f>IF(I126&gt;K$125,"EXCESSIVAMENTE ELEVADO",IF(I126&lt;L$125,"INEXEQUÍVEL","VÁLIDO"))</f>
        <v>INEXEQUÍVEL</v>
      </c>
      <c r="N126" s="202">
        <f>I126/$J$125</f>
        <v>0.5933636955107352</v>
      </c>
      <c r="O126" s="243" t="s">
        <v>468</v>
      </c>
      <c r="P126" s="600"/>
      <c r="Q126" s="603"/>
    </row>
    <row r="127" spans="1:17" ht="44.25" customHeight="1" x14ac:dyDescent="0.3">
      <c r="A127" s="582"/>
      <c r="B127" s="583"/>
      <c r="C127" s="584"/>
      <c r="D127" s="585"/>
      <c r="E127" s="33" t="s">
        <v>254</v>
      </c>
      <c r="F127" s="33" t="s">
        <v>26</v>
      </c>
      <c r="G127" s="34" t="s">
        <v>252</v>
      </c>
      <c r="H127" s="33" t="s">
        <v>65</v>
      </c>
      <c r="I127" s="396">
        <v>3.5</v>
      </c>
      <c r="J127" s="663"/>
      <c r="K127" s="393"/>
      <c r="L127" s="393"/>
      <c r="M127" s="177" t="str">
        <f>IF(I127&gt;K$125,"EXCESSIVAMENTE ELEVADO",IF(I127&lt;L$125,"INEXEQUÍVEL","VÁLIDO"))</f>
        <v>INEXEQUÍVEL</v>
      </c>
      <c r="N127" s="202">
        <f>I127/$J$125</f>
        <v>0.68314899154196496</v>
      </c>
      <c r="O127" s="243" t="s">
        <v>468</v>
      </c>
      <c r="P127" s="600"/>
      <c r="Q127" s="603"/>
    </row>
    <row r="128" spans="1:17" ht="39" customHeight="1" x14ac:dyDescent="0.3">
      <c r="A128" s="582"/>
      <c r="B128" s="583"/>
      <c r="C128" s="584"/>
      <c r="D128" s="585"/>
      <c r="E128" s="54" t="s">
        <v>392</v>
      </c>
      <c r="F128" s="33" t="s">
        <v>9</v>
      </c>
      <c r="G128" s="34" t="s">
        <v>393</v>
      </c>
      <c r="H128" s="33" t="s">
        <v>68</v>
      </c>
      <c r="I128" s="396">
        <v>3.76</v>
      </c>
      <c r="J128" s="663"/>
      <c r="K128" s="283"/>
      <c r="L128" s="283"/>
      <c r="M128" s="258" t="str">
        <f t="shared" ref="M128:M133" si="9">IF(I128&gt;K$125,"EXCESSIVAMENTE ELEVADO",IF(I128&lt;L$125,"Inexequível","VÁLIDO"))</f>
        <v>VÁLIDO</v>
      </c>
      <c r="N128" s="151"/>
      <c r="O128" s="238"/>
      <c r="P128" s="600"/>
      <c r="Q128" s="603"/>
    </row>
    <row r="129" spans="1:17" ht="48" customHeight="1" x14ac:dyDescent="0.3">
      <c r="A129" s="582"/>
      <c r="B129" s="583"/>
      <c r="C129" s="584"/>
      <c r="D129" s="585"/>
      <c r="E129" s="54" t="s">
        <v>385</v>
      </c>
      <c r="F129" s="33" t="s">
        <v>9</v>
      </c>
      <c r="G129" s="34" t="s">
        <v>381</v>
      </c>
      <c r="H129" s="33" t="s">
        <v>65</v>
      </c>
      <c r="I129" s="396">
        <v>4.5</v>
      </c>
      <c r="J129" s="663"/>
      <c r="K129" s="393"/>
      <c r="L129" s="393"/>
      <c r="M129" s="258" t="str">
        <f t="shared" si="9"/>
        <v>VÁLIDO</v>
      </c>
      <c r="N129" s="151"/>
      <c r="O129" s="238"/>
      <c r="P129" s="600"/>
      <c r="Q129" s="603"/>
    </row>
    <row r="130" spans="1:17" ht="56.25" customHeight="1" x14ac:dyDescent="0.3">
      <c r="A130" s="582"/>
      <c r="B130" s="583"/>
      <c r="C130" s="584"/>
      <c r="D130" s="585"/>
      <c r="E130" s="54" t="s">
        <v>394</v>
      </c>
      <c r="F130" s="33" t="s">
        <v>9</v>
      </c>
      <c r="G130" s="34" t="s">
        <v>395</v>
      </c>
      <c r="H130" s="38" t="s">
        <v>65</v>
      </c>
      <c r="I130" s="397">
        <v>5.59</v>
      </c>
      <c r="J130" s="663"/>
      <c r="K130" s="393"/>
      <c r="L130" s="393"/>
      <c r="M130" s="258" t="str">
        <f>IF(I130&gt;K$125,"EXCESSIVAMENTE ELEVADO",IF(I130&lt;L$125,"Inexequível","VÁLIDO"))</f>
        <v>VÁLIDO</v>
      </c>
      <c r="N130" s="222"/>
      <c r="O130" s="422"/>
      <c r="P130" s="600"/>
      <c r="Q130" s="603"/>
    </row>
    <row r="131" spans="1:17" ht="42.75" customHeight="1" x14ac:dyDescent="0.3">
      <c r="A131" s="582"/>
      <c r="B131" s="583"/>
      <c r="C131" s="584"/>
      <c r="D131" s="585"/>
      <c r="E131" s="54" t="s">
        <v>383</v>
      </c>
      <c r="F131" s="33" t="s">
        <v>9</v>
      </c>
      <c r="G131" s="34" t="s">
        <v>384</v>
      </c>
      <c r="H131" s="312" t="s">
        <v>65</v>
      </c>
      <c r="I131" s="397">
        <v>5.71</v>
      </c>
      <c r="J131" s="663"/>
      <c r="K131" s="283"/>
      <c r="L131" s="283"/>
      <c r="M131" s="258" t="str">
        <f t="shared" si="9"/>
        <v>VÁLIDO</v>
      </c>
      <c r="N131" s="202"/>
      <c r="O131" s="246"/>
      <c r="P131" s="600"/>
      <c r="Q131" s="603"/>
    </row>
    <row r="132" spans="1:17" ht="48.6" customHeight="1" x14ac:dyDescent="0.3">
      <c r="A132" s="582"/>
      <c r="B132" s="583"/>
      <c r="C132" s="584"/>
      <c r="D132" s="585"/>
      <c r="E132" s="380" t="s">
        <v>388</v>
      </c>
      <c r="F132" s="38" t="s">
        <v>9</v>
      </c>
      <c r="G132" s="38" t="s">
        <v>389</v>
      </c>
      <c r="H132" s="51" t="s">
        <v>68</v>
      </c>
      <c r="I132" s="413">
        <v>7.22</v>
      </c>
      <c r="J132" s="664"/>
      <c r="K132" s="407"/>
      <c r="L132" s="407"/>
      <c r="M132" s="258" t="str">
        <f>IF(I132&gt;K$125,"EXCESSIVAMENTE ELEVADO",IF(I132&lt;L$125,"Inexequível","VÁLIDO"))</f>
        <v>EXCESSIVAMENTE ELEVADO</v>
      </c>
      <c r="N132" s="202">
        <f>(I132-J125)/J125</f>
        <v>0.40923877683799614</v>
      </c>
      <c r="O132" s="246" t="s">
        <v>120</v>
      </c>
      <c r="P132" s="600"/>
      <c r="Q132" s="603"/>
    </row>
    <row r="133" spans="1:17" ht="52.2" customHeight="1" thickBot="1" x14ac:dyDescent="0.35">
      <c r="A133" s="582"/>
      <c r="B133" s="583"/>
      <c r="C133" s="584"/>
      <c r="D133" s="585"/>
      <c r="E133" s="45" t="s">
        <v>413</v>
      </c>
      <c r="F133" s="45" t="s">
        <v>27</v>
      </c>
      <c r="G133" s="38" t="s">
        <v>604</v>
      </c>
      <c r="H133" s="39" t="s">
        <v>122</v>
      </c>
      <c r="I133" s="413">
        <f>9.29+0.5</f>
        <v>9.7899999999999991</v>
      </c>
      <c r="J133" s="664"/>
      <c r="K133" s="407"/>
      <c r="L133" s="407"/>
      <c r="M133" s="348" t="str">
        <f t="shared" si="9"/>
        <v>EXCESSIVAMENTE ELEVADO</v>
      </c>
      <c r="N133" s="222">
        <f>(I133-J125)/J125</f>
        <v>0.91086532205595305</v>
      </c>
      <c r="O133" s="422" t="s">
        <v>120</v>
      </c>
      <c r="P133" s="600"/>
      <c r="Q133" s="603"/>
    </row>
    <row r="134" spans="1:17" ht="43.2" customHeight="1" x14ac:dyDescent="0.3">
      <c r="A134" s="586">
        <v>9</v>
      </c>
      <c r="B134" s="589" t="s">
        <v>193</v>
      </c>
      <c r="C134" s="592" t="s">
        <v>58</v>
      </c>
      <c r="D134" s="594">
        <f>60+50+60</f>
        <v>170</v>
      </c>
      <c r="E134" s="183" t="s">
        <v>404</v>
      </c>
      <c r="F134" s="197" t="s">
        <v>9</v>
      </c>
      <c r="G134" s="32" t="s">
        <v>403</v>
      </c>
      <c r="H134" s="313"/>
      <c r="I134" s="547">
        <v>2.5</v>
      </c>
      <c r="J134" s="596">
        <f>AVERAGE(I134:I139)</f>
        <v>3.7216666666666662</v>
      </c>
      <c r="K134" s="551">
        <f>(30%*J134)+J134</f>
        <v>4.8381666666666661</v>
      </c>
      <c r="L134" s="549">
        <f>70%*J134</f>
        <v>2.6051666666666664</v>
      </c>
      <c r="M134" s="182" t="str">
        <f>IF(I134&gt;K$134,"EXCESSIVAMENTE ELEVADO",IF(I134&lt;L$134,"INEXEQUÍVEL","VÁLIDO"))</f>
        <v>INEXEQUÍVEL</v>
      </c>
      <c r="N134" s="201"/>
      <c r="O134" s="241"/>
      <c r="P134" s="599">
        <f>TRUNC(MEDIAN(I135:I137),2)</f>
        <v>3</v>
      </c>
      <c r="Q134" s="602">
        <f>P134*D134</f>
        <v>510</v>
      </c>
    </row>
    <row r="135" spans="1:17" ht="39.6" customHeight="1" x14ac:dyDescent="0.3">
      <c r="A135" s="587"/>
      <c r="B135" s="590"/>
      <c r="C135" s="584"/>
      <c r="D135" s="585"/>
      <c r="E135" s="54" t="s">
        <v>262</v>
      </c>
      <c r="F135" s="45" t="s">
        <v>9</v>
      </c>
      <c r="G135" s="51" t="s">
        <v>70</v>
      </c>
      <c r="H135" s="312" t="s">
        <v>65</v>
      </c>
      <c r="I135" s="557">
        <v>2.93</v>
      </c>
      <c r="J135" s="597"/>
      <c r="K135" s="552"/>
      <c r="L135" s="550"/>
      <c r="M135" s="177" t="str">
        <f t="shared" ref="M135:M139" si="10">IF(I135&gt;K$114,"EXCESSIVAMENTE ELEVADO",IF(I135&lt;L$114,"Inexequível","VÁLIDO"))</f>
        <v>VÁLIDO</v>
      </c>
      <c r="N135" s="151"/>
      <c r="O135" s="238"/>
      <c r="P135" s="600"/>
      <c r="Q135" s="603"/>
    </row>
    <row r="136" spans="1:17" ht="41.4" customHeight="1" x14ac:dyDescent="0.3">
      <c r="A136" s="587"/>
      <c r="B136" s="590"/>
      <c r="C136" s="584"/>
      <c r="D136" s="585"/>
      <c r="E136" s="54" t="s">
        <v>402</v>
      </c>
      <c r="F136" s="45" t="s">
        <v>9</v>
      </c>
      <c r="G136" s="51" t="s">
        <v>401</v>
      </c>
      <c r="H136" s="312"/>
      <c r="I136" s="557">
        <v>3</v>
      </c>
      <c r="J136" s="597"/>
      <c r="K136" s="552"/>
      <c r="L136" s="550"/>
      <c r="M136" s="177" t="str">
        <f t="shared" si="10"/>
        <v>VÁLIDO</v>
      </c>
      <c r="N136" s="151"/>
      <c r="O136" s="238"/>
      <c r="P136" s="600"/>
      <c r="Q136" s="603"/>
    </row>
    <row r="137" spans="1:17" ht="45.6" customHeight="1" x14ac:dyDescent="0.3">
      <c r="A137" s="587"/>
      <c r="B137" s="590"/>
      <c r="C137" s="584"/>
      <c r="D137" s="585"/>
      <c r="E137" s="33" t="s">
        <v>254</v>
      </c>
      <c r="F137" s="33" t="s">
        <v>26</v>
      </c>
      <c r="G137" s="34" t="s">
        <v>252</v>
      </c>
      <c r="H137" s="38" t="s">
        <v>65</v>
      </c>
      <c r="I137" s="557">
        <v>3</v>
      </c>
      <c r="J137" s="597"/>
      <c r="K137" s="552"/>
      <c r="L137" s="550"/>
      <c r="M137" s="185" t="str">
        <f t="shared" si="10"/>
        <v>VÁLIDO</v>
      </c>
      <c r="N137" s="151"/>
      <c r="O137" s="238"/>
      <c r="P137" s="600"/>
      <c r="Q137" s="603"/>
    </row>
    <row r="138" spans="1:17" ht="45.6" customHeight="1" thickBot="1" x14ac:dyDescent="0.35">
      <c r="A138" s="587"/>
      <c r="B138" s="590"/>
      <c r="C138" s="584"/>
      <c r="D138" s="585"/>
      <c r="E138" s="40" t="s">
        <v>227</v>
      </c>
      <c r="F138" s="40" t="s">
        <v>26</v>
      </c>
      <c r="G138" s="34" t="s">
        <v>228</v>
      </c>
      <c r="H138" s="33" t="s">
        <v>65</v>
      </c>
      <c r="I138" s="556">
        <v>5</v>
      </c>
      <c r="J138" s="597"/>
      <c r="K138" s="553"/>
      <c r="L138" s="554"/>
      <c r="M138" s="250" t="str">
        <f t="shared" si="10"/>
        <v>EXCESSIVAMENTE ELEVADO</v>
      </c>
      <c r="N138" s="151"/>
      <c r="O138" s="238"/>
      <c r="P138" s="600"/>
      <c r="Q138" s="603"/>
    </row>
    <row r="139" spans="1:17" ht="57" customHeight="1" thickBot="1" x14ac:dyDescent="0.35">
      <c r="A139" s="588"/>
      <c r="B139" s="591"/>
      <c r="C139" s="593"/>
      <c r="D139" s="595"/>
      <c r="E139" s="382" t="s">
        <v>411</v>
      </c>
      <c r="F139" s="382" t="s">
        <v>27</v>
      </c>
      <c r="G139" s="430" t="s">
        <v>412</v>
      </c>
      <c r="H139" s="383" t="s">
        <v>65</v>
      </c>
      <c r="I139" s="548">
        <v>5.9</v>
      </c>
      <c r="J139" s="598"/>
      <c r="K139" s="314">
        <f>(30%*J139)+J139</f>
        <v>0</v>
      </c>
      <c r="L139" s="426">
        <f>70%*J139</f>
        <v>0</v>
      </c>
      <c r="M139" s="280" t="str">
        <f t="shared" si="10"/>
        <v>EXCESSIVAMENTE ELEVADO</v>
      </c>
      <c r="N139" s="248">
        <f>(I139-J134)/J134</f>
        <v>0.58531124048365457</v>
      </c>
      <c r="O139" s="249" t="s">
        <v>120</v>
      </c>
      <c r="P139" s="601"/>
      <c r="Q139" s="604"/>
    </row>
    <row r="140" spans="1:17" ht="40.5" customHeight="1" x14ac:dyDescent="0.3">
      <c r="A140" s="669">
        <v>10</v>
      </c>
      <c r="B140" s="690" t="s">
        <v>194</v>
      </c>
      <c r="C140" s="620" t="s">
        <v>58</v>
      </c>
      <c r="D140" s="620">
        <f>150+100+150</f>
        <v>400</v>
      </c>
      <c r="E140" s="429" t="s">
        <v>177</v>
      </c>
      <c r="F140" s="90" t="s">
        <v>9</v>
      </c>
      <c r="G140" s="90" t="s">
        <v>178</v>
      </c>
      <c r="H140" s="49" t="s">
        <v>65</v>
      </c>
      <c r="I140" s="411">
        <v>2.08</v>
      </c>
      <c r="J140" s="662">
        <f>AVERAGE(I140:I150)</f>
        <v>3.3472727272727281</v>
      </c>
      <c r="K140" s="170">
        <f>((0.3*J140)+J140)</f>
        <v>4.3514545454545459</v>
      </c>
      <c r="L140" s="171">
        <f>70%*J140</f>
        <v>2.3430909090909093</v>
      </c>
      <c r="M140" s="218" t="str">
        <f>IF(I140&gt;K$140,"EXCESSIVAMENTE ELEVADO",IF(I140&lt;L$140,"INEXEQUÍVEL","VÁLIDO"))</f>
        <v>INEXEQUÍVEL</v>
      </c>
      <c r="N140" s="215">
        <f>I140/$J$140</f>
        <v>0.62140141227593682</v>
      </c>
      <c r="O140" s="216" t="s">
        <v>121</v>
      </c>
      <c r="P140" s="605">
        <f>TRUNC(MEDIAN(I141:I148),2)</f>
        <v>2.96</v>
      </c>
      <c r="Q140" s="675">
        <f>P140*D140</f>
        <v>1184</v>
      </c>
    </row>
    <row r="141" spans="1:17" ht="36" customHeight="1" x14ac:dyDescent="0.3">
      <c r="A141" s="666"/>
      <c r="B141" s="691"/>
      <c r="C141" s="621"/>
      <c r="D141" s="621"/>
      <c r="E141" s="54" t="s">
        <v>407</v>
      </c>
      <c r="F141" s="33" t="s">
        <v>9</v>
      </c>
      <c r="G141" s="51" t="s">
        <v>401</v>
      </c>
      <c r="H141" s="47"/>
      <c r="I141" s="412">
        <v>2.79</v>
      </c>
      <c r="J141" s="663"/>
      <c r="K141" s="149"/>
      <c r="L141" s="172"/>
      <c r="M141" s="185" t="str">
        <f t="shared" ref="M141:M150" si="11">IF(I141&gt;K$140,"EXCESSIVAMENTE ELEVADO",IF(I141&lt;L$140,"Inexequível","VÁLIDO"))</f>
        <v>VÁLIDO</v>
      </c>
      <c r="N141" s="203"/>
      <c r="O141" s="206"/>
      <c r="P141" s="606"/>
      <c r="Q141" s="676"/>
    </row>
    <row r="142" spans="1:17" ht="41.4" x14ac:dyDescent="0.3">
      <c r="A142" s="666"/>
      <c r="B142" s="691"/>
      <c r="C142" s="621"/>
      <c r="D142" s="621"/>
      <c r="E142" s="54" t="s">
        <v>406</v>
      </c>
      <c r="F142" s="45" t="s">
        <v>9</v>
      </c>
      <c r="G142" s="51" t="s">
        <v>405</v>
      </c>
      <c r="H142" s="47" t="s">
        <v>65</v>
      </c>
      <c r="I142" s="412">
        <v>2.87</v>
      </c>
      <c r="J142" s="663"/>
      <c r="K142" s="406"/>
      <c r="L142" s="400"/>
      <c r="M142" s="185" t="str">
        <f t="shared" si="11"/>
        <v>VÁLIDO</v>
      </c>
      <c r="N142" s="203"/>
      <c r="O142" s="206"/>
      <c r="P142" s="606"/>
      <c r="Q142" s="676"/>
    </row>
    <row r="143" spans="1:17" ht="46.8" customHeight="1" x14ac:dyDescent="0.3">
      <c r="A143" s="666"/>
      <c r="B143" s="691"/>
      <c r="C143" s="621"/>
      <c r="D143" s="621"/>
      <c r="E143" s="36" t="s">
        <v>270</v>
      </c>
      <c r="F143" s="45" t="s">
        <v>24</v>
      </c>
      <c r="G143" s="41" t="s">
        <v>271</v>
      </c>
      <c r="H143" s="38" t="s">
        <v>68</v>
      </c>
      <c r="I143" s="300">
        <v>2.89</v>
      </c>
      <c r="J143" s="663"/>
      <c r="K143" s="149"/>
      <c r="L143" s="172"/>
      <c r="M143" s="185" t="str">
        <f t="shared" si="11"/>
        <v>VÁLIDO</v>
      </c>
      <c r="N143" s="203"/>
      <c r="O143" s="206"/>
      <c r="P143" s="606"/>
      <c r="Q143" s="676"/>
    </row>
    <row r="144" spans="1:17" ht="38.25" customHeight="1" x14ac:dyDescent="0.3">
      <c r="A144" s="666"/>
      <c r="B144" s="691"/>
      <c r="C144" s="621"/>
      <c r="D144" s="621"/>
      <c r="E144" s="54" t="s">
        <v>262</v>
      </c>
      <c r="F144" s="45" t="s">
        <v>9</v>
      </c>
      <c r="G144" s="51" t="s">
        <v>70</v>
      </c>
      <c r="H144" s="312" t="s">
        <v>65</v>
      </c>
      <c r="I144" s="413">
        <v>2.93</v>
      </c>
      <c r="J144" s="663"/>
      <c r="K144" s="168"/>
      <c r="L144" s="172"/>
      <c r="M144" s="185" t="str">
        <f t="shared" si="11"/>
        <v>VÁLIDO</v>
      </c>
      <c r="N144" s="203"/>
      <c r="O144" s="206"/>
      <c r="P144" s="606"/>
      <c r="Q144" s="676"/>
    </row>
    <row r="145" spans="1:17" ht="38.25" customHeight="1" x14ac:dyDescent="0.3">
      <c r="A145" s="666"/>
      <c r="B145" s="691"/>
      <c r="C145" s="621"/>
      <c r="D145" s="621"/>
      <c r="E145" s="54" t="s">
        <v>408</v>
      </c>
      <c r="F145" s="33" t="s">
        <v>9</v>
      </c>
      <c r="G145" s="51" t="s">
        <v>409</v>
      </c>
      <c r="H145" s="47" t="s">
        <v>65</v>
      </c>
      <c r="I145" s="413">
        <v>3</v>
      </c>
      <c r="J145" s="663"/>
      <c r="K145" s="406"/>
      <c r="L145" s="400"/>
      <c r="M145" s="185" t="str">
        <f t="shared" si="11"/>
        <v>VÁLIDO</v>
      </c>
      <c r="N145" s="203"/>
      <c r="O145" s="206"/>
      <c r="P145" s="606"/>
      <c r="Q145" s="676"/>
    </row>
    <row r="146" spans="1:17" ht="40.200000000000003" customHeight="1" x14ac:dyDescent="0.3">
      <c r="A146" s="666"/>
      <c r="B146" s="691"/>
      <c r="C146" s="621"/>
      <c r="D146" s="621"/>
      <c r="E146" s="33" t="s">
        <v>254</v>
      </c>
      <c r="F146" s="33" t="s">
        <v>26</v>
      </c>
      <c r="G146" s="34" t="s">
        <v>252</v>
      </c>
      <c r="H146" s="38" t="s">
        <v>65</v>
      </c>
      <c r="I146" s="413">
        <v>3</v>
      </c>
      <c r="J146" s="663"/>
      <c r="K146" s="149"/>
      <c r="L146" s="172"/>
      <c r="M146" s="185" t="str">
        <f t="shared" si="11"/>
        <v>VÁLIDO</v>
      </c>
      <c r="N146" s="203"/>
      <c r="O146" s="206"/>
      <c r="P146" s="606"/>
      <c r="Q146" s="676"/>
    </row>
    <row r="147" spans="1:17" ht="40.200000000000003" customHeight="1" x14ac:dyDescent="0.3">
      <c r="A147" s="666"/>
      <c r="B147" s="691"/>
      <c r="C147" s="621"/>
      <c r="D147" s="621"/>
      <c r="E147" s="54" t="s">
        <v>408</v>
      </c>
      <c r="F147" s="33" t="s">
        <v>9</v>
      </c>
      <c r="G147" s="51" t="s">
        <v>409</v>
      </c>
      <c r="H147" s="47" t="s">
        <v>65</v>
      </c>
      <c r="I147" s="413">
        <v>3.28</v>
      </c>
      <c r="J147" s="663"/>
      <c r="K147" s="406"/>
      <c r="L147" s="400"/>
      <c r="M147" s="185" t="str">
        <f t="shared" si="11"/>
        <v>VÁLIDO</v>
      </c>
      <c r="N147" s="203"/>
      <c r="O147" s="206"/>
      <c r="P147" s="606"/>
      <c r="Q147" s="676"/>
    </row>
    <row r="148" spans="1:17" ht="55.8" customHeight="1" x14ac:dyDescent="0.3">
      <c r="A148" s="666"/>
      <c r="B148" s="691"/>
      <c r="C148" s="621"/>
      <c r="D148" s="621"/>
      <c r="E148" s="54" t="s">
        <v>415</v>
      </c>
      <c r="F148" s="33" t="s">
        <v>9</v>
      </c>
      <c r="G148" s="51" t="s">
        <v>416</v>
      </c>
      <c r="H148" s="38" t="s">
        <v>65</v>
      </c>
      <c r="I148" s="413">
        <v>3.98</v>
      </c>
      <c r="J148" s="663"/>
      <c r="K148" s="149"/>
      <c r="L148" s="172"/>
      <c r="M148" s="250" t="str">
        <f t="shared" si="11"/>
        <v>VÁLIDO</v>
      </c>
      <c r="N148" s="203"/>
      <c r="O148" s="206"/>
      <c r="P148" s="606"/>
      <c r="Q148" s="676"/>
    </row>
    <row r="149" spans="1:17" ht="69" customHeight="1" x14ac:dyDescent="0.3">
      <c r="A149" s="667"/>
      <c r="B149" s="692"/>
      <c r="C149" s="622"/>
      <c r="D149" s="622"/>
      <c r="E149" s="45" t="s">
        <v>417</v>
      </c>
      <c r="F149" s="45" t="s">
        <v>27</v>
      </c>
      <c r="G149" s="51" t="s">
        <v>410</v>
      </c>
      <c r="H149" s="38" t="s">
        <v>122</v>
      </c>
      <c r="I149" s="413">
        <f>4.5+0.5</f>
        <v>5</v>
      </c>
      <c r="J149" s="664"/>
      <c r="K149" s="407"/>
      <c r="L149" s="401"/>
      <c r="M149" s="250" t="str">
        <f t="shared" si="11"/>
        <v>EXCESSIVAMENTE ELEVADO</v>
      </c>
      <c r="N149" s="202">
        <f>(I149-J140)/J140</f>
        <v>0.49375339489407893</v>
      </c>
      <c r="O149" s="361" t="s">
        <v>120</v>
      </c>
      <c r="P149" s="607"/>
      <c r="Q149" s="677"/>
    </row>
    <row r="150" spans="1:17" ht="43.2" customHeight="1" thickBot="1" x14ac:dyDescent="0.35">
      <c r="A150" s="667"/>
      <c r="B150" s="692"/>
      <c r="C150" s="622"/>
      <c r="D150" s="622"/>
      <c r="E150" s="40" t="s">
        <v>227</v>
      </c>
      <c r="F150" s="45" t="s">
        <v>26</v>
      </c>
      <c r="G150" s="41" t="s">
        <v>228</v>
      </c>
      <c r="H150" s="38" t="s">
        <v>65</v>
      </c>
      <c r="I150" s="413">
        <v>5</v>
      </c>
      <c r="J150" s="664"/>
      <c r="K150" s="150"/>
      <c r="L150" s="186"/>
      <c r="M150" s="362" t="str">
        <f t="shared" si="11"/>
        <v>EXCESSIVAMENTE ELEVADO</v>
      </c>
      <c r="N150" s="248">
        <f>(I150-J140)/J140</f>
        <v>0.49375339489407893</v>
      </c>
      <c r="O150" s="316" t="s">
        <v>120</v>
      </c>
      <c r="P150" s="608"/>
      <c r="Q150" s="678"/>
    </row>
    <row r="151" spans="1:17" s="20" customFormat="1" ht="21.75" customHeight="1" thickBot="1" x14ac:dyDescent="0.35">
      <c r="A151" s="653" t="s">
        <v>28</v>
      </c>
      <c r="B151" s="654"/>
      <c r="C151" s="654"/>
      <c r="D151" s="654"/>
      <c r="E151" s="654"/>
      <c r="F151" s="654"/>
      <c r="G151" s="654"/>
      <c r="H151" s="654"/>
      <c r="I151" s="654"/>
      <c r="J151" s="654"/>
      <c r="K151" s="654"/>
      <c r="L151" s="654"/>
      <c r="M151" s="655"/>
      <c r="N151" s="655"/>
      <c r="O151" s="655"/>
      <c r="P151" s="654"/>
      <c r="Q151" s="174">
        <f>SUM(Q49:Q150)</f>
        <v>10536.5</v>
      </c>
    </row>
    <row r="152" spans="1:17" x14ac:dyDescent="0.3">
      <c r="Q152" s="25"/>
    </row>
    <row r="153" spans="1:17" x14ac:dyDescent="0.3">
      <c r="Q153" s="25"/>
    </row>
    <row r="154" spans="1:17" x14ac:dyDescent="0.3">
      <c r="Q154" s="25"/>
    </row>
    <row r="155" spans="1:17" x14ac:dyDescent="0.3">
      <c r="A155" s="20" t="s">
        <v>606</v>
      </c>
      <c r="B155" t="s">
        <v>607</v>
      </c>
      <c r="Q155" s="25"/>
    </row>
    <row r="156" spans="1:17" x14ac:dyDescent="0.3">
      <c r="Q156" s="25"/>
    </row>
    <row r="157" spans="1:17" x14ac:dyDescent="0.3">
      <c r="Q157" s="25"/>
    </row>
    <row r="158" spans="1:17" x14ac:dyDescent="0.3">
      <c r="Q158" s="25"/>
    </row>
    <row r="159" spans="1:17" x14ac:dyDescent="0.3">
      <c r="Q159" s="25"/>
    </row>
    <row r="160" spans="1:17" x14ac:dyDescent="0.3">
      <c r="Q160" s="25"/>
    </row>
    <row r="161" spans="17:23" x14ac:dyDescent="0.3">
      <c r="Q161" s="25"/>
    </row>
    <row r="162" spans="17:23" x14ac:dyDescent="0.3">
      <c r="Q162" s="25"/>
    </row>
    <row r="163" spans="17:23" x14ac:dyDescent="0.3">
      <c r="Q163" s="25"/>
    </row>
    <row r="164" spans="17:23" x14ac:dyDescent="0.3">
      <c r="Q164" s="25"/>
    </row>
    <row r="165" spans="17:23" x14ac:dyDescent="0.3">
      <c r="Q165" s="25"/>
    </row>
    <row r="166" spans="17:23" x14ac:dyDescent="0.3">
      <c r="Q166" s="25"/>
    </row>
    <row r="167" spans="17:23" x14ac:dyDescent="0.3">
      <c r="Q167" s="25"/>
    </row>
    <row r="168" spans="17:23" x14ac:dyDescent="0.3">
      <c r="W168" s="25">
        <f>SUM(Q49:Q150)</f>
        <v>10536.5</v>
      </c>
    </row>
  </sheetData>
  <mergeCells count="102">
    <mergeCell ref="A10:Q10"/>
    <mergeCell ref="D47:D48"/>
    <mergeCell ref="M47:M48"/>
    <mergeCell ref="F47:F48"/>
    <mergeCell ref="H47:H48"/>
    <mergeCell ref="K47:K48"/>
    <mergeCell ref="L47:L48"/>
    <mergeCell ref="A47:A48"/>
    <mergeCell ref="B47:B48"/>
    <mergeCell ref="C47:C48"/>
    <mergeCell ref="E47:E48"/>
    <mergeCell ref="Q140:Q150"/>
    <mergeCell ref="P47:Q47"/>
    <mergeCell ref="Q49:Q61"/>
    <mergeCell ref="I47:I48"/>
    <mergeCell ref="A49:A61"/>
    <mergeCell ref="B49:B61"/>
    <mergeCell ref="C49:C61"/>
    <mergeCell ref="D49:D61"/>
    <mergeCell ref="P49:P61"/>
    <mergeCell ref="J88:J102"/>
    <mergeCell ref="A140:A150"/>
    <mergeCell ref="B140:B150"/>
    <mergeCell ref="J103:J113"/>
    <mergeCell ref="C140:C150"/>
    <mergeCell ref="J140:J150"/>
    <mergeCell ref="J114:J124"/>
    <mergeCell ref="K49:K61"/>
    <mergeCell ref="D62:D69"/>
    <mergeCell ref="D140:D150"/>
    <mergeCell ref="J49:J61"/>
    <mergeCell ref="J62:J69"/>
    <mergeCell ref="K62:K69"/>
    <mergeCell ref="J70:J77"/>
    <mergeCell ref="C78:C87"/>
    <mergeCell ref="A62:A69"/>
    <mergeCell ref="B62:B69"/>
    <mergeCell ref="C62:C69"/>
    <mergeCell ref="A151:P151"/>
    <mergeCell ref="G47:G48"/>
    <mergeCell ref="P140:P150"/>
    <mergeCell ref="D78:D87"/>
    <mergeCell ref="J78:J87"/>
    <mergeCell ref="K88:K102"/>
    <mergeCell ref="K78:K87"/>
    <mergeCell ref="J125:J133"/>
    <mergeCell ref="P114:P124"/>
    <mergeCell ref="A78:A87"/>
    <mergeCell ref="B78:B87"/>
    <mergeCell ref="A70:A77"/>
    <mergeCell ref="A88:A102"/>
    <mergeCell ref="B88:B102"/>
    <mergeCell ref="C88:C102"/>
    <mergeCell ref="D88:D102"/>
    <mergeCell ref="A114:A124"/>
    <mergeCell ref="B114:B124"/>
    <mergeCell ref="C114:C124"/>
    <mergeCell ref="D114:D124"/>
    <mergeCell ref="A103:A113"/>
    <mergeCell ref="B103:B113"/>
    <mergeCell ref="C103:C113"/>
    <mergeCell ref="D103:D113"/>
    <mergeCell ref="T32:AD32"/>
    <mergeCell ref="T33:AD33"/>
    <mergeCell ref="I14:P14"/>
    <mergeCell ref="L70:L77"/>
    <mergeCell ref="K70:K77"/>
    <mergeCell ref="P62:P69"/>
    <mergeCell ref="Q62:Q69"/>
    <mergeCell ref="P70:P77"/>
    <mergeCell ref="Q70:Q77"/>
    <mergeCell ref="L49:L61"/>
    <mergeCell ref="J47:J48"/>
    <mergeCell ref="L62:L69"/>
    <mergeCell ref="T30:AD30"/>
    <mergeCell ref="T31:AD31"/>
    <mergeCell ref="N47:O48"/>
    <mergeCell ref="B70:B77"/>
    <mergeCell ref="C70:C77"/>
    <mergeCell ref="D70:D77"/>
    <mergeCell ref="P134:P139"/>
    <mergeCell ref="Q134:Q139"/>
    <mergeCell ref="P125:P133"/>
    <mergeCell ref="Q125:Q133"/>
    <mergeCell ref="P78:P87"/>
    <mergeCell ref="Q78:Q87"/>
    <mergeCell ref="P103:P113"/>
    <mergeCell ref="Q103:Q113"/>
    <mergeCell ref="L88:L102"/>
    <mergeCell ref="P88:P102"/>
    <mergeCell ref="Q88:Q102"/>
    <mergeCell ref="L78:L87"/>
    <mergeCell ref="Q114:Q124"/>
    <mergeCell ref="A125:A133"/>
    <mergeCell ref="B125:B133"/>
    <mergeCell ref="C125:C133"/>
    <mergeCell ref="D125:D133"/>
    <mergeCell ref="A134:A139"/>
    <mergeCell ref="B134:B139"/>
    <mergeCell ref="C134:C139"/>
    <mergeCell ref="D134:D139"/>
    <mergeCell ref="J134:J139"/>
  </mergeCells>
  <phoneticPr fontId="3" type="noConversion"/>
  <conditionalFormatting sqref="M49:M53 M71:M75 N116 N123:N124 M62:M64">
    <cfRule type="cellIs" dxfId="1394" priority="1431" operator="lessThan">
      <formula>"K$25"</formula>
    </cfRule>
    <cfRule type="cellIs" dxfId="1393" priority="1432" operator="greaterThan">
      <formula>"J$25"</formula>
    </cfRule>
  </conditionalFormatting>
  <conditionalFormatting sqref="N55:O59 N82:O85 N128:O129 N135:O138 M49:M53 N65:O67 M71:M75 M78:M81 N117:O121 M113:M115 N116 N123:N124 M103:M107 M62:M64">
    <cfRule type="cellIs" dxfId="1392" priority="1429" operator="lessThan">
      <formula>"K$25"</formula>
    </cfRule>
    <cfRule type="cellIs" dxfId="1391" priority="1430" operator="greaterThan">
      <formula>"J&amp;25"</formula>
    </cfRule>
  </conditionalFormatting>
  <conditionalFormatting sqref="M6:O9 M26:N27 M11:O13 N55:O59 N82:O85 M151:O1048576 N128:O129 N135:O138 M31:N36 M47:M53 N65:O67 M37:O46 M71:M75 M78:M81 N117:O121 M113:M115 N116 N123:N124 M103:M107 M62:M64">
    <cfRule type="containsText" dxfId="1390" priority="1422" operator="containsText" text="Excessivamente elevado">
      <formula>NOT(ISERROR(SEARCH("Excessivamente elevado",M6)))</formula>
    </cfRule>
  </conditionalFormatting>
  <conditionalFormatting sqref="M78:M81">
    <cfRule type="cellIs" dxfId="1389" priority="1416" operator="lessThan">
      <formula>"K$25"</formula>
    </cfRule>
    <cfRule type="cellIs" dxfId="1388" priority="1417" operator="greaterThan">
      <formula>"J$25"</formula>
    </cfRule>
  </conditionalFormatting>
  <conditionalFormatting sqref="M103:M107">
    <cfRule type="cellIs" dxfId="1387" priority="1410" operator="lessThan">
      <formula>"K$25"</formula>
    </cfRule>
    <cfRule type="cellIs" dxfId="1386" priority="1411" operator="greaterThan">
      <formula>"J$25"</formula>
    </cfRule>
  </conditionalFormatting>
  <conditionalFormatting sqref="N66:O66">
    <cfRule type="cellIs" dxfId="1385" priority="1404" operator="lessThan">
      <formula>"K$25"</formula>
    </cfRule>
    <cfRule type="cellIs" dxfId="1384" priority="1405" operator="greaterThan">
      <formula>"J$25"</formula>
    </cfRule>
  </conditionalFormatting>
  <conditionalFormatting sqref="M98:M101">
    <cfRule type="cellIs" dxfId="1383" priority="1385" operator="lessThan">
      <formula>"K$25"</formula>
    </cfRule>
    <cfRule type="cellIs" dxfId="1382" priority="1386" operator="greaterThan">
      <formula>"J$25"</formula>
    </cfRule>
  </conditionalFormatting>
  <conditionalFormatting sqref="M98:M101">
    <cfRule type="cellIs" dxfId="1381" priority="1383" operator="lessThan">
      <formula>"K$25"</formula>
    </cfRule>
    <cfRule type="cellIs" dxfId="1380" priority="1384" operator="greaterThan">
      <formula>"J&amp;25"</formula>
    </cfRule>
  </conditionalFormatting>
  <conditionalFormatting sqref="M98:M101">
    <cfRule type="containsText" dxfId="1379" priority="1382" operator="containsText" text="Excessivamente elevado">
      <formula>NOT(ISERROR(SEARCH("Excessivamente elevado",M98)))</formula>
    </cfRule>
  </conditionalFormatting>
  <conditionalFormatting sqref="M98:M101">
    <cfRule type="containsText" priority="1387" operator="containsText" text="Excessivamente elevado">
      <formula>NOT(ISERROR(SEARCH("Excessivamente elevado",M98)))</formula>
    </cfRule>
    <cfRule type="containsText" dxfId="1378" priority="1388" operator="containsText" text="Válido">
      <formula>NOT(ISERROR(SEARCH("Válido",M98)))</formula>
    </cfRule>
    <cfRule type="containsText" dxfId="1377" priority="1389" operator="containsText" text="Inexequível">
      <formula>NOT(ISERROR(SEARCH("Inexequível",M98)))</formula>
    </cfRule>
    <cfRule type="aboveAverage" dxfId="1376" priority="1390" aboveAverage="0"/>
  </conditionalFormatting>
  <conditionalFormatting sqref="M102">
    <cfRule type="cellIs" dxfId="1375" priority="1367" operator="lessThan">
      <formula>"K$25"</formula>
    </cfRule>
    <cfRule type="cellIs" dxfId="1374" priority="1368" operator="greaterThan">
      <formula>"J$25"</formula>
    </cfRule>
  </conditionalFormatting>
  <conditionalFormatting sqref="M102">
    <cfRule type="cellIs" dxfId="1373" priority="1365" operator="lessThan">
      <formula>"K$25"</formula>
    </cfRule>
    <cfRule type="cellIs" dxfId="1372" priority="1366" operator="greaterThan">
      <formula>"J&amp;25"</formula>
    </cfRule>
  </conditionalFormatting>
  <conditionalFormatting sqref="M102">
    <cfRule type="containsText" dxfId="1371" priority="1364" operator="containsText" text="Excessivamente elevado">
      <formula>NOT(ISERROR(SEARCH("Excessivamente elevado",M102)))</formula>
    </cfRule>
  </conditionalFormatting>
  <conditionalFormatting sqref="M102">
    <cfRule type="containsText" priority="1369" operator="containsText" text="Excessivamente elevado">
      <formula>NOT(ISERROR(SEARCH("Excessivamente elevado",M102)))</formula>
    </cfRule>
    <cfRule type="containsText" dxfId="1370" priority="1370" operator="containsText" text="Válido">
      <formula>NOT(ISERROR(SEARCH("Válido",M102)))</formula>
    </cfRule>
    <cfRule type="containsText" dxfId="1369" priority="1371" operator="containsText" text="Inexequível">
      <formula>NOT(ISERROR(SEARCH("Inexequível",M102)))</formula>
    </cfRule>
    <cfRule type="aboveAverage" dxfId="1368" priority="1372" aboveAverage="0"/>
  </conditionalFormatting>
  <conditionalFormatting sqref="N47 N49:N51">
    <cfRule type="containsText" dxfId="1367" priority="1359" operator="containsText" text="Excessivamente elevado">
      <formula>NOT(ISERROR(SEARCH("Excessivamente elevado",N47)))</formula>
    </cfRule>
  </conditionalFormatting>
  <conditionalFormatting sqref="N49:N51">
    <cfRule type="cellIs" dxfId="1366" priority="1357" operator="lessThan">
      <formula>"K$25"</formula>
    </cfRule>
    <cfRule type="cellIs" dxfId="1365" priority="1358" operator="greaterThan">
      <formula>"J$25"</formula>
    </cfRule>
  </conditionalFormatting>
  <conditionalFormatting sqref="N49:N51">
    <cfRule type="cellIs" dxfId="1364" priority="1355" operator="lessThan">
      <formula>"K$25"</formula>
    </cfRule>
    <cfRule type="cellIs" dxfId="1363" priority="1356" operator="greaterThan">
      <formula>"J&amp;25"</formula>
    </cfRule>
  </conditionalFormatting>
  <conditionalFormatting sqref="N49:N51">
    <cfRule type="containsText" priority="1360" operator="containsText" text="Excessivamente elevado">
      <formula>NOT(ISERROR(SEARCH("Excessivamente elevado",N49)))</formula>
    </cfRule>
    <cfRule type="containsText" dxfId="1362" priority="1361" operator="containsText" text="Válido">
      <formula>NOT(ISERROR(SEARCH("Válido",N49)))</formula>
    </cfRule>
    <cfRule type="containsText" dxfId="1361" priority="1362" operator="containsText" text="Inexequível">
      <formula>NOT(ISERROR(SEARCH("Inexequível",N49)))</formula>
    </cfRule>
    <cfRule type="aboveAverage" dxfId="1360" priority="1363" aboveAverage="0"/>
  </conditionalFormatting>
  <conditionalFormatting sqref="M54">
    <cfRule type="cellIs" dxfId="1359" priority="1349" operator="lessThan">
      <formula>"K$25"</formula>
    </cfRule>
    <cfRule type="cellIs" dxfId="1358" priority="1350" operator="greaterThan">
      <formula>"J$25"</formula>
    </cfRule>
  </conditionalFormatting>
  <conditionalFormatting sqref="M54">
    <cfRule type="cellIs" dxfId="1357" priority="1347" operator="lessThan">
      <formula>"K$25"</formula>
    </cfRule>
    <cfRule type="cellIs" dxfId="1356" priority="1348" operator="greaterThan">
      <formula>"J&amp;25"</formula>
    </cfRule>
  </conditionalFormatting>
  <conditionalFormatting sqref="M54">
    <cfRule type="containsText" dxfId="1355" priority="1346" operator="containsText" text="Excessivamente elevado">
      <formula>NOT(ISERROR(SEARCH("Excessivamente elevado",M54)))</formula>
    </cfRule>
  </conditionalFormatting>
  <conditionalFormatting sqref="M54">
    <cfRule type="containsText" priority="1351" operator="containsText" text="Excessivamente elevado">
      <formula>NOT(ISERROR(SEARCH("Excessivamente elevado",M54)))</formula>
    </cfRule>
    <cfRule type="containsText" dxfId="1354" priority="1352" operator="containsText" text="Válido">
      <formula>NOT(ISERROR(SEARCH("Válido",M54)))</formula>
    </cfRule>
    <cfRule type="containsText" dxfId="1353" priority="1353" operator="containsText" text="Inexequível">
      <formula>NOT(ISERROR(SEARCH("Inexequível",M54)))</formula>
    </cfRule>
    <cfRule type="aboveAverage" dxfId="1352" priority="1354" aboveAverage="0"/>
  </conditionalFormatting>
  <conditionalFormatting sqref="M55">
    <cfRule type="cellIs" dxfId="1351" priority="1313" operator="lessThan">
      <formula>"K$25"</formula>
    </cfRule>
    <cfRule type="cellIs" dxfId="1350" priority="1314" operator="greaterThan">
      <formula>"J$25"</formula>
    </cfRule>
  </conditionalFormatting>
  <conditionalFormatting sqref="M55">
    <cfRule type="cellIs" dxfId="1349" priority="1311" operator="lessThan">
      <formula>"K$25"</formula>
    </cfRule>
    <cfRule type="cellIs" dxfId="1348" priority="1312" operator="greaterThan">
      <formula>"J&amp;25"</formula>
    </cfRule>
  </conditionalFormatting>
  <conditionalFormatting sqref="M55">
    <cfRule type="containsText" dxfId="1347" priority="1310" operator="containsText" text="Excessivamente elevado">
      <formula>NOT(ISERROR(SEARCH("Excessivamente elevado",M55)))</formula>
    </cfRule>
  </conditionalFormatting>
  <conditionalFormatting sqref="M55">
    <cfRule type="containsText" priority="1315" operator="containsText" text="Excessivamente elevado">
      <formula>NOT(ISERROR(SEARCH("Excessivamente elevado",M55)))</formula>
    </cfRule>
    <cfRule type="containsText" dxfId="1346" priority="1316" operator="containsText" text="Válido">
      <formula>NOT(ISERROR(SEARCH("Válido",M55)))</formula>
    </cfRule>
    <cfRule type="containsText" dxfId="1345" priority="1317" operator="containsText" text="Inexequível">
      <formula>NOT(ISERROR(SEARCH("Inexequível",M55)))</formula>
    </cfRule>
    <cfRule type="aboveAverage" dxfId="1344" priority="1318" aboveAverage="0"/>
  </conditionalFormatting>
  <conditionalFormatting sqref="M57">
    <cfRule type="cellIs" dxfId="1343" priority="1304" operator="lessThan">
      <formula>"K$25"</formula>
    </cfRule>
    <cfRule type="cellIs" dxfId="1342" priority="1305" operator="greaterThan">
      <formula>"J$25"</formula>
    </cfRule>
  </conditionalFormatting>
  <conditionalFormatting sqref="M57">
    <cfRule type="cellIs" dxfId="1341" priority="1302" operator="lessThan">
      <formula>"K$25"</formula>
    </cfRule>
    <cfRule type="cellIs" dxfId="1340" priority="1303" operator="greaterThan">
      <formula>"J&amp;25"</formula>
    </cfRule>
  </conditionalFormatting>
  <conditionalFormatting sqref="M57">
    <cfRule type="containsText" dxfId="1339" priority="1301" operator="containsText" text="Excessivamente elevado">
      <formula>NOT(ISERROR(SEARCH("Excessivamente elevado",M57)))</formula>
    </cfRule>
  </conditionalFormatting>
  <conditionalFormatting sqref="M57">
    <cfRule type="containsText" priority="1306" operator="containsText" text="Excessivamente elevado">
      <formula>NOT(ISERROR(SEARCH("Excessivamente elevado",M57)))</formula>
    </cfRule>
    <cfRule type="containsText" dxfId="1338" priority="1307" operator="containsText" text="Válido">
      <formula>NOT(ISERROR(SEARCH("Válido",M57)))</formula>
    </cfRule>
    <cfRule type="containsText" dxfId="1337" priority="1308" operator="containsText" text="Inexequível">
      <formula>NOT(ISERROR(SEARCH("Inexequível",M57)))</formula>
    </cfRule>
    <cfRule type="aboveAverage" dxfId="1336" priority="1309" aboveAverage="0"/>
  </conditionalFormatting>
  <conditionalFormatting sqref="M58">
    <cfRule type="cellIs" dxfId="1335" priority="1295" operator="lessThan">
      <formula>"K$25"</formula>
    </cfRule>
    <cfRule type="cellIs" dxfId="1334" priority="1296" operator="greaterThan">
      <formula>"J$25"</formula>
    </cfRule>
  </conditionalFormatting>
  <conditionalFormatting sqref="M58">
    <cfRule type="cellIs" dxfId="1333" priority="1293" operator="lessThan">
      <formula>"K$25"</formula>
    </cfRule>
    <cfRule type="cellIs" dxfId="1332" priority="1294" operator="greaterThan">
      <formula>"J&amp;25"</formula>
    </cfRule>
  </conditionalFormatting>
  <conditionalFormatting sqref="M58">
    <cfRule type="containsText" dxfId="1331" priority="1292" operator="containsText" text="Excessivamente elevado">
      <formula>NOT(ISERROR(SEARCH("Excessivamente elevado",M58)))</formula>
    </cfRule>
  </conditionalFormatting>
  <conditionalFormatting sqref="M58">
    <cfRule type="containsText" priority="1297" operator="containsText" text="Excessivamente elevado">
      <formula>NOT(ISERROR(SEARCH("Excessivamente elevado",M58)))</formula>
    </cfRule>
    <cfRule type="containsText" dxfId="1330" priority="1298" operator="containsText" text="Válido">
      <formula>NOT(ISERROR(SEARCH("Válido",M58)))</formula>
    </cfRule>
    <cfRule type="containsText" dxfId="1329" priority="1299" operator="containsText" text="Inexequível">
      <formula>NOT(ISERROR(SEARCH("Inexequível",M58)))</formula>
    </cfRule>
    <cfRule type="aboveAverage" dxfId="1328" priority="1300" aboveAverage="0"/>
  </conditionalFormatting>
  <conditionalFormatting sqref="M61">
    <cfRule type="cellIs" dxfId="1327" priority="1286" operator="lessThan">
      <formula>"K$25"</formula>
    </cfRule>
    <cfRule type="cellIs" dxfId="1326" priority="1287" operator="greaterThan">
      <formula>"J$25"</formula>
    </cfRule>
  </conditionalFormatting>
  <conditionalFormatting sqref="M61">
    <cfRule type="cellIs" dxfId="1325" priority="1284" operator="lessThan">
      <formula>"K$25"</formula>
    </cfRule>
    <cfRule type="cellIs" dxfId="1324" priority="1285" operator="greaterThan">
      <formula>"J&amp;25"</formula>
    </cfRule>
  </conditionalFormatting>
  <conditionalFormatting sqref="M61">
    <cfRule type="containsText" dxfId="1323" priority="1283" operator="containsText" text="Excessivamente elevado">
      <formula>NOT(ISERROR(SEARCH("Excessivamente elevado",M61)))</formula>
    </cfRule>
  </conditionalFormatting>
  <conditionalFormatting sqref="N60:N61">
    <cfRule type="containsText" dxfId="1322" priority="1278" operator="containsText" text="Excessivamente elevado">
      <formula>NOT(ISERROR(SEARCH("Excessivamente elevado",N60)))</formula>
    </cfRule>
  </conditionalFormatting>
  <conditionalFormatting sqref="N60:N61">
    <cfRule type="cellIs" dxfId="1321" priority="1276" operator="lessThan">
      <formula>"K$25"</formula>
    </cfRule>
    <cfRule type="cellIs" dxfId="1320" priority="1277" operator="greaterThan">
      <formula>"J$25"</formula>
    </cfRule>
  </conditionalFormatting>
  <conditionalFormatting sqref="N60:N61">
    <cfRule type="cellIs" dxfId="1319" priority="1274" operator="lessThan">
      <formula>"K$25"</formula>
    </cfRule>
    <cfRule type="cellIs" dxfId="1318" priority="1275" operator="greaterThan">
      <formula>"J&amp;25"</formula>
    </cfRule>
  </conditionalFormatting>
  <conditionalFormatting sqref="N52:N53">
    <cfRule type="containsText" dxfId="1317" priority="1269" operator="containsText" text="Excessivamente elevado">
      <formula>NOT(ISERROR(SEARCH("Excessivamente elevado",N52)))</formula>
    </cfRule>
  </conditionalFormatting>
  <conditionalFormatting sqref="N52:N53">
    <cfRule type="cellIs" dxfId="1316" priority="1267" operator="lessThan">
      <formula>"K$25"</formula>
    </cfRule>
    <cfRule type="cellIs" dxfId="1315" priority="1268" operator="greaterThan">
      <formula>"J$25"</formula>
    </cfRule>
  </conditionalFormatting>
  <conditionalFormatting sqref="N52:N53">
    <cfRule type="cellIs" dxfId="1314" priority="1265" operator="lessThan">
      <formula>"K$25"</formula>
    </cfRule>
    <cfRule type="cellIs" dxfId="1313" priority="1266" operator="greaterThan">
      <formula>"J&amp;25"</formula>
    </cfRule>
  </conditionalFormatting>
  <conditionalFormatting sqref="N52:N53">
    <cfRule type="containsText" priority="1270" operator="containsText" text="Excessivamente elevado">
      <formula>NOT(ISERROR(SEARCH("Excessivamente elevado",N52)))</formula>
    </cfRule>
    <cfRule type="containsText" dxfId="1312" priority="1271" operator="containsText" text="Válido">
      <formula>NOT(ISERROR(SEARCH("Válido",N52)))</formula>
    </cfRule>
    <cfRule type="containsText" dxfId="1311" priority="1272" operator="containsText" text="Inexequível">
      <formula>NOT(ISERROR(SEARCH("Inexequível",N52)))</formula>
    </cfRule>
    <cfRule type="aboveAverage" dxfId="1310" priority="1273" aboveAverage="0"/>
  </conditionalFormatting>
  <conditionalFormatting sqref="N54">
    <cfRule type="containsText" dxfId="1309" priority="1260" operator="containsText" text="Excessivamente elevado">
      <formula>NOT(ISERROR(SEARCH("Excessivamente elevado",N54)))</formula>
    </cfRule>
  </conditionalFormatting>
  <conditionalFormatting sqref="N54">
    <cfRule type="cellIs" dxfId="1308" priority="1258" operator="lessThan">
      <formula>"K$25"</formula>
    </cfRule>
    <cfRule type="cellIs" dxfId="1307" priority="1259" operator="greaterThan">
      <formula>"J$25"</formula>
    </cfRule>
  </conditionalFormatting>
  <conditionalFormatting sqref="N54">
    <cfRule type="cellIs" dxfId="1306" priority="1256" operator="lessThan">
      <formula>"K$25"</formula>
    </cfRule>
    <cfRule type="cellIs" dxfId="1305" priority="1257" operator="greaterThan">
      <formula>"J&amp;25"</formula>
    </cfRule>
  </conditionalFormatting>
  <conditionalFormatting sqref="N54">
    <cfRule type="containsText" priority="1261" operator="containsText" text="Excessivamente elevado">
      <formula>NOT(ISERROR(SEARCH("Excessivamente elevado",N54)))</formula>
    </cfRule>
    <cfRule type="containsText" dxfId="1304" priority="1262" operator="containsText" text="Válido">
      <formula>NOT(ISERROR(SEARCH("Válido",N54)))</formula>
    </cfRule>
    <cfRule type="containsText" dxfId="1303" priority="1263" operator="containsText" text="Inexequível">
      <formula>NOT(ISERROR(SEARCH("Inexequível",N54)))</formula>
    </cfRule>
    <cfRule type="aboveAverage" dxfId="1302" priority="1264" aboveAverage="0"/>
  </conditionalFormatting>
  <conditionalFormatting sqref="N62">
    <cfRule type="containsText" dxfId="1301" priority="1206" operator="containsText" text="Excessivamente elevado">
      <formula>NOT(ISERROR(SEARCH("Excessivamente elevado",N62)))</formula>
    </cfRule>
  </conditionalFormatting>
  <conditionalFormatting sqref="N62">
    <cfRule type="cellIs" dxfId="1300" priority="1204" operator="lessThan">
      <formula>"K$25"</formula>
    </cfRule>
    <cfRule type="cellIs" dxfId="1299" priority="1205" operator="greaterThan">
      <formula>"J$25"</formula>
    </cfRule>
  </conditionalFormatting>
  <conditionalFormatting sqref="N62">
    <cfRule type="cellIs" dxfId="1298" priority="1202" operator="lessThan">
      <formula>"K$25"</formula>
    </cfRule>
    <cfRule type="cellIs" dxfId="1297" priority="1203" operator="greaterThan">
      <formula>"J&amp;25"</formula>
    </cfRule>
  </conditionalFormatting>
  <conditionalFormatting sqref="N63:N64">
    <cfRule type="containsText" dxfId="1296" priority="1197" operator="containsText" text="Excessivamente elevado">
      <formula>NOT(ISERROR(SEARCH("Excessivamente elevado",N63)))</formula>
    </cfRule>
  </conditionalFormatting>
  <conditionalFormatting sqref="N63:N64">
    <cfRule type="cellIs" dxfId="1295" priority="1195" operator="lessThan">
      <formula>"K$25"</formula>
    </cfRule>
    <cfRule type="cellIs" dxfId="1294" priority="1196" operator="greaterThan">
      <formula>"J$25"</formula>
    </cfRule>
  </conditionalFormatting>
  <conditionalFormatting sqref="N63:N64">
    <cfRule type="cellIs" dxfId="1293" priority="1193" operator="lessThan">
      <formula>"K$25"</formula>
    </cfRule>
    <cfRule type="cellIs" dxfId="1292" priority="1194" operator="greaterThan">
      <formula>"J&amp;25"</formula>
    </cfRule>
  </conditionalFormatting>
  <conditionalFormatting sqref="N63:N64">
    <cfRule type="containsText" priority="1198" operator="containsText" text="Excessivamente elevado">
      <formula>NOT(ISERROR(SEARCH("Excessivamente elevado",N63)))</formula>
    </cfRule>
    <cfRule type="containsText" dxfId="1291" priority="1199" operator="containsText" text="Válido">
      <formula>NOT(ISERROR(SEARCH("Válido",N63)))</formula>
    </cfRule>
    <cfRule type="containsText" dxfId="1290" priority="1200" operator="containsText" text="Inexequível">
      <formula>NOT(ISERROR(SEARCH("Inexequível",N63)))</formula>
    </cfRule>
    <cfRule type="aboveAverage" dxfId="1289" priority="1201" aboveAverage="0"/>
  </conditionalFormatting>
  <conditionalFormatting sqref="N73:O76">
    <cfRule type="cellIs" dxfId="1288" priority="1124" operator="lessThan">
      <formula>"K$25"</formula>
    </cfRule>
    <cfRule type="cellIs" dxfId="1287" priority="1125" operator="greaterThan">
      <formula>"J&amp;25"</formula>
    </cfRule>
  </conditionalFormatting>
  <conditionalFormatting sqref="N73:O76">
    <cfRule type="containsText" dxfId="1286" priority="1123" operator="containsText" text="Excessivamente elevado">
      <formula>NOT(ISERROR(SEARCH("Excessivamente elevado",N73)))</formula>
    </cfRule>
  </conditionalFormatting>
  <conditionalFormatting sqref="N70">
    <cfRule type="containsText" dxfId="1285" priority="1098" operator="containsText" text="Excessivamente elevado">
      <formula>NOT(ISERROR(SEARCH("Excessivamente elevado",N70)))</formula>
    </cfRule>
  </conditionalFormatting>
  <conditionalFormatting sqref="N70">
    <cfRule type="cellIs" dxfId="1284" priority="1096" operator="lessThan">
      <formula>"K$25"</formula>
    </cfRule>
    <cfRule type="cellIs" dxfId="1283" priority="1097" operator="greaterThan">
      <formula>"J$25"</formula>
    </cfRule>
  </conditionalFormatting>
  <conditionalFormatting sqref="N70">
    <cfRule type="cellIs" dxfId="1282" priority="1094" operator="lessThan">
      <formula>"K$25"</formula>
    </cfRule>
    <cfRule type="cellIs" dxfId="1281" priority="1095" operator="greaterThan">
      <formula>"J&amp;25"</formula>
    </cfRule>
  </conditionalFormatting>
  <conditionalFormatting sqref="N71:N72">
    <cfRule type="containsText" dxfId="1280" priority="1089" operator="containsText" text="Excessivamente elevado">
      <formula>NOT(ISERROR(SEARCH("Excessivamente elevado",N71)))</formula>
    </cfRule>
  </conditionalFormatting>
  <conditionalFormatting sqref="N71:N72">
    <cfRule type="cellIs" dxfId="1279" priority="1087" operator="lessThan">
      <formula>"K$25"</formula>
    </cfRule>
    <cfRule type="cellIs" dxfId="1278" priority="1088" operator="greaterThan">
      <formula>"J$25"</formula>
    </cfRule>
  </conditionalFormatting>
  <conditionalFormatting sqref="N71:N72">
    <cfRule type="cellIs" dxfId="1277" priority="1085" operator="lessThan">
      <formula>"K$25"</formula>
    </cfRule>
    <cfRule type="cellIs" dxfId="1276" priority="1086" operator="greaterThan">
      <formula>"J&amp;25"</formula>
    </cfRule>
  </conditionalFormatting>
  <conditionalFormatting sqref="N73:O76">
    <cfRule type="containsText" priority="1820" operator="containsText" text="Excessivamente elevado">
      <formula>NOT(ISERROR(SEARCH("Excessivamente elevado",N73)))</formula>
    </cfRule>
    <cfRule type="containsText" dxfId="1275" priority="1821" operator="containsText" text="Válido">
      <formula>NOT(ISERROR(SEARCH("Válido",N73)))</formula>
    </cfRule>
    <cfRule type="containsText" dxfId="1274" priority="1822" operator="containsText" text="Inexequível">
      <formula>NOT(ISERROR(SEARCH("Inexequível",N73)))</formula>
    </cfRule>
    <cfRule type="aboveAverage" dxfId="1273" priority="1823" aboveAverage="0"/>
  </conditionalFormatting>
  <conditionalFormatting sqref="M82:M84">
    <cfRule type="cellIs" dxfId="1272" priority="1052" operator="lessThan">
      <formula>"K$25"</formula>
    </cfRule>
    <cfRule type="cellIs" dxfId="1271" priority="1053" operator="greaterThan">
      <formula>"J$25"</formula>
    </cfRule>
  </conditionalFormatting>
  <conditionalFormatting sqref="M82:M84">
    <cfRule type="cellIs" dxfId="1270" priority="1050" operator="lessThan">
      <formula>"K$25"</formula>
    </cfRule>
    <cfRule type="cellIs" dxfId="1269" priority="1051" operator="greaterThan">
      <formula>"J&amp;25"</formula>
    </cfRule>
  </conditionalFormatting>
  <conditionalFormatting sqref="M82:M84">
    <cfRule type="containsText" dxfId="1268" priority="1049" operator="containsText" text="Excessivamente elevado">
      <formula>NOT(ISERROR(SEARCH("Excessivamente elevado",M82)))</formula>
    </cfRule>
  </conditionalFormatting>
  <conditionalFormatting sqref="M82:M84">
    <cfRule type="containsText" priority="1054" operator="containsText" text="Excessivamente elevado">
      <formula>NOT(ISERROR(SEARCH("Excessivamente elevado",M82)))</formula>
    </cfRule>
    <cfRule type="containsText" dxfId="1267" priority="1055" operator="containsText" text="Válido">
      <formula>NOT(ISERROR(SEARCH("Válido",M82)))</formula>
    </cfRule>
    <cfRule type="containsText" dxfId="1266" priority="1056" operator="containsText" text="Inexequível">
      <formula>NOT(ISERROR(SEARCH("Inexequível",M82)))</formula>
    </cfRule>
    <cfRule type="aboveAverage" dxfId="1265" priority="1057" aboveAverage="0"/>
  </conditionalFormatting>
  <conditionalFormatting sqref="M87">
    <cfRule type="cellIs" dxfId="1264" priority="1034" operator="lessThan">
      <formula>"K$25"</formula>
    </cfRule>
    <cfRule type="cellIs" dxfId="1263" priority="1035" operator="greaterThan">
      <formula>"J$25"</formula>
    </cfRule>
  </conditionalFormatting>
  <conditionalFormatting sqref="M87">
    <cfRule type="cellIs" dxfId="1262" priority="1032" operator="lessThan">
      <formula>"K$25"</formula>
    </cfRule>
    <cfRule type="cellIs" dxfId="1261" priority="1033" operator="greaterThan">
      <formula>"J&amp;25"</formula>
    </cfRule>
  </conditionalFormatting>
  <conditionalFormatting sqref="M87">
    <cfRule type="containsText" dxfId="1260" priority="1031" operator="containsText" text="Excessivamente elevado">
      <formula>NOT(ISERROR(SEARCH("Excessivamente elevado",M87)))</formula>
    </cfRule>
  </conditionalFormatting>
  <conditionalFormatting sqref="M87">
    <cfRule type="containsText" priority="1036" operator="containsText" text="Excessivamente elevado">
      <formula>NOT(ISERROR(SEARCH("Excessivamente elevado",M87)))</formula>
    </cfRule>
    <cfRule type="containsText" dxfId="1259" priority="1037" operator="containsText" text="Válido">
      <formula>NOT(ISERROR(SEARCH("Válido",M87)))</formula>
    </cfRule>
    <cfRule type="containsText" dxfId="1258" priority="1038" operator="containsText" text="Inexequível">
      <formula>NOT(ISERROR(SEARCH("Inexequível",M87)))</formula>
    </cfRule>
    <cfRule type="aboveAverage" dxfId="1257" priority="1039" aboveAverage="0"/>
  </conditionalFormatting>
  <conditionalFormatting sqref="N78:N81">
    <cfRule type="containsText" dxfId="1256" priority="1026" operator="containsText" text="Excessivamente elevado">
      <formula>NOT(ISERROR(SEARCH("Excessivamente elevado",N78)))</formula>
    </cfRule>
  </conditionalFormatting>
  <conditionalFormatting sqref="N78:N81">
    <cfRule type="cellIs" dxfId="1255" priority="1024" operator="lessThan">
      <formula>"K$25"</formula>
    </cfRule>
    <cfRule type="cellIs" dxfId="1254" priority="1025" operator="greaterThan">
      <formula>"J$25"</formula>
    </cfRule>
  </conditionalFormatting>
  <conditionalFormatting sqref="N78:N81">
    <cfRule type="cellIs" dxfId="1253" priority="1022" operator="lessThan">
      <formula>"K$25"</formula>
    </cfRule>
    <cfRule type="cellIs" dxfId="1252" priority="1023" operator="greaterThan">
      <formula>"J&amp;25"</formula>
    </cfRule>
  </conditionalFormatting>
  <conditionalFormatting sqref="N78:N81">
    <cfRule type="containsText" priority="1027" operator="containsText" text="Excessivamente elevado">
      <formula>NOT(ISERROR(SEARCH("Excessivamente elevado",N78)))</formula>
    </cfRule>
    <cfRule type="containsText" dxfId="1251" priority="1028" operator="containsText" text="Válido">
      <formula>NOT(ISERROR(SEARCH("Válido",N78)))</formula>
    </cfRule>
    <cfRule type="containsText" dxfId="1250" priority="1029" operator="containsText" text="Inexequível">
      <formula>NOT(ISERROR(SEARCH("Inexequível",N78)))</formula>
    </cfRule>
    <cfRule type="aboveAverage" dxfId="1249" priority="1030" aboveAverage="0"/>
  </conditionalFormatting>
  <conditionalFormatting sqref="N86:N87">
    <cfRule type="containsText" dxfId="1248" priority="1008" operator="containsText" text="Excessivamente elevado">
      <formula>NOT(ISERROR(SEARCH("Excessivamente elevado",N86)))</formula>
    </cfRule>
  </conditionalFormatting>
  <conditionalFormatting sqref="N86:N87">
    <cfRule type="cellIs" dxfId="1247" priority="1006" operator="lessThan">
      <formula>"K$25"</formula>
    </cfRule>
    <cfRule type="cellIs" dxfId="1246" priority="1007" operator="greaterThan">
      <formula>"J$25"</formula>
    </cfRule>
  </conditionalFormatting>
  <conditionalFormatting sqref="N86:N87">
    <cfRule type="cellIs" dxfId="1245" priority="1004" operator="lessThan">
      <formula>"K$25"</formula>
    </cfRule>
    <cfRule type="cellIs" dxfId="1244" priority="1005" operator="greaterThan">
      <formula>"J&amp;25"</formula>
    </cfRule>
  </conditionalFormatting>
  <conditionalFormatting sqref="N86:N87">
    <cfRule type="containsText" priority="1009" operator="containsText" text="Excessivamente elevado">
      <formula>NOT(ISERROR(SEARCH("Excessivamente elevado",N86)))</formula>
    </cfRule>
    <cfRule type="containsText" dxfId="1243" priority="1010" operator="containsText" text="Válido">
      <formula>NOT(ISERROR(SEARCH("Válido",N86)))</formula>
    </cfRule>
    <cfRule type="containsText" dxfId="1242" priority="1011" operator="containsText" text="Inexequível">
      <formula>NOT(ISERROR(SEARCH("Inexequível",N86)))</formula>
    </cfRule>
    <cfRule type="aboveAverage" dxfId="1241" priority="1012" aboveAverage="0"/>
  </conditionalFormatting>
  <conditionalFormatting sqref="N102">
    <cfRule type="containsText" dxfId="1240" priority="981" operator="containsText" text="Excessivamente elevado">
      <formula>NOT(ISERROR(SEARCH("Excessivamente elevado",N102)))</formula>
    </cfRule>
  </conditionalFormatting>
  <conditionalFormatting sqref="N102">
    <cfRule type="cellIs" dxfId="1239" priority="979" operator="lessThan">
      <formula>"K$25"</formula>
    </cfRule>
    <cfRule type="cellIs" dxfId="1238" priority="980" operator="greaterThan">
      <formula>"J$25"</formula>
    </cfRule>
  </conditionalFormatting>
  <conditionalFormatting sqref="N102">
    <cfRule type="cellIs" dxfId="1237" priority="977" operator="lessThan">
      <formula>"K$25"</formula>
    </cfRule>
    <cfRule type="cellIs" dxfId="1236" priority="978" operator="greaterThan">
      <formula>"J&amp;25"</formula>
    </cfRule>
  </conditionalFormatting>
  <conditionalFormatting sqref="N102">
    <cfRule type="containsText" priority="982" operator="containsText" text="Excessivamente elevado">
      <formula>NOT(ISERROR(SEARCH("Excessivamente elevado",N102)))</formula>
    </cfRule>
    <cfRule type="containsText" dxfId="1235" priority="983" operator="containsText" text="Válido">
      <formula>NOT(ISERROR(SEARCH("Válido",N102)))</formula>
    </cfRule>
    <cfRule type="containsText" dxfId="1234" priority="984" operator="containsText" text="Inexequível">
      <formula>NOT(ISERROR(SEARCH("Inexequível",N102)))</formula>
    </cfRule>
    <cfRule type="aboveAverage" dxfId="1233" priority="985" aboveAverage="0"/>
  </conditionalFormatting>
  <conditionalFormatting sqref="N95:O101">
    <cfRule type="cellIs" dxfId="1232" priority="971" operator="lessThan">
      <formula>"K$25"</formula>
    </cfRule>
    <cfRule type="cellIs" dxfId="1231" priority="972" operator="greaterThan">
      <formula>"J$25"</formula>
    </cfRule>
  </conditionalFormatting>
  <conditionalFormatting sqref="N95:O101">
    <cfRule type="cellIs" dxfId="1230" priority="969" operator="lessThan">
      <formula>"K$25"</formula>
    </cfRule>
    <cfRule type="cellIs" dxfId="1229" priority="970" operator="greaterThan">
      <formula>"J&amp;25"</formula>
    </cfRule>
  </conditionalFormatting>
  <conditionalFormatting sqref="N95:O101">
    <cfRule type="containsText" dxfId="1228" priority="968" operator="containsText" text="Excessivamente elevado">
      <formula>NOT(ISERROR(SEARCH("Excessivamente elevado",N95)))</formula>
    </cfRule>
  </conditionalFormatting>
  <conditionalFormatting sqref="M108:M112">
    <cfRule type="cellIs" dxfId="1227" priority="908" operator="lessThan">
      <formula>"K$25"</formula>
    </cfRule>
    <cfRule type="cellIs" dxfId="1226" priority="909" operator="greaterThan">
      <formula>"J$25"</formula>
    </cfRule>
  </conditionalFormatting>
  <conditionalFormatting sqref="M108:M112">
    <cfRule type="cellIs" dxfId="1225" priority="906" operator="lessThan">
      <formula>"K$25"</formula>
    </cfRule>
    <cfRule type="cellIs" dxfId="1224" priority="907" operator="greaterThan">
      <formula>"J&amp;25"</formula>
    </cfRule>
  </conditionalFormatting>
  <conditionalFormatting sqref="M108:M112">
    <cfRule type="containsText" dxfId="1223" priority="905" operator="containsText" text="Excessivamente elevado">
      <formula>NOT(ISERROR(SEARCH("Excessivamente elevado",M108)))</formula>
    </cfRule>
  </conditionalFormatting>
  <conditionalFormatting sqref="M108:M112">
    <cfRule type="containsText" priority="910" operator="containsText" text="Excessivamente elevado">
      <formula>NOT(ISERROR(SEARCH("Excessivamente elevado",M108)))</formula>
    </cfRule>
    <cfRule type="containsText" dxfId="1222" priority="911" operator="containsText" text="Válido">
      <formula>NOT(ISERROR(SEARCH("Válido",M108)))</formula>
    </cfRule>
    <cfRule type="containsText" dxfId="1221" priority="912" operator="containsText" text="Inexequível">
      <formula>NOT(ISERROR(SEARCH("Inexequível",M108)))</formula>
    </cfRule>
    <cfRule type="aboveAverage" dxfId="1220" priority="913" aboveAverage="0"/>
  </conditionalFormatting>
  <conditionalFormatting sqref="N103:N107">
    <cfRule type="containsText" dxfId="1219" priority="891" operator="containsText" text="Excessivamente elevado">
      <formula>NOT(ISERROR(SEARCH("Excessivamente elevado",N103)))</formula>
    </cfRule>
  </conditionalFormatting>
  <conditionalFormatting sqref="N103:N107">
    <cfRule type="cellIs" dxfId="1218" priority="889" operator="lessThan">
      <formula>"K$25"</formula>
    </cfRule>
    <cfRule type="cellIs" dxfId="1217" priority="890" operator="greaterThan">
      <formula>"J$25"</formula>
    </cfRule>
  </conditionalFormatting>
  <conditionalFormatting sqref="N103:N107">
    <cfRule type="cellIs" dxfId="1216" priority="887" operator="lessThan">
      <formula>"K$25"</formula>
    </cfRule>
    <cfRule type="cellIs" dxfId="1215" priority="888" operator="greaterThan">
      <formula>"J&amp;25"</formula>
    </cfRule>
  </conditionalFormatting>
  <conditionalFormatting sqref="N103:N107">
    <cfRule type="containsText" priority="892" operator="containsText" text="Excessivamente elevado">
      <formula>NOT(ISERROR(SEARCH("Excessivamente elevado",N103)))</formula>
    </cfRule>
    <cfRule type="containsText" dxfId="1214" priority="893" operator="containsText" text="Válido">
      <formula>NOT(ISERROR(SEARCH("Válido",N103)))</formula>
    </cfRule>
    <cfRule type="containsText" dxfId="1213" priority="894" operator="containsText" text="Inexequível">
      <formula>NOT(ISERROR(SEARCH("Inexequível",N103)))</formula>
    </cfRule>
    <cfRule type="aboveAverage" dxfId="1212" priority="895" aboveAverage="0"/>
  </conditionalFormatting>
  <conditionalFormatting sqref="N108:N110">
    <cfRule type="containsText" dxfId="1211" priority="873" operator="containsText" text="Excessivamente elevado">
      <formula>NOT(ISERROR(SEARCH("Excessivamente elevado",N108)))</formula>
    </cfRule>
  </conditionalFormatting>
  <conditionalFormatting sqref="N108:N110">
    <cfRule type="cellIs" dxfId="1210" priority="871" operator="lessThan">
      <formula>"K$25"</formula>
    </cfRule>
    <cfRule type="cellIs" dxfId="1209" priority="872" operator="greaterThan">
      <formula>"J$25"</formula>
    </cfRule>
  </conditionalFormatting>
  <conditionalFormatting sqref="N108:N110">
    <cfRule type="cellIs" dxfId="1208" priority="869" operator="lessThan">
      <formula>"K$25"</formula>
    </cfRule>
    <cfRule type="cellIs" dxfId="1207" priority="870" operator="greaterThan">
      <formula>"J&amp;25"</formula>
    </cfRule>
  </conditionalFormatting>
  <conditionalFormatting sqref="N108:N110">
    <cfRule type="containsText" priority="874" operator="containsText" text="Excessivamente elevado">
      <formula>NOT(ISERROR(SEARCH("Excessivamente elevado",N108)))</formula>
    </cfRule>
    <cfRule type="containsText" dxfId="1206" priority="875" operator="containsText" text="Válido">
      <formula>NOT(ISERROR(SEARCH("Válido",N108)))</formula>
    </cfRule>
    <cfRule type="containsText" dxfId="1205" priority="876" operator="containsText" text="Inexequível">
      <formula>NOT(ISERROR(SEARCH("Inexequível",N108)))</formula>
    </cfRule>
    <cfRule type="aboveAverage" dxfId="1204" priority="877" aboveAverage="0"/>
  </conditionalFormatting>
  <conditionalFormatting sqref="N111:N113">
    <cfRule type="containsText" dxfId="1203" priority="864" operator="containsText" text="Excessivamente elevado">
      <formula>NOT(ISERROR(SEARCH("Excessivamente elevado",N111)))</formula>
    </cfRule>
  </conditionalFormatting>
  <conditionalFormatting sqref="N111:N113">
    <cfRule type="cellIs" dxfId="1202" priority="862" operator="lessThan">
      <formula>"K$25"</formula>
    </cfRule>
    <cfRule type="cellIs" dxfId="1201" priority="863" operator="greaterThan">
      <formula>"J$25"</formula>
    </cfRule>
  </conditionalFormatting>
  <conditionalFormatting sqref="N111:N113">
    <cfRule type="cellIs" dxfId="1200" priority="860" operator="lessThan">
      <formula>"K$25"</formula>
    </cfRule>
    <cfRule type="cellIs" dxfId="1199" priority="861" operator="greaterThan">
      <formula>"J&amp;25"</formula>
    </cfRule>
  </conditionalFormatting>
  <conditionalFormatting sqref="N111:N113">
    <cfRule type="containsText" priority="865" operator="containsText" text="Excessivamente elevado">
      <formula>NOT(ISERROR(SEARCH("Excessivamente elevado",N111)))</formula>
    </cfRule>
    <cfRule type="containsText" dxfId="1198" priority="866" operator="containsText" text="Válido">
      <formula>NOT(ISERROR(SEARCH("Válido",N111)))</formula>
    </cfRule>
    <cfRule type="containsText" dxfId="1197" priority="867" operator="containsText" text="Inexequível">
      <formula>NOT(ISERROR(SEARCH("Inexequível",N111)))</formula>
    </cfRule>
    <cfRule type="aboveAverage" dxfId="1196" priority="868" aboveAverage="0"/>
  </conditionalFormatting>
  <conditionalFormatting sqref="M116:M123">
    <cfRule type="cellIs" dxfId="1195" priority="818" operator="lessThan">
      <formula>"K$25"</formula>
    </cfRule>
    <cfRule type="cellIs" dxfId="1194" priority="819" operator="greaterThan">
      <formula>"J$25"</formula>
    </cfRule>
  </conditionalFormatting>
  <conditionalFormatting sqref="M116:M123">
    <cfRule type="cellIs" dxfId="1193" priority="816" operator="lessThan">
      <formula>"K$25"</formula>
    </cfRule>
    <cfRule type="cellIs" dxfId="1192" priority="817" operator="greaterThan">
      <formula>"J&amp;25"</formula>
    </cfRule>
  </conditionalFormatting>
  <conditionalFormatting sqref="M116:M123">
    <cfRule type="containsText" dxfId="1191" priority="815" operator="containsText" text="Excessivamente elevado">
      <formula>NOT(ISERROR(SEARCH("Excessivamente elevado",M116)))</formula>
    </cfRule>
  </conditionalFormatting>
  <conditionalFormatting sqref="M124 M133">
    <cfRule type="cellIs" dxfId="1190" priority="809" operator="lessThan">
      <formula>"K$25"</formula>
    </cfRule>
    <cfRule type="cellIs" dxfId="1189" priority="810" operator="greaterThan">
      <formula>"J$25"</formula>
    </cfRule>
  </conditionalFormatting>
  <conditionalFormatting sqref="M124 M133">
    <cfRule type="cellIs" dxfId="1188" priority="807" operator="lessThan">
      <formula>"K$25"</formula>
    </cfRule>
    <cfRule type="cellIs" dxfId="1187" priority="808" operator="greaterThan">
      <formula>"J&amp;25"</formula>
    </cfRule>
  </conditionalFormatting>
  <conditionalFormatting sqref="M124 M133">
    <cfRule type="containsText" dxfId="1186" priority="806" operator="containsText" text="Excessivamente elevado">
      <formula>NOT(ISERROR(SEARCH("Excessivamente elevado",M124)))</formula>
    </cfRule>
  </conditionalFormatting>
  <conditionalFormatting sqref="M140">
    <cfRule type="cellIs" dxfId="1185" priority="674" operator="lessThan">
      <formula>"K$25"</formula>
    </cfRule>
    <cfRule type="cellIs" dxfId="1184" priority="675" operator="greaterThan">
      <formula>"J&amp;25"</formula>
    </cfRule>
  </conditionalFormatting>
  <conditionalFormatting sqref="M140">
    <cfRule type="containsText" dxfId="1183" priority="673" operator="containsText" text="Excessivamente elevado">
      <formula>NOT(ISERROR(SEARCH("Excessivamente elevado",M140)))</formula>
    </cfRule>
  </conditionalFormatting>
  <conditionalFormatting sqref="M140">
    <cfRule type="cellIs" dxfId="1182" priority="671" operator="lessThan">
      <formula>"K$25"</formula>
    </cfRule>
    <cfRule type="cellIs" dxfId="1181" priority="672" operator="greaterThan">
      <formula>"J$25"</formula>
    </cfRule>
  </conditionalFormatting>
  <conditionalFormatting sqref="N140">
    <cfRule type="containsText" dxfId="1180" priority="666" operator="containsText" text="Excessivamente elevado">
      <formula>NOT(ISERROR(SEARCH("Excessivamente elevado",N140)))</formula>
    </cfRule>
  </conditionalFormatting>
  <conditionalFormatting sqref="N140">
    <cfRule type="cellIs" dxfId="1179" priority="664" operator="lessThan">
      <formula>"K$25"</formula>
    </cfRule>
    <cfRule type="cellIs" dxfId="1178" priority="665" operator="greaterThan">
      <formula>"J$25"</formula>
    </cfRule>
  </conditionalFormatting>
  <conditionalFormatting sqref="N140">
    <cfRule type="cellIs" dxfId="1177" priority="662" operator="lessThan">
      <formula>"K$25"</formula>
    </cfRule>
    <cfRule type="cellIs" dxfId="1176" priority="663" operator="greaterThan">
      <formula>"J&amp;25"</formula>
    </cfRule>
  </conditionalFormatting>
  <conditionalFormatting sqref="N140">
    <cfRule type="containsText" priority="667" operator="containsText" text="Excessivamente elevado">
      <formula>NOT(ISERROR(SEARCH("Excessivamente elevado",N140)))</formula>
    </cfRule>
    <cfRule type="containsText" dxfId="1175" priority="668" operator="containsText" text="Válido">
      <formula>NOT(ISERROR(SEARCH("Válido",N140)))</formula>
    </cfRule>
    <cfRule type="containsText" dxfId="1174" priority="669" operator="containsText" text="Inexequível">
      <formula>NOT(ISERROR(SEARCH("Inexequível",N140)))</formula>
    </cfRule>
    <cfRule type="aboveAverage" dxfId="1173" priority="670" aboveAverage="0"/>
  </conditionalFormatting>
  <conditionalFormatting sqref="M140">
    <cfRule type="containsText" priority="676" operator="containsText" text="Excessivamente elevado">
      <formula>NOT(ISERROR(SEARCH("Excessivamente elevado",M140)))</formula>
    </cfRule>
    <cfRule type="containsText" dxfId="1172" priority="677" operator="containsText" text="Válido">
      <formula>NOT(ISERROR(SEARCH("Válido",M140)))</formula>
    </cfRule>
    <cfRule type="containsText" dxfId="1171" priority="678" operator="containsText" text="Inexequível">
      <formula>NOT(ISERROR(SEARCH("Inexequível",M140)))</formula>
    </cfRule>
    <cfRule type="aboveAverage" dxfId="1170" priority="679" aboveAverage="0"/>
  </conditionalFormatting>
  <conditionalFormatting sqref="N141:N142">
    <cfRule type="containsText" dxfId="1169" priority="648" operator="containsText" text="Excessivamente elevado">
      <formula>NOT(ISERROR(SEARCH("Excessivamente elevado",N141)))</formula>
    </cfRule>
  </conditionalFormatting>
  <conditionalFormatting sqref="N141:N142">
    <cfRule type="cellIs" dxfId="1168" priority="646" operator="lessThan">
      <formula>"K$25"</formula>
    </cfRule>
    <cfRule type="cellIs" dxfId="1167" priority="647" operator="greaterThan">
      <formula>"J$25"</formula>
    </cfRule>
  </conditionalFormatting>
  <conditionalFormatting sqref="N141:N142">
    <cfRule type="cellIs" dxfId="1166" priority="644" operator="lessThan">
      <formula>"K$25"</formula>
    </cfRule>
    <cfRule type="cellIs" dxfId="1165" priority="645" operator="greaterThan">
      <formula>"J&amp;25"</formula>
    </cfRule>
  </conditionalFormatting>
  <conditionalFormatting sqref="N141:N142">
    <cfRule type="containsText" priority="649" operator="containsText" text="Excessivamente elevado">
      <formula>NOT(ISERROR(SEARCH("Excessivamente elevado",N141)))</formula>
    </cfRule>
    <cfRule type="containsText" dxfId="1164" priority="650" operator="containsText" text="Válido">
      <formula>NOT(ISERROR(SEARCH("Válido",N141)))</formula>
    </cfRule>
    <cfRule type="containsText" dxfId="1163" priority="651" operator="containsText" text="Inexequível">
      <formula>NOT(ISERROR(SEARCH("Inexequível",N141)))</formula>
    </cfRule>
    <cfRule type="aboveAverage" dxfId="1162" priority="652" aboveAverage="0"/>
  </conditionalFormatting>
  <conditionalFormatting sqref="M143">
    <cfRule type="cellIs" dxfId="1161" priority="620" operator="lessThan">
      <formula>"K$25"</formula>
    </cfRule>
    <cfRule type="cellIs" dxfId="1160" priority="621" operator="greaterThan">
      <formula>"J$25"</formula>
    </cfRule>
  </conditionalFormatting>
  <conditionalFormatting sqref="M143">
    <cfRule type="cellIs" dxfId="1159" priority="618" operator="lessThan">
      <formula>"K$25"</formula>
    </cfRule>
    <cfRule type="cellIs" dxfId="1158" priority="619" operator="greaterThan">
      <formula>"J&amp;25"</formula>
    </cfRule>
  </conditionalFormatting>
  <conditionalFormatting sqref="M143">
    <cfRule type="containsText" dxfId="1157" priority="617" operator="containsText" text="Excessivamente elevado">
      <formula>NOT(ISERROR(SEARCH("Excessivamente elevado",M143)))</formula>
    </cfRule>
  </conditionalFormatting>
  <conditionalFormatting sqref="M143">
    <cfRule type="containsText" priority="622" operator="containsText" text="Excessivamente elevado">
      <formula>NOT(ISERROR(SEARCH("Excessivamente elevado",M143)))</formula>
    </cfRule>
    <cfRule type="containsText" dxfId="1156" priority="623" operator="containsText" text="Válido">
      <formula>NOT(ISERROR(SEARCH("Válido",M143)))</formula>
    </cfRule>
    <cfRule type="containsText" dxfId="1155" priority="624" operator="containsText" text="Inexequível">
      <formula>NOT(ISERROR(SEARCH("Inexequível",M143)))</formula>
    </cfRule>
    <cfRule type="aboveAverage" dxfId="1154" priority="625" aboveAverage="0"/>
  </conditionalFormatting>
  <conditionalFormatting sqref="M144:M145">
    <cfRule type="cellIs" dxfId="1153" priority="611" operator="lessThan">
      <formula>"K$25"</formula>
    </cfRule>
    <cfRule type="cellIs" dxfId="1152" priority="612" operator="greaterThan">
      <formula>"J$25"</formula>
    </cfRule>
  </conditionalFormatting>
  <conditionalFormatting sqref="M144:M145">
    <cfRule type="cellIs" dxfId="1151" priority="609" operator="lessThan">
      <formula>"K$25"</formula>
    </cfRule>
    <cfRule type="cellIs" dxfId="1150" priority="610" operator="greaterThan">
      <formula>"J&amp;25"</formula>
    </cfRule>
  </conditionalFormatting>
  <conditionalFormatting sqref="M144:M145">
    <cfRule type="containsText" dxfId="1149" priority="608" operator="containsText" text="Excessivamente elevado">
      <formula>NOT(ISERROR(SEARCH("Excessivamente elevado",M144)))</formula>
    </cfRule>
  </conditionalFormatting>
  <conditionalFormatting sqref="M144:M145">
    <cfRule type="containsText" priority="613" operator="containsText" text="Excessivamente elevado">
      <formula>NOT(ISERROR(SEARCH("Excessivamente elevado",M144)))</formula>
    </cfRule>
    <cfRule type="containsText" dxfId="1148" priority="614" operator="containsText" text="Válido">
      <formula>NOT(ISERROR(SEARCH("Válido",M144)))</formula>
    </cfRule>
    <cfRule type="containsText" dxfId="1147" priority="615" operator="containsText" text="Inexequível">
      <formula>NOT(ISERROR(SEARCH("Inexequível",M144)))</formula>
    </cfRule>
    <cfRule type="aboveAverage" dxfId="1146" priority="616" aboveAverage="0"/>
  </conditionalFormatting>
  <conditionalFormatting sqref="M146">
    <cfRule type="cellIs" dxfId="1145" priority="602" operator="lessThan">
      <formula>"K$25"</formula>
    </cfRule>
    <cfRule type="cellIs" dxfId="1144" priority="603" operator="greaterThan">
      <formula>"J$25"</formula>
    </cfRule>
  </conditionalFormatting>
  <conditionalFormatting sqref="M146">
    <cfRule type="cellIs" dxfId="1143" priority="600" operator="lessThan">
      <formula>"K$25"</formula>
    </cfRule>
    <cfRule type="cellIs" dxfId="1142" priority="601" operator="greaterThan">
      <formula>"J&amp;25"</formula>
    </cfRule>
  </conditionalFormatting>
  <conditionalFormatting sqref="M146">
    <cfRule type="containsText" dxfId="1141" priority="599" operator="containsText" text="Excessivamente elevado">
      <formula>NOT(ISERROR(SEARCH("Excessivamente elevado",M146)))</formula>
    </cfRule>
  </conditionalFormatting>
  <conditionalFormatting sqref="M146">
    <cfRule type="containsText" priority="604" operator="containsText" text="Excessivamente elevado">
      <formula>NOT(ISERROR(SEARCH("Excessivamente elevado",M146)))</formula>
    </cfRule>
    <cfRule type="containsText" dxfId="1140" priority="605" operator="containsText" text="Válido">
      <formula>NOT(ISERROR(SEARCH("Válido",M146)))</formula>
    </cfRule>
    <cfRule type="containsText" dxfId="1139" priority="606" operator="containsText" text="Inexequível">
      <formula>NOT(ISERROR(SEARCH("Inexequível",M146)))</formula>
    </cfRule>
    <cfRule type="aboveAverage" dxfId="1138" priority="607" aboveAverage="0"/>
  </conditionalFormatting>
  <conditionalFormatting sqref="M148:M149">
    <cfRule type="cellIs" dxfId="1137" priority="593" operator="lessThan">
      <formula>"K$25"</formula>
    </cfRule>
    <cfRule type="cellIs" dxfId="1136" priority="594" operator="greaterThan">
      <formula>"J$25"</formula>
    </cfRule>
  </conditionalFormatting>
  <conditionalFormatting sqref="M148:M149">
    <cfRule type="cellIs" dxfId="1135" priority="591" operator="lessThan">
      <formula>"K$25"</formula>
    </cfRule>
    <cfRule type="cellIs" dxfId="1134" priority="592" operator="greaterThan">
      <formula>"J&amp;25"</formula>
    </cfRule>
  </conditionalFormatting>
  <conditionalFormatting sqref="M148:M149">
    <cfRule type="containsText" dxfId="1133" priority="590" operator="containsText" text="Excessivamente elevado">
      <formula>NOT(ISERROR(SEARCH("Excessivamente elevado",M148)))</formula>
    </cfRule>
  </conditionalFormatting>
  <conditionalFormatting sqref="M148:M149">
    <cfRule type="containsText" priority="595" operator="containsText" text="Excessivamente elevado">
      <formula>NOT(ISERROR(SEARCH("Excessivamente elevado",M148)))</formula>
    </cfRule>
    <cfRule type="containsText" dxfId="1132" priority="596" operator="containsText" text="Válido">
      <formula>NOT(ISERROR(SEARCH("Válido",M148)))</formula>
    </cfRule>
    <cfRule type="containsText" dxfId="1131" priority="597" operator="containsText" text="Inexequível">
      <formula>NOT(ISERROR(SEARCH("Inexequível",M148)))</formula>
    </cfRule>
    <cfRule type="aboveAverage" dxfId="1130" priority="598" aboveAverage="0"/>
  </conditionalFormatting>
  <conditionalFormatting sqref="M150">
    <cfRule type="cellIs" dxfId="1129" priority="584" operator="lessThan">
      <formula>"K$25"</formula>
    </cfRule>
    <cfRule type="cellIs" dxfId="1128" priority="585" operator="greaterThan">
      <formula>"J$25"</formula>
    </cfRule>
  </conditionalFormatting>
  <conditionalFormatting sqref="M150">
    <cfRule type="cellIs" dxfId="1127" priority="582" operator="lessThan">
      <formula>"K$25"</formula>
    </cfRule>
    <cfRule type="cellIs" dxfId="1126" priority="583" operator="greaterThan">
      <formula>"J&amp;25"</formula>
    </cfRule>
  </conditionalFormatting>
  <conditionalFormatting sqref="M150">
    <cfRule type="containsText" dxfId="1125" priority="581" operator="containsText" text="Excessivamente elevado">
      <formula>NOT(ISERROR(SEARCH("Excessivamente elevado",M150)))</formula>
    </cfRule>
  </conditionalFormatting>
  <conditionalFormatting sqref="N143:N148">
    <cfRule type="containsText" dxfId="1124" priority="567" operator="containsText" text="Excessivamente elevado">
      <formula>NOT(ISERROR(SEARCH("Excessivamente elevado",N143)))</formula>
    </cfRule>
  </conditionalFormatting>
  <conditionalFormatting sqref="N143:N148">
    <cfRule type="cellIs" dxfId="1123" priority="565" operator="lessThan">
      <formula>"K$25"</formula>
    </cfRule>
    <cfRule type="cellIs" dxfId="1122" priority="566" operator="greaterThan">
      <formula>"J$25"</formula>
    </cfRule>
  </conditionalFormatting>
  <conditionalFormatting sqref="N143:N148">
    <cfRule type="cellIs" dxfId="1121" priority="563" operator="lessThan">
      <formula>"K$25"</formula>
    </cfRule>
    <cfRule type="cellIs" dxfId="1120" priority="564" operator="greaterThan">
      <formula>"J&amp;25"</formula>
    </cfRule>
  </conditionalFormatting>
  <conditionalFormatting sqref="N143:N148">
    <cfRule type="containsText" priority="568" operator="containsText" text="Excessivamente elevado">
      <formula>NOT(ISERROR(SEARCH("Excessivamente elevado",N143)))</formula>
    </cfRule>
    <cfRule type="containsText" dxfId="1119" priority="569" operator="containsText" text="Válido">
      <formula>NOT(ISERROR(SEARCH("Válido",N143)))</formula>
    </cfRule>
    <cfRule type="containsText" dxfId="1118" priority="570" operator="containsText" text="Inexequível">
      <formula>NOT(ISERROR(SEARCH("Inexequível",N143)))</formula>
    </cfRule>
    <cfRule type="aboveAverage" dxfId="1117" priority="571" aboveAverage="0"/>
  </conditionalFormatting>
  <conditionalFormatting sqref="M128:M130">
    <cfRule type="cellIs" dxfId="1116" priority="548" operator="lessThan">
      <formula>"K$25"</formula>
    </cfRule>
    <cfRule type="cellIs" dxfId="1115" priority="549" operator="greaterThan">
      <formula>"J$25"</formula>
    </cfRule>
  </conditionalFormatting>
  <conditionalFormatting sqref="M128:M130">
    <cfRule type="cellIs" dxfId="1114" priority="546" operator="lessThan">
      <formula>"K$25"</formula>
    </cfRule>
    <cfRule type="cellIs" dxfId="1113" priority="547" operator="greaterThan">
      <formula>"J&amp;25"</formula>
    </cfRule>
  </conditionalFormatting>
  <conditionalFormatting sqref="M128:M130">
    <cfRule type="containsText" dxfId="1112" priority="545" operator="containsText" text="Excessivamente elevado">
      <formula>NOT(ISERROR(SEARCH("Excessivamente elevado",M128)))</formula>
    </cfRule>
  </conditionalFormatting>
  <conditionalFormatting sqref="M128:M130">
    <cfRule type="containsText" priority="550" operator="containsText" text="Excessivamente elevado">
      <formula>NOT(ISERROR(SEARCH("Excessivamente elevado",M128)))</formula>
    </cfRule>
    <cfRule type="containsText" dxfId="1111" priority="551" operator="containsText" text="Válido">
      <formula>NOT(ISERROR(SEARCH("Válido",M128)))</formula>
    </cfRule>
    <cfRule type="containsText" dxfId="1110" priority="552" operator="containsText" text="Inexequível">
      <formula>NOT(ISERROR(SEARCH("Inexequível",M128)))</formula>
    </cfRule>
    <cfRule type="aboveAverage" dxfId="1109" priority="553" aboveAverage="0"/>
  </conditionalFormatting>
  <conditionalFormatting sqref="M131:M132">
    <cfRule type="cellIs" dxfId="1108" priority="530" operator="lessThan">
      <formula>"K$25"</formula>
    </cfRule>
    <cfRule type="cellIs" dxfId="1107" priority="531" operator="greaterThan">
      <formula>"J$25"</formula>
    </cfRule>
  </conditionalFormatting>
  <conditionalFormatting sqref="M131:M132">
    <cfRule type="cellIs" dxfId="1106" priority="528" operator="lessThan">
      <formula>"K$25"</formula>
    </cfRule>
    <cfRule type="cellIs" dxfId="1105" priority="529" operator="greaterThan">
      <formula>"J&amp;25"</formula>
    </cfRule>
  </conditionalFormatting>
  <conditionalFormatting sqref="M131:M132">
    <cfRule type="containsText" dxfId="1104" priority="527" operator="containsText" text="Excessivamente elevado">
      <formula>NOT(ISERROR(SEARCH("Excessivamente elevado",M131)))</formula>
    </cfRule>
  </conditionalFormatting>
  <conditionalFormatting sqref="M131:M132">
    <cfRule type="containsText" priority="532" operator="containsText" text="Excessivamente elevado">
      <formula>NOT(ISERROR(SEARCH("Excessivamente elevado",M131)))</formula>
    </cfRule>
    <cfRule type="containsText" dxfId="1103" priority="533" operator="containsText" text="Válido">
      <formula>NOT(ISERROR(SEARCH("Válido",M131)))</formula>
    </cfRule>
    <cfRule type="containsText" dxfId="1102" priority="534" operator="containsText" text="Inexequível">
      <formula>NOT(ISERROR(SEARCH("Inexequível",M131)))</formula>
    </cfRule>
    <cfRule type="aboveAverage" dxfId="1101" priority="535" aboveAverage="0"/>
  </conditionalFormatting>
  <conditionalFormatting sqref="M135">
    <cfRule type="cellIs" dxfId="1100" priority="503" operator="lessThan">
      <formula>"K$25"</formula>
    </cfRule>
    <cfRule type="cellIs" dxfId="1099" priority="504" operator="greaterThan">
      <formula>"J$25"</formula>
    </cfRule>
  </conditionalFormatting>
  <conditionalFormatting sqref="M135">
    <cfRule type="cellIs" dxfId="1098" priority="501" operator="lessThan">
      <formula>"K$25"</formula>
    </cfRule>
    <cfRule type="cellIs" dxfId="1097" priority="502" operator="greaterThan">
      <formula>"J&amp;25"</formula>
    </cfRule>
  </conditionalFormatting>
  <conditionalFormatting sqref="M135">
    <cfRule type="containsText" dxfId="1096" priority="500" operator="containsText" text="Excessivamente elevado">
      <formula>NOT(ISERROR(SEARCH("Excessivamente elevado",M135)))</formula>
    </cfRule>
  </conditionalFormatting>
  <conditionalFormatting sqref="M135">
    <cfRule type="containsText" priority="505" operator="containsText" text="Excessivamente elevado">
      <formula>NOT(ISERROR(SEARCH("Excessivamente elevado",M135)))</formula>
    </cfRule>
    <cfRule type="containsText" dxfId="1095" priority="506" operator="containsText" text="Válido">
      <formula>NOT(ISERROR(SEARCH("Válido",M135)))</formula>
    </cfRule>
    <cfRule type="containsText" dxfId="1094" priority="507" operator="containsText" text="Inexequível">
      <formula>NOT(ISERROR(SEARCH("Inexequível",M135)))</formula>
    </cfRule>
    <cfRule type="aboveAverage" dxfId="1093" priority="508" aboveAverage="0"/>
  </conditionalFormatting>
  <conditionalFormatting sqref="M136">
    <cfRule type="cellIs" dxfId="1092" priority="494" operator="lessThan">
      <formula>"K$25"</formula>
    </cfRule>
    <cfRule type="cellIs" dxfId="1091" priority="495" operator="greaterThan">
      <formula>"J$25"</formula>
    </cfRule>
  </conditionalFormatting>
  <conditionalFormatting sqref="M136">
    <cfRule type="cellIs" dxfId="1090" priority="492" operator="lessThan">
      <formula>"K$25"</formula>
    </cfRule>
    <cfRule type="cellIs" dxfId="1089" priority="493" operator="greaterThan">
      <formula>"J&amp;25"</formula>
    </cfRule>
  </conditionalFormatting>
  <conditionalFormatting sqref="M136">
    <cfRule type="containsText" dxfId="1088" priority="491" operator="containsText" text="Excessivamente elevado">
      <formula>NOT(ISERROR(SEARCH("Excessivamente elevado",M136)))</formula>
    </cfRule>
  </conditionalFormatting>
  <conditionalFormatting sqref="M136">
    <cfRule type="containsText" priority="496" operator="containsText" text="Excessivamente elevado">
      <formula>NOT(ISERROR(SEARCH("Excessivamente elevado",M136)))</formula>
    </cfRule>
    <cfRule type="containsText" dxfId="1087" priority="497" operator="containsText" text="Válido">
      <formula>NOT(ISERROR(SEARCH("Válido",M136)))</formula>
    </cfRule>
    <cfRule type="containsText" dxfId="1086" priority="498" operator="containsText" text="Inexequível">
      <formula>NOT(ISERROR(SEARCH("Inexequível",M136)))</formula>
    </cfRule>
    <cfRule type="aboveAverage" dxfId="1085" priority="499" aboveAverage="0"/>
  </conditionalFormatting>
  <conditionalFormatting sqref="M137:M138">
    <cfRule type="cellIs" dxfId="1084" priority="485" operator="lessThan">
      <formula>"K$25"</formula>
    </cfRule>
    <cfRule type="cellIs" dxfId="1083" priority="486" operator="greaterThan">
      <formula>"J$25"</formula>
    </cfRule>
  </conditionalFormatting>
  <conditionalFormatting sqref="M137:M138">
    <cfRule type="cellIs" dxfId="1082" priority="483" operator="lessThan">
      <formula>"K$25"</formula>
    </cfRule>
    <cfRule type="cellIs" dxfId="1081" priority="484" operator="greaterThan">
      <formula>"J&amp;25"</formula>
    </cfRule>
  </conditionalFormatting>
  <conditionalFormatting sqref="M137:M138">
    <cfRule type="containsText" dxfId="1080" priority="482" operator="containsText" text="Excessivamente elevado">
      <formula>NOT(ISERROR(SEARCH("Excessivamente elevado",M137)))</formula>
    </cfRule>
  </conditionalFormatting>
  <conditionalFormatting sqref="M137:M138">
    <cfRule type="containsText" priority="487" operator="containsText" text="Excessivamente elevado">
      <formula>NOT(ISERROR(SEARCH("Excessivamente elevado",M137)))</formula>
    </cfRule>
    <cfRule type="containsText" dxfId="1079" priority="488" operator="containsText" text="Válido">
      <formula>NOT(ISERROR(SEARCH("Válido",M137)))</formula>
    </cfRule>
    <cfRule type="containsText" dxfId="1078" priority="489" operator="containsText" text="Inexequível">
      <formula>NOT(ISERROR(SEARCH("Inexequível",M137)))</formula>
    </cfRule>
    <cfRule type="aboveAverage" dxfId="1077" priority="490" aboveAverage="0"/>
  </conditionalFormatting>
  <conditionalFormatting sqref="N134">
    <cfRule type="containsText" dxfId="1076" priority="477" operator="containsText" text="Excessivamente elevado">
      <formula>NOT(ISERROR(SEARCH("Excessivamente elevado",N134)))</formula>
    </cfRule>
  </conditionalFormatting>
  <conditionalFormatting sqref="N134">
    <cfRule type="cellIs" dxfId="1075" priority="475" operator="lessThan">
      <formula>"K$25"</formula>
    </cfRule>
    <cfRule type="cellIs" dxfId="1074" priority="476" operator="greaterThan">
      <formula>"J$25"</formula>
    </cfRule>
  </conditionalFormatting>
  <conditionalFormatting sqref="N134">
    <cfRule type="cellIs" dxfId="1073" priority="473" operator="lessThan">
      <formula>"K$25"</formula>
    </cfRule>
    <cfRule type="cellIs" dxfId="1072" priority="474" operator="greaterThan">
      <formula>"J&amp;25"</formula>
    </cfRule>
  </conditionalFormatting>
  <conditionalFormatting sqref="N134">
    <cfRule type="containsText" priority="478" operator="containsText" text="Excessivamente elevado">
      <formula>NOT(ISERROR(SEARCH("Excessivamente elevado",N134)))</formula>
    </cfRule>
    <cfRule type="containsText" dxfId="1071" priority="479" operator="containsText" text="Válido">
      <formula>NOT(ISERROR(SEARCH("Válido",N134)))</formula>
    </cfRule>
    <cfRule type="containsText" dxfId="1070" priority="480" operator="containsText" text="Inexequível">
      <formula>NOT(ISERROR(SEARCH("Inexequível",N134)))</formula>
    </cfRule>
    <cfRule type="aboveAverage" dxfId="1069" priority="481" aboveAverage="0"/>
  </conditionalFormatting>
  <conditionalFormatting sqref="M139">
    <cfRule type="cellIs" dxfId="1068" priority="467" operator="lessThan">
      <formula>"K$25"</formula>
    </cfRule>
    <cfRule type="cellIs" dxfId="1067" priority="468" operator="greaterThan">
      <formula>"J$25"</formula>
    </cfRule>
  </conditionalFormatting>
  <conditionalFormatting sqref="M139">
    <cfRule type="cellIs" dxfId="1066" priority="465" operator="lessThan">
      <formula>"K$25"</formula>
    </cfRule>
    <cfRule type="cellIs" dxfId="1065" priority="466" operator="greaterThan">
      <formula>"J&amp;25"</formula>
    </cfRule>
  </conditionalFormatting>
  <conditionalFormatting sqref="M139">
    <cfRule type="containsText" dxfId="1064" priority="464" operator="containsText" text="Excessivamente elevado">
      <formula>NOT(ISERROR(SEARCH("Excessivamente elevado",M139)))</formula>
    </cfRule>
  </conditionalFormatting>
  <conditionalFormatting sqref="M139">
    <cfRule type="containsText" priority="469" operator="containsText" text="Excessivamente elevado">
      <formula>NOT(ISERROR(SEARCH("Excessivamente elevado",M139)))</formula>
    </cfRule>
    <cfRule type="containsText" dxfId="1063" priority="470" operator="containsText" text="Válido">
      <formula>NOT(ISERROR(SEARCH("Válido",M139)))</formula>
    </cfRule>
    <cfRule type="containsText" dxfId="1062" priority="471" operator="containsText" text="Inexequível">
      <formula>NOT(ISERROR(SEARCH("Inexequível",M139)))</formula>
    </cfRule>
    <cfRule type="aboveAverage" dxfId="1061" priority="472" aboveAverage="0"/>
  </conditionalFormatting>
  <conditionalFormatting sqref="M124 M133">
    <cfRule type="containsText" priority="3250" operator="containsText" text="Excessivamente elevado">
      <formula>NOT(ISERROR(SEARCH("Excessivamente elevado",M124)))</formula>
    </cfRule>
    <cfRule type="containsText" dxfId="1060" priority="3251" operator="containsText" text="Válido">
      <formula>NOT(ISERROR(SEARCH("Válido",M124)))</formula>
    </cfRule>
    <cfRule type="containsText" dxfId="1059" priority="3252" operator="containsText" text="Inexequível">
      <formula>NOT(ISERROR(SEARCH("Inexequível",M124)))</formula>
    </cfRule>
    <cfRule type="aboveAverage" dxfId="1058" priority="3253" aboveAverage="0"/>
  </conditionalFormatting>
  <conditionalFormatting sqref="N128:O129 N55:O59 N65:O67 N82:O85 N117:O121 N135:O138 M49:M53 M62:M64 M78:M81 M113:M115 M103:M107">
    <cfRule type="containsText" priority="3258" operator="containsText" text="Excessivamente elevado">
      <formula>NOT(ISERROR(SEARCH("Excessivamente elevado",M49)))</formula>
    </cfRule>
    <cfRule type="containsText" dxfId="1057" priority="3259" operator="containsText" text="Válido">
      <formula>NOT(ISERROR(SEARCH("Válido",M49)))</formula>
    </cfRule>
    <cfRule type="containsText" dxfId="1056" priority="3260" operator="containsText" text="Inexequível">
      <formula>NOT(ISERROR(SEARCH("Inexequível",M49)))</formula>
    </cfRule>
    <cfRule type="aboveAverage" dxfId="1055" priority="3261" aboveAverage="0"/>
  </conditionalFormatting>
  <conditionalFormatting sqref="M61">
    <cfRule type="containsText" priority="3342" operator="containsText" text="Excessivamente elevado">
      <formula>NOT(ISERROR(SEARCH("Excessivamente elevado",M61)))</formula>
    </cfRule>
    <cfRule type="containsText" dxfId="1054" priority="3343" operator="containsText" text="Válido">
      <formula>NOT(ISERROR(SEARCH("Válido",M61)))</formula>
    </cfRule>
    <cfRule type="containsText" dxfId="1053" priority="3344" operator="containsText" text="Inexequível">
      <formula>NOT(ISERROR(SEARCH("Inexequível",M61)))</formula>
    </cfRule>
    <cfRule type="aboveAverage" dxfId="1052" priority="3345" aboveAverage="0"/>
  </conditionalFormatting>
  <conditionalFormatting sqref="N60:N61">
    <cfRule type="containsText" priority="3346" operator="containsText" text="Excessivamente elevado">
      <formula>NOT(ISERROR(SEARCH("Excessivamente elevado",N60)))</formula>
    </cfRule>
    <cfRule type="containsText" dxfId="1051" priority="3347" operator="containsText" text="Válido">
      <formula>NOT(ISERROR(SEARCH("Válido",N60)))</formula>
    </cfRule>
    <cfRule type="containsText" dxfId="1050" priority="3348" operator="containsText" text="Inexequível">
      <formula>NOT(ISERROR(SEARCH("Inexequível",N60)))</formula>
    </cfRule>
    <cfRule type="aboveAverage" dxfId="1049" priority="3349" aboveAverage="0"/>
  </conditionalFormatting>
  <conditionalFormatting sqref="M56">
    <cfRule type="cellIs" dxfId="1048" priority="422" operator="lessThan">
      <formula>"K$25"</formula>
    </cfRule>
    <cfRule type="cellIs" dxfId="1047" priority="423" operator="greaterThan">
      <formula>"J$25"</formula>
    </cfRule>
  </conditionalFormatting>
  <conditionalFormatting sqref="M56">
    <cfRule type="cellIs" dxfId="1046" priority="420" operator="lessThan">
      <formula>"K$25"</formula>
    </cfRule>
    <cfRule type="cellIs" dxfId="1045" priority="421" operator="greaterThan">
      <formula>"J&amp;25"</formula>
    </cfRule>
  </conditionalFormatting>
  <conditionalFormatting sqref="M56">
    <cfRule type="containsText" dxfId="1044" priority="419" operator="containsText" text="Excessivamente elevado">
      <formula>NOT(ISERROR(SEARCH("Excessivamente elevado",M56)))</formula>
    </cfRule>
  </conditionalFormatting>
  <conditionalFormatting sqref="M56">
    <cfRule type="containsText" priority="424" operator="containsText" text="Excessivamente elevado">
      <formula>NOT(ISERROR(SEARCH("Excessivamente elevado",M56)))</formula>
    </cfRule>
    <cfRule type="containsText" dxfId="1043" priority="425" operator="containsText" text="Válido">
      <formula>NOT(ISERROR(SEARCH("Válido",M56)))</formula>
    </cfRule>
    <cfRule type="containsText" dxfId="1042" priority="426" operator="containsText" text="Inexequível">
      <formula>NOT(ISERROR(SEARCH("Inexequível",M56)))</formula>
    </cfRule>
    <cfRule type="aboveAverage" dxfId="1041" priority="427" aboveAverage="0"/>
  </conditionalFormatting>
  <conditionalFormatting sqref="M59">
    <cfRule type="cellIs" dxfId="1040" priority="413" operator="lessThan">
      <formula>"K$25"</formula>
    </cfRule>
    <cfRule type="cellIs" dxfId="1039" priority="414" operator="greaterThan">
      <formula>"J$25"</formula>
    </cfRule>
  </conditionalFormatting>
  <conditionalFormatting sqref="M59">
    <cfRule type="cellIs" dxfId="1038" priority="411" operator="lessThan">
      <formula>"K$25"</formula>
    </cfRule>
    <cfRule type="cellIs" dxfId="1037" priority="412" operator="greaterThan">
      <formula>"J&amp;25"</formula>
    </cfRule>
  </conditionalFormatting>
  <conditionalFormatting sqref="M59">
    <cfRule type="containsText" dxfId="1036" priority="410" operator="containsText" text="Excessivamente elevado">
      <formula>NOT(ISERROR(SEARCH("Excessivamente elevado",M59)))</formula>
    </cfRule>
  </conditionalFormatting>
  <conditionalFormatting sqref="M59">
    <cfRule type="containsText" priority="415" operator="containsText" text="Excessivamente elevado">
      <formula>NOT(ISERROR(SEARCH("Excessivamente elevado",M59)))</formula>
    </cfRule>
    <cfRule type="containsText" dxfId="1035" priority="416" operator="containsText" text="Válido">
      <formula>NOT(ISERROR(SEARCH("Válido",M59)))</formula>
    </cfRule>
    <cfRule type="containsText" dxfId="1034" priority="417" operator="containsText" text="Inexequível">
      <formula>NOT(ISERROR(SEARCH("Inexequível",M59)))</formula>
    </cfRule>
    <cfRule type="aboveAverage" dxfId="1033" priority="418" aboveAverage="0"/>
  </conditionalFormatting>
  <conditionalFormatting sqref="M60">
    <cfRule type="cellIs" dxfId="1032" priority="404" operator="lessThan">
      <formula>"K$25"</formula>
    </cfRule>
    <cfRule type="cellIs" dxfId="1031" priority="405" operator="greaterThan">
      <formula>"J$25"</formula>
    </cfRule>
  </conditionalFormatting>
  <conditionalFormatting sqref="M60">
    <cfRule type="cellIs" dxfId="1030" priority="402" operator="lessThan">
      <formula>"K$25"</formula>
    </cfRule>
    <cfRule type="cellIs" dxfId="1029" priority="403" operator="greaterThan">
      <formula>"J&amp;25"</formula>
    </cfRule>
  </conditionalFormatting>
  <conditionalFormatting sqref="M60">
    <cfRule type="containsText" dxfId="1028" priority="401" operator="containsText" text="Excessivamente elevado">
      <formula>NOT(ISERROR(SEARCH("Excessivamente elevado",M60)))</formula>
    </cfRule>
  </conditionalFormatting>
  <conditionalFormatting sqref="M60">
    <cfRule type="containsText" priority="406" operator="containsText" text="Excessivamente elevado">
      <formula>NOT(ISERROR(SEARCH("Excessivamente elevado",M60)))</formula>
    </cfRule>
    <cfRule type="containsText" dxfId="1027" priority="407" operator="containsText" text="Válido">
      <formula>NOT(ISERROR(SEARCH("Válido",M60)))</formula>
    </cfRule>
    <cfRule type="containsText" dxfId="1026" priority="408" operator="containsText" text="Inexequível">
      <formula>NOT(ISERROR(SEARCH("Inexequível",M60)))</formula>
    </cfRule>
    <cfRule type="aboveAverage" dxfId="1025" priority="409" aboveAverage="0"/>
  </conditionalFormatting>
  <conditionalFormatting sqref="M67:M69">
    <cfRule type="containsText" dxfId="1024" priority="396" operator="containsText" text="Excessivamente elevado">
      <formula>NOT(ISERROR(SEARCH("Excessivamente elevado",M67)))</formula>
    </cfRule>
  </conditionalFormatting>
  <conditionalFormatting sqref="M67:M69">
    <cfRule type="cellIs" dxfId="1023" priority="394" operator="lessThan">
      <formula>"K$25"</formula>
    </cfRule>
    <cfRule type="cellIs" dxfId="1022" priority="395" operator="greaterThan">
      <formula>"J$25"</formula>
    </cfRule>
  </conditionalFormatting>
  <conditionalFormatting sqref="M67:M69">
    <cfRule type="cellIs" dxfId="1021" priority="392" operator="lessThan">
      <formula>"K$25"</formula>
    </cfRule>
    <cfRule type="cellIs" dxfId="1020" priority="393" operator="greaterThan">
      <formula>"J&amp;25"</formula>
    </cfRule>
  </conditionalFormatting>
  <conditionalFormatting sqref="M70">
    <cfRule type="cellIs" dxfId="1019" priority="359" operator="lessThan">
      <formula>"K$25"</formula>
    </cfRule>
    <cfRule type="cellIs" dxfId="1018" priority="360" operator="greaterThan">
      <formula>"J&amp;25"</formula>
    </cfRule>
  </conditionalFormatting>
  <conditionalFormatting sqref="M70">
    <cfRule type="containsText" dxfId="1017" priority="358" operator="containsText" text="Excessivamente elevado">
      <formula>NOT(ISERROR(SEARCH("Excessivamente elevado",M70)))</formula>
    </cfRule>
  </conditionalFormatting>
  <conditionalFormatting sqref="M70">
    <cfRule type="cellIs" dxfId="1016" priority="356" operator="lessThan">
      <formula>"K$25"</formula>
    </cfRule>
    <cfRule type="cellIs" dxfId="1015" priority="357" operator="greaterThan">
      <formula>"J$25"</formula>
    </cfRule>
  </conditionalFormatting>
  <conditionalFormatting sqref="M76">
    <cfRule type="containsText" dxfId="1014" priority="342" operator="containsText" text="Excessivamente elevado">
      <formula>NOT(ISERROR(SEARCH("Excessivamente elevado",M76)))</formula>
    </cfRule>
  </conditionalFormatting>
  <conditionalFormatting sqref="M76">
    <cfRule type="cellIs" dxfId="1013" priority="340" operator="lessThan">
      <formula>"K$25"</formula>
    </cfRule>
    <cfRule type="cellIs" dxfId="1012" priority="341" operator="greaterThan">
      <formula>"J$25"</formula>
    </cfRule>
  </conditionalFormatting>
  <conditionalFormatting sqref="M76">
    <cfRule type="cellIs" dxfId="1011" priority="338" operator="lessThan">
      <formula>"K$25"</formula>
    </cfRule>
    <cfRule type="cellIs" dxfId="1010" priority="339" operator="greaterThan">
      <formula>"J&amp;25"</formula>
    </cfRule>
  </conditionalFormatting>
  <conditionalFormatting sqref="M76">
    <cfRule type="containsText" priority="343" operator="containsText" text="Excessivamente elevado">
      <formula>NOT(ISERROR(SEARCH("Excessivamente elevado",M76)))</formula>
    </cfRule>
    <cfRule type="containsText" dxfId="1009" priority="344" operator="containsText" text="Válido">
      <formula>NOT(ISERROR(SEARCH("Válido",M76)))</formula>
    </cfRule>
    <cfRule type="containsText" dxfId="1008" priority="345" operator="containsText" text="Inexequível">
      <formula>NOT(ISERROR(SEARCH("Inexequível",M76)))</formula>
    </cfRule>
    <cfRule type="aboveAverage" dxfId="1007" priority="346" aboveAverage="0"/>
  </conditionalFormatting>
  <conditionalFormatting sqref="M77">
    <cfRule type="containsText" dxfId="1006" priority="333" operator="containsText" text="Excessivamente elevado">
      <formula>NOT(ISERROR(SEARCH("Excessivamente elevado",M77)))</formula>
    </cfRule>
  </conditionalFormatting>
  <conditionalFormatting sqref="M77">
    <cfRule type="cellIs" dxfId="1005" priority="331" operator="lessThan">
      <formula>"K$25"</formula>
    </cfRule>
    <cfRule type="cellIs" dxfId="1004" priority="332" operator="greaterThan">
      <formula>"J$25"</formula>
    </cfRule>
  </conditionalFormatting>
  <conditionalFormatting sqref="M77">
    <cfRule type="cellIs" dxfId="1003" priority="329" operator="lessThan">
      <formula>"K$25"</formula>
    </cfRule>
    <cfRule type="cellIs" dxfId="1002" priority="330" operator="greaterThan">
      <formula>"J&amp;25"</formula>
    </cfRule>
  </conditionalFormatting>
  <conditionalFormatting sqref="M77">
    <cfRule type="containsText" priority="334" operator="containsText" text="Excessivamente elevado">
      <formula>NOT(ISERROR(SEARCH("Excessivamente elevado",M77)))</formula>
    </cfRule>
    <cfRule type="containsText" dxfId="1001" priority="335" operator="containsText" text="Válido">
      <formula>NOT(ISERROR(SEARCH("Válido",M77)))</formula>
    </cfRule>
    <cfRule type="containsText" dxfId="1000" priority="336" operator="containsText" text="Inexequível">
      <formula>NOT(ISERROR(SEARCH("Inexequível",M77)))</formula>
    </cfRule>
    <cfRule type="aboveAverage" dxfId="999" priority="337" aboveAverage="0"/>
  </conditionalFormatting>
  <conditionalFormatting sqref="N76:N77">
    <cfRule type="containsText" dxfId="998" priority="315" operator="containsText" text="Excessivamente elevado">
      <formula>NOT(ISERROR(SEARCH("Excessivamente elevado",N76)))</formula>
    </cfRule>
  </conditionalFormatting>
  <conditionalFormatting sqref="N76:N77">
    <cfRule type="cellIs" dxfId="997" priority="313" operator="lessThan">
      <formula>"K$25"</formula>
    </cfRule>
    <cfRule type="cellIs" dxfId="996" priority="314" operator="greaterThan">
      <formula>"J$25"</formula>
    </cfRule>
  </conditionalFormatting>
  <conditionalFormatting sqref="N76:N77">
    <cfRule type="cellIs" dxfId="995" priority="311" operator="lessThan">
      <formula>"K$25"</formula>
    </cfRule>
    <cfRule type="cellIs" dxfId="994" priority="312" operator="greaterThan">
      <formula>"J&amp;25"</formula>
    </cfRule>
  </conditionalFormatting>
  <conditionalFormatting sqref="N76:N77">
    <cfRule type="containsText" priority="316" operator="containsText" text="Excessivamente elevado">
      <formula>NOT(ISERROR(SEARCH("Excessivamente elevado",N76)))</formula>
    </cfRule>
    <cfRule type="containsText" dxfId="993" priority="317" operator="containsText" text="Válido">
      <formula>NOT(ISERROR(SEARCH("Válido",N76)))</formula>
    </cfRule>
    <cfRule type="containsText" dxfId="992" priority="318" operator="containsText" text="Inexequível">
      <formula>NOT(ISERROR(SEARCH("Inexequível",N76)))</formula>
    </cfRule>
    <cfRule type="aboveAverage" dxfId="991" priority="319" aboveAverage="0"/>
  </conditionalFormatting>
  <conditionalFormatting sqref="N77">
    <cfRule type="containsText" dxfId="990" priority="306" operator="containsText" text="Excessivamente elevado">
      <formula>NOT(ISERROR(SEARCH("Excessivamente elevado",N77)))</formula>
    </cfRule>
  </conditionalFormatting>
  <conditionalFormatting sqref="N77">
    <cfRule type="cellIs" dxfId="989" priority="304" operator="lessThan">
      <formula>"K$25"</formula>
    </cfRule>
    <cfRule type="cellIs" dxfId="988" priority="305" operator="greaterThan">
      <formula>"J$25"</formula>
    </cfRule>
  </conditionalFormatting>
  <conditionalFormatting sqref="N77">
    <cfRule type="cellIs" dxfId="987" priority="302" operator="lessThan">
      <formula>"K$25"</formula>
    </cfRule>
    <cfRule type="cellIs" dxfId="986" priority="303" operator="greaterThan">
      <formula>"J&amp;25"</formula>
    </cfRule>
  </conditionalFormatting>
  <conditionalFormatting sqref="N77">
    <cfRule type="containsText" priority="3657" operator="containsText" text="Excessivamente elevado">
      <formula>NOT(ISERROR(SEARCH("Excessivamente elevado",N77)))</formula>
    </cfRule>
    <cfRule type="containsText" dxfId="985" priority="3658" operator="containsText" text="Válido">
      <formula>NOT(ISERROR(SEARCH("Válido",N77)))</formula>
    </cfRule>
    <cfRule type="containsText" dxfId="984" priority="3659" operator="containsText" text="Inexequível">
      <formula>NOT(ISERROR(SEARCH("Inexequível",N77)))</formula>
    </cfRule>
    <cfRule type="aboveAverage" dxfId="983" priority="3660" aboveAverage="0"/>
  </conditionalFormatting>
  <conditionalFormatting sqref="N68:N69">
    <cfRule type="containsText" dxfId="982" priority="297" operator="containsText" text="Excessivamente elevado">
      <formula>NOT(ISERROR(SEARCH("Excessivamente elevado",N68)))</formula>
    </cfRule>
  </conditionalFormatting>
  <conditionalFormatting sqref="N68:N69">
    <cfRule type="cellIs" dxfId="981" priority="295" operator="lessThan">
      <formula>"K$25"</formula>
    </cfRule>
    <cfRule type="cellIs" dxfId="980" priority="296" operator="greaterThan">
      <formula>"J$25"</formula>
    </cfRule>
  </conditionalFormatting>
  <conditionalFormatting sqref="N68:N69">
    <cfRule type="cellIs" dxfId="979" priority="293" operator="lessThan">
      <formula>"K$25"</formula>
    </cfRule>
    <cfRule type="cellIs" dxfId="978" priority="294" operator="greaterThan">
      <formula>"J&amp;25"</formula>
    </cfRule>
  </conditionalFormatting>
  <conditionalFormatting sqref="M65:M66">
    <cfRule type="cellIs" dxfId="977" priority="287" operator="lessThan">
      <formula>"K$25"</formula>
    </cfRule>
    <cfRule type="cellIs" dxfId="976" priority="288" operator="greaterThan">
      <formula>"J$25"</formula>
    </cfRule>
  </conditionalFormatting>
  <conditionalFormatting sqref="M65:M66">
    <cfRule type="cellIs" dxfId="975" priority="285" operator="lessThan">
      <formula>"K$25"</formula>
    </cfRule>
    <cfRule type="cellIs" dxfId="974" priority="286" operator="greaterThan">
      <formula>"J&amp;25"</formula>
    </cfRule>
  </conditionalFormatting>
  <conditionalFormatting sqref="M65:M66">
    <cfRule type="containsText" dxfId="973" priority="284" operator="containsText" text="Excessivamente elevado">
      <formula>NOT(ISERROR(SEARCH("Excessivamente elevado",M65)))</formula>
    </cfRule>
  </conditionalFormatting>
  <conditionalFormatting sqref="M65:M66">
    <cfRule type="containsText" priority="289" operator="containsText" text="Excessivamente elevado">
      <formula>NOT(ISERROR(SEARCH("Excessivamente elevado",M65)))</formula>
    </cfRule>
    <cfRule type="containsText" dxfId="972" priority="290" operator="containsText" text="Válido">
      <formula>NOT(ISERROR(SEARCH("Válido",M65)))</formula>
    </cfRule>
    <cfRule type="containsText" dxfId="971" priority="291" operator="containsText" text="Inexequível">
      <formula>NOT(ISERROR(SEARCH("Inexequível",M65)))</formula>
    </cfRule>
    <cfRule type="aboveAverage" dxfId="970" priority="292" aboveAverage="0"/>
  </conditionalFormatting>
  <conditionalFormatting sqref="M67:M69">
    <cfRule type="containsText" priority="3709" operator="containsText" text="Excessivamente elevado">
      <formula>NOT(ISERROR(SEARCH("Excessivamente elevado",M67)))</formula>
    </cfRule>
    <cfRule type="containsText" dxfId="969" priority="3710" operator="containsText" text="Válido">
      <formula>NOT(ISERROR(SEARCH("Válido",M67)))</formula>
    </cfRule>
    <cfRule type="containsText" dxfId="968" priority="3711" operator="containsText" text="Inexequível">
      <formula>NOT(ISERROR(SEARCH("Inexequível",M67)))</formula>
    </cfRule>
    <cfRule type="aboveAverage" dxfId="967" priority="3712" aboveAverage="0"/>
  </conditionalFormatting>
  <conditionalFormatting sqref="N68:N69">
    <cfRule type="containsText" priority="3713" operator="containsText" text="Excessivamente elevado">
      <formula>NOT(ISERROR(SEARCH("Excessivamente elevado",N68)))</formula>
    </cfRule>
    <cfRule type="containsText" dxfId="966" priority="3714" operator="containsText" text="Válido">
      <formula>NOT(ISERROR(SEARCH("Válido",N68)))</formula>
    </cfRule>
    <cfRule type="containsText" dxfId="965" priority="3715" operator="containsText" text="Inexequível">
      <formula>NOT(ISERROR(SEARCH("Inexequível",N68)))</formula>
    </cfRule>
    <cfRule type="aboveAverage" dxfId="964" priority="3716" aboveAverage="0"/>
  </conditionalFormatting>
  <conditionalFormatting sqref="N71:N72">
    <cfRule type="containsText" priority="3773" operator="containsText" text="Excessivamente elevado">
      <formula>NOT(ISERROR(SEARCH("Excessivamente elevado",N71)))</formula>
    </cfRule>
    <cfRule type="containsText" dxfId="963" priority="3774" operator="containsText" text="Válido">
      <formula>NOT(ISERROR(SEARCH("Válido",N71)))</formula>
    </cfRule>
    <cfRule type="containsText" dxfId="962" priority="3775" operator="containsText" text="Inexequível">
      <formula>NOT(ISERROR(SEARCH("Inexequível",N71)))</formula>
    </cfRule>
    <cfRule type="aboveAverage" dxfId="961" priority="3776" aboveAverage="0"/>
  </conditionalFormatting>
  <conditionalFormatting sqref="M71:M75">
    <cfRule type="containsText" priority="3835" operator="containsText" text="Excessivamente elevado">
      <formula>NOT(ISERROR(SEARCH("Excessivamente elevado",M71)))</formula>
    </cfRule>
    <cfRule type="containsText" dxfId="960" priority="3836" operator="containsText" text="Válido">
      <formula>NOT(ISERROR(SEARCH("Válido",M71)))</formula>
    </cfRule>
    <cfRule type="containsText" dxfId="959" priority="3837" operator="containsText" text="Inexequível">
      <formula>NOT(ISERROR(SEARCH("Inexequível",M71)))</formula>
    </cfRule>
    <cfRule type="aboveAverage" dxfId="958" priority="3838" aboveAverage="0"/>
  </conditionalFormatting>
  <conditionalFormatting sqref="N70">
    <cfRule type="containsText" priority="3887" operator="containsText" text="Excessivamente elevado">
      <formula>NOT(ISERROR(SEARCH("Excessivamente elevado",N70)))</formula>
    </cfRule>
    <cfRule type="containsText" dxfId="957" priority="3888" operator="containsText" text="Válido">
      <formula>NOT(ISERROR(SEARCH("Válido",N70)))</formula>
    </cfRule>
    <cfRule type="containsText" dxfId="956" priority="3889" operator="containsText" text="Inexequível">
      <formula>NOT(ISERROR(SEARCH("Inexequível",N70)))</formula>
    </cfRule>
    <cfRule type="aboveAverage" dxfId="955" priority="3890" aboveAverage="0"/>
  </conditionalFormatting>
  <conditionalFormatting sqref="M70">
    <cfRule type="containsText" priority="3891" operator="containsText" text="Excessivamente elevado">
      <formula>NOT(ISERROR(SEARCH("Excessivamente elevado",M70)))</formula>
    </cfRule>
    <cfRule type="containsText" dxfId="954" priority="3892" operator="containsText" text="Válido">
      <formula>NOT(ISERROR(SEARCH("Válido",M70)))</formula>
    </cfRule>
    <cfRule type="containsText" dxfId="953" priority="3893" operator="containsText" text="Inexequível">
      <formula>NOT(ISERROR(SEARCH("Inexequível",M70)))</formula>
    </cfRule>
    <cfRule type="aboveAverage" dxfId="952" priority="3894" aboveAverage="0"/>
  </conditionalFormatting>
  <conditionalFormatting sqref="M85:M86">
    <cfRule type="cellIs" dxfId="951" priority="278" operator="lessThan">
      <formula>"K$25"</formula>
    </cfRule>
    <cfRule type="cellIs" dxfId="950" priority="279" operator="greaterThan">
      <formula>"J$25"</formula>
    </cfRule>
  </conditionalFormatting>
  <conditionalFormatting sqref="M85:M86">
    <cfRule type="cellIs" dxfId="949" priority="276" operator="lessThan">
      <formula>"K$25"</formula>
    </cfRule>
    <cfRule type="cellIs" dxfId="948" priority="277" operator="greaterThan">
      <formula>"J&amp;25"</formula>
    </cfRule>
  </conditionalFormatting>
  <conditionalFormatting sqref="M85:M86">
    <cfRule type="containsText" dxfId="947" priority="275" operator="containsText" text="Excessivamente elevado">
      <formula>NOT(ISERROR(SEARCH("Excessivamente elevado",M85)))</formula>
    </cfRule>
  </conditionalFormatting>
  <conditionalFormatting sqref="M85:M86">
    <cfRule type="containsText" priority="280" operator="containsText" text="Excessivamente elevado">
      <formula>NOT(ISERROR(SEARCH("Excessivamente elevado",M85)))</formula>
    </cfRule>
    <cfRule type="containsText" dxfId="946" priority="281" operator="containsText" text="Válido">
      <formula>NOT(ISERROR(SEARCH("Válido",M85)))</formula>
    </cfRule>
    <cfRule type="containsText" dxfId="945" priority="282" operator="containsText" text="Inexequível">
      <formula>NOT(ISERROR(SEARCH("Inexequível",M85)))</formula>
    </cfRule>
    <cfRule type="aboveAverage" dxfId="944" priority="283" aboveAverage="0"/>
  </conditionalFormatting>
  <conditionalFormatting sqref="M88:M94">
    <cfRule type="cellIs" dxfId="943" priority="224" operator="lessThan">
      <formula>"K$25"</formula>
    </cfRule>
    <cfRule type="cellIs" dxfId="942" priority="225" operator="greaterThan">
      <formula>"J&amp;25"</formula>
    </cfRule>
  </conditionalFormatting>
  <conditionalFormatting sqref="M88:M94">
    <cfRule type="containsText" dxfId="941" priority="223" operator="containsText" text="Excessivamente elevado">
      <formula>NOT(ISERROR(SEARCH("Excessivamente elevado",M88)))</formula>
    </cfRule>
  </conditionalFormatting>
  <conditionalFormatting sqref="M88:M94">
    <cfRule type="cellIs" dxfId="940" priority="221" operator="lessThan">
      <formula>"K$25"</formula>
    </cfRule>
    <cfRule type="cellIs" dxfId="939" priority="222" operator="greaterThan">
      <formula>"J$25"</formula>
    </cfRule>
  </conditionalFormatting>
  <conditionalFormatting sqref="M88:M94">
    <cfRule type="containsText" priority="226" operator="containsText" text="Excessivamente elevado">
      <formula>NOT(ISERROR(SEARCH("Excessivamente elevado",M88)))</formula>
    </cfRule>
    <cfRule type="containsText" dxfId="938" priority="227" operator="containsText" text="Válido">
      <formula>NOT(ISERROR(SEARCH("Válido",M88)))</formula>
    </cfRule>
    <cfRule type="containsText" dxfId="937" priority="228" operator="containsText" text="Inexequível">
      <formula>NOT(ISERROR(SEARCH("Inexequível",M88)))</formula>
    </cfRule>
    <cfRule type="aboveAverage" dxfId="936" priority="229" aboveAverage="0"/>
  </conditionalFormatting>
  <conditionalFormatting sqref="N95:O101">
    <cfRule type="containsText" priority="3895" operator="containsText" text="Excessivamente elevado">
      <formula>NOT(ISERROR(SEARCH("Excessivamente elevado",N95)))</formula>
    </cfRule>
    <cfRule type="containsText" dxfId="935" priority="3896" operator="containsText" text="Válido">
      <formula>NOT(ISERROR(SEARCH("Válido",N95)))</formula>
    </cfRule>
    <cfRule type="containsText" dxfId="934" priority="3897" operator="containsText" text="Inexequível">
      <formula>NOT(ISERROR(SEARCH("Inexequível",N95)))</formula>
    </cfRule>
    <cfRule type="aboveAverage" dxfId="933" priority="3898" aboveAverage="0"/>
  </conditionalFormatting>
  <conditionalFormatting sqref="M114:M115">
    <cfRule type="cellIs" dxfId="932" priority="219" operator="lessThan">
      <formula>"K$25"</formula>
    </cfRule>
    <cfRule type="cellIs" dxfId="931" priority="220" operator="greaterThan">
      <formula>"J$25"</formula>
    </cfRule>
  </conditionalFormatting>
  <conditionalFormatting sqref="N114:N115">
    <cfRule type="containsText" dxfId="930" priority="212" operator="containsText" text="Excessivamente elevado">
      <formula>NOT(ISERROR(SEARCH("Excessivamente elevado",N114)))</formula>
    </cfRule>
  </conditionalFormatting>
  <conditionalFormatting sqref="N114:N115">
    <cfRule type="cellIs" dxfId="929" priority="210" operator="lessThan">
      <formula>"K$25"</formula>
    </cfRule>
    <cfRule type="cellIs" dxfId="928" priority="211" operator="greaterThan">
      <formula>"J$25"</formula>
    </cfRule>
  </conditionalFormatting>
  <conditionalFormatting sqref="N114:N115">
    <cfRule type="cellIs" dxfId="927" priority="208" operator="lessThan">
      <formula>"K$25"</formula>
    </cfRule>
    <cfRule type="cellIs" dxfId="926" priority="209" operator="greaterThan">
      <formula>"J&amp;25"</formula>
    </cfRule>
  </conditionalFormatting>
  <conditionalFormatting sqref="N114:N115">
    <cfRule type="containsText" priority="213" operator="containsText" text="Excessivamente elevado">
      <formula>NOT(ISERROR(SEARCH("Excessivamente elevado",N114)))</formula>
    </cfRule>
    <cfRule type="containsText" dxfId="925" priority="214" operator="containsText" text="Válido">
      <formula>NOT(ISERROR(SEARCH("Válido",N114)))</formula>
    </cfRule>
    <cfRule type="containsText" dxfId="924" priority="215" operator="containsText" text="Inexequível">
      <formula>NOT(ISERROR(SEARCH("Inexequível",N114)))</formula>
    </cfRule>
    <cfRule type="aboveAverage" dxfId="923" priority="216" aboveAverage="0"/>
  </conditionalFormatting>
  <conditionalFormatting sqref="N122">
    <cfRule type="containsText" dxfId="922" priority="194" operator="containsText" text="Excessivamente elevado">
      <formula>NOT(ISERROR(SEARCH("Excessivamente elevado",N122)))</formula>
    </cfRule>
  </conditionalFormatting>
  <conditionalFormatting sqref="N122">
    <cfRule type="cellIs" dxfId="921" priority="192" operator="lessThan">
      <formula>"K$25"</formula>
    </cfRule>
    <cfRule type="cellIs" dxfId="920" priority="193" operator="greaterThan">
      <formula>"J$25"</formula>
    </cfRule>
  </conditionalFormatting>
  <conditionalFormatting sqref="N122">
    <cfRule type="cellIs" dxfId="919" priority="190" operator="lessThan">
      <formula>"K$25"</formula>
    </cfRule>
    <cfRule type="cellIs" dxfId="918" priority="191" operator="greaterThan">
      <formula>"J&amp;25"</formula>
    </cfRule>
  </conditionalFormatting>
  <conditionalFormatting sqref="N122">
    <cfRule type="containsText" priority="195" operator="containsText" text="Excessivamente elevado">
      <formula>NOT(ISERROR(SEARCH("Excessivamente elevado",N122)))</formula>
    </cfRule>
    <cfRule type="containsText" dxfId="917" priority="196" operator="containsText" text="Válido">
      <formula>NOT(ISERROR(SEARCH("Válido",N122)))</formula>
    </cfRule>
    <cfRule type="containsText" dxfId="916" priority="197" operator="containsText" text="Inexequível">
      <formula>NOT(ISERROR(SEARCH("Inexequível",N122)))</formula>
    </cfRule>
    <cfRule type="aboveAverage" dxfId="915" priority="198" aboveAverage="0"/>
  </conditionalFormatting>
  <conditionalFormatting sqref="N116">
    <cfRule type="containsText" priority="4089" operator="containsText" text="Excessivamente elevado">
      <formula>NOT(ISERROR(SEARCH("Excessivamente elevado",N116)))</formula>
    </cfRule>
    <cfRule type="containsText" dxfId="914" priority="4090" operator="containsText" text="Válido">
      <formula>NOT(ISERROR(SEARCH("Válido",N116)))</formula>
    </cfRule>
    <cfRule type="containsText" dxfId="913" priority="4091" operator="containsText" text="Inexequível">
      <formula>NOT(ISERROR(SEARCH("Inexequível",N116)))</formula>
    </cfRule>
    <cfRule type="aboveAverage" dxfId="912" priority="4092" aboveAverage="0"/>
  </conditionalFormatting>
  <conditionalFormatting sqref="N130">
    <cfRule type="containsText" dxfId="911" priority="158" operator="containsText" text="Excessivamente elevado">
      <formula>NOT(ISERROR(SEARCH("Excessivamente elevado",N130)))</formula>
    </cfRule>
  </conditionalFormatting>
  <conditionalFormatting sqref="N130">
    <cfRule type="cellIs" dxfId="910" priority="156" operator="lessThan">
      <formula>"K$25"</formula>
    </cfRule>
    <cfRule type="cellIs" dxfId="909" priority="157" operator="greaterThan">
      <formula>"J$25"</formula>
    </cfRule>
  </conditionalFormatting>
  <conditionalFormatting sqref="N130">
    <cfRule type="cellIs" dxfId="908" priority="154" operator="lessThan">
      <formula>"K$25"</formula>
    </cfRule>
    <cfRule type="cellIs" dxfId="907" priority="155" operator="greaterThan">
      <formula>"J&amp;25"</formula>
    </cfRule>
  </conditionalFormatting>
  <conditionalFormatting sqref="N130">
    <cfRule type="containsText" priority="159" operator="containsText" text="Excessivamente elevado">
      <formula>NOT(ISERROR(SEARCH("Excessivamente elevado",N130)))</formula>
    </cfRule>
    <cfRule type="containsText" dxfId="906" priority="160" operator="containsText" text="Válido">
      <formula>NOT(ISERROR(SEARCH("Válido",N130)))</formula>
    </cfRule>
    <cfRule type="containsText" dxfId="905" priority="161" operator="containsText" text="Inexequível">
      <formula>NOT(ISERROR(SEARCH("Inexequível",N130)))</formula>
    </cfRule>
    <cfRule type="aboveAverage" dxfId="904" priority="162" aboveAverage="0"/>
  </conditionalFormatting>
  <conditionalFormatting sqref="N131">
    <cfRule type="containsText" dxfId="903" priority="149" operator="containsText" text="Excessivamente elevado">
      <formula>NOT(ISERROR(SEARCH("Excessivamente elevado",N131)))</formula>
    </cfRule>
  </conditionalFormatting>
  <conditionalFormatting sqref="N131">
    <cfRule type="cellIs" dxfId="902" priority="147" operator="lessThan">
      <formula>"K$25"</formula>
    </cfRule>
    <cfRule type="cellIs" dxfId="901" priority="148" operator="greaterThan">
      <formula>"J$25"</formula>
    </cfRule>
  </conditionalFormatting>
  <conditionalFormatting sqref="N131">
    <cfRule type="cellIs" dxfId="900" priority="145" operator="lessThan">
      <formula>"K$25"</formula>
    </cfRule>
    <cfRule type="cellIs" dxfId="899" priority="146" operator="greaterThan">
      <formula>"J&amp;25"</formula>
    </cfRule>
  </conditionalFormatting>
  <conditionalFormatting sqref="N131">
    <cfRule type="containsText" priority="150" operator="containsText" text="Excessivamente elevado">
      <formula>NOT(ISERROR(SEARCH("Excessivamente elevado",N131)))</formula>
    </cfRule>
    <cfRule type="containsText" dxfId="898" priority="151" operator="containsText" text="Válido">
      <formula>NOT(ISERROR(SEARCH("Válido",N131)))</formula>
    </cfRule>
    <cfRule type="containsText" dxfId="897" priority="152" operator="containsText" text="Inexequível">
      <formula>NOT(ISERROR(SEARCH("Inexequível",N131)))</formula>
    </cfRule>
    <cfRule type="aboveAverage" dxfId="896" priority="153" aboveAverage="0"/>
  </conditionalFormatting>
  <conditionalFormatting sqref="N132:N133">
    <cfRule type="containsText" dxfId="895" priority="140" operator="containsText" text="Excessivamente elevado">
      <formula>NOT(ISERROR(SEARCH("Excessivamente elevado",N132)))</formula>
    </cfRule>
  </conditionalFormatting>
  <conditionalFormatting sqref="N132:N133">
    <cfRule type="cellIs" dxfId="894" priority="138" operator="lessThan">
      <formula>"K$25"</formula>
    </cfRule>
    <cfRule type="cellIs" dxfId="893" priority="139" operator="greaterThan">
      <formula>"J$25"</formula>
    </cfRule>
  </conditionalFormatting>
  <conditionalFormatting sqref="N132:N133">
    <cfRule type="cellIs" dxfId="892" priority="136" operator="lessThan">
      <formula>"K$25"</formula>
    </cfRule>
    <cfRule type="cellIs" dxfId="891" priority="137" operator="greaterThan">
      <formula>"J&amp;25"</formula>
    </cfRule>
  </conditionalFormatting>
  <conditionalFormatting sqref="N132:N133">
    <cfRule type="containsText" priority="141" operator="containsText" text="Excessivamente elevado">
      <formula>NOT(ISERROR(SEARCH("Excessivamente elevado",N132)))</formula>
    </cfRule>
    <cfRule type="containsText" dxfId="890" priority="142" operator="containsText" text="Válido">
      <formula>NOT(ISERROR(SEARCH("Válido",N132)))</formula>
    </cfRule>
    <cfRule type="containsText" dxfId="889" priority="143" operator="containsText" text="Inexequível">
      <formula>NOT(ISERROR(SEARCH("Inexequível",N132)))</formula>
    </cfRule>
    <cfRule type="aboveAverage" dxfId="888" priority="144" aboveAverage="0"/>
  </conditionalFormatting>
  <conditionalFormatting sqref="M142">
    <cfRule type="cellIs" dxfId="887" priority="130" operator="lessThan">
      <formula>"K$25"</formula>
    </cfRule>
    <cfRule type="cellIs" dxfId="886" priority="131" operator="greaterThan">
      <formula>"J$25"</formula>
    </cfRule>
  </conditionalFormatting>
  <conditionalFormatting sqref="M142">
    <cfRule type="cellIs" dxfId="885" priority="128" operator="lessThan">
      <formula>"K$25"</formula>
    </cfRule>
    <cfRule type="cellIs" dxfId="884" priority="129" operator="greaterThan">
      <formula>"J&amp;25"</formula>
    </cfRule>
  </conditionalFormatting>
  <conditionalFormatting sqref="M142">
    <cfRule type="containsText" dxfId="883" priority="127" operator="containsText" text="Excessivamente elevado">
      <formula>NOT(ISERROR(SEARCH("Excessivamente elevado",M142)))</formula>
    </cfRule>
  </conditionalFormatting>
  <conditionalFormatting sqref="M142">
    <cfRule type="containsText" priority="132" operator="containsText" text="Excessivamente elevado">
      <formula>NOT(ISERROR(SEARCH("Excessivamente elevado",M142)))</formula>
    </cfRule>
    <cfRule type="containsText" dxfId="882" priority="133" operator="containsText" text="Válido">
      <formula>NOT(ISERROR(SEARCH("Válido",M142)))</formula>
    </cfRule>
    <cfRule type="containsText" dxfId="881" priority="134" operator="containsText" text="Inexequível">
      <formula>NOT(ISERROR(SEARCH("Inexequível",M142)))</formula>
    </cfRule>
    <cfRule type="aboveAverage" dxfId="880" priority="135" aboveAverage="0"/>
  </conditionalFormatting>
  <conditionalFormatting sqref="M141">
    <cfRule type="cellIs" dxfId="879" priority="121" operator="lessThan">
      <formula>"K$25"</formula>
    </cfRule>
    <cfRule type="cellIs" dxfId="878" priority="122" operator="greaterThan">
      <formula>"J$25"</formula>
    </cfRule>
  </conditionalFormatting>
  <conditionalFormatting sqref="M141">
    <cfRule type="cellIs" dxfId="877" priority="119" operator="lessThan">
      <formula>"K$25"</formula>
    </cfRule>
    <cfRule type="cellIs" dxfId="876" priority="120" operator="greaterThan">
      <formula>"J&amp;25"</formula>
    </cfRule>
  </conditionalFormatting>
  <conditionalFormatting sqref="M141">
    <cfRule type="containsText" dxfId="875" priority="118" operator="containsText" text="Excessivamente elevado">
      <formula>NOT(ISERROR(SEARCH("Excessivamente elevado",M141)))</formula>
    </cfRule>
  </conditionalFormatting>
  <conditionalFormatting sqref="M141">
    <cfRule type="containsText" priority="123" operator="containsText" text="Excessivamente elevado">
      <formula>NOT(ISERROR(SEARCH("Excessivamente elevado",M141)))</formula>
    </cfRule>
    <cfRule type="containsText" dxfId="874" priority="124" operator="containsText" text="Válido">
      <formula>NOT(ISERROR(SEARCH("Válido",M141)))</formula>
    </cfRule>
    <cfRule type="containsText" dxfId="873" priority="125" operator="containsText" text="Inexequível">
      <formula>NOT(ISERROR(SEARCH("Inexequível",M141)))</formula>
    </cfRule>
    <cfRule type="aboveAverage" dxfId="872" priority="126" aboveAverage="0"/>
  </conditionalFormatting>
  <conditionalFormatting sqref="N139">
    <cfRule type="containsText" dxfId="871" priority="113" operator="containsText" text="Excessivamente elevado">
      <formula>NOT(ISERROR(SEARCH("Excessivamente elevado",N139)))</formula>
    </cfRule>
  </conditionalFormatting>
  <conditionalFormatting sqref="N139">
    <cfRule type="cellIs" dxfId="870" priority="111" operator="lessThan">
      <formula>"K$25"</formula>
    </cfRule>
    <cfRule type="cellIs" dxfId="869" priority="112" operator="greaterThan">
      <formula>"J$25"</formula>
    </cfRule>
  </conditionalFormatting>
  <conditionalFormatting sqref="N139">
    <cfRule type="cellIs" dxfId="868" priority="109" operator="lessThan">
      <formula>"K$25"</formula>
    </cfRule>
    <cfRule type="cellIs" dxfId="867" priority="110" operator="greaterThan">
      <formula>"J&amp;25"</formula>
    </cfRule>
  </conditionalFormatting>
  <conditionalFormatting sqref="N139">
    <cfRule type="containsText" priority="114" operator="containsText" text="Excessivamente elevado">
      <formula>NOT(ISERROR(SEARCH("Excessivamente elevado",N139)))</formula>
    </cfRule>
    <cfRule type="containsText" dxfId="866" priority="115" operator="containsText" text="Válido">
      <formula>NOT(ISERROR(SEARCH("Válido",N139)))</formula>
    </cfRule>
    <cfRule type="containsText" dxfId="865" priority="116" operator="containsText" text="Inexequível">
      <formula>NOT(ISERROR(SEARCH("Inexequível",N139)))</formula>
    </cfRule>
    <cfRule type="aboveAverage" dxfId="864" priority="117" aboveAverage="0"/>
  </conditionalFormatting>
  <conditionalFormatting sqref="N149:N150">
    <cfRule type="containsText" dxfId="863" priority="104" operator="containsText" text="Excessivamente elevado">
      <formula>NOT(ISERROR(SEARCH("Excessivamente elevado",N149)))</formula>
    </cfRule>
  </conditionalFormatting>
  <conditionalFormatting sqref="N149:N150">
    <cfRule type="cellIs" dxfId="862" priority="102" operator="lessThan">
      <formula>"K$25"</formula>
    </cfRule>
    <cfRule type="cellIs" dxfId="861" priority="103" operator="greaterThan">
      <formula>"J$25"</formula>
    </cfRule>
  </conditionalFormatting>
  <conditionalFormatting sqref="N149:N150">
    <cfRule type="cellIs" dxfId="860" priority="100" operator="lessThan">
      <formula>"K$25"</formula>
    </cfRule>
    <cfRule type="cellIs" dxfId="859" priority="101" operator="greaterThan">
      <formula>"J&amp;25"</formula>
    </cfRule>
  </conditionalFormatting>
  <conditionalFormatting sqref="M147">
    <cfRule type="cellIs" dxfId="858" priority="94" operator="lessThan">
      <formula>"K$25"</formula>
    </cfRule>
    <cfRule type="cellIs" dxfId="857" priority="95" operator="greaterThan">
      <formula>"J$25"</formula>
    </cfRule>
  </conditionalFormatting>
  <conditionalFormatting sqref="M147">
    <cfRule type="cellIs" dxfId="856" priority="92" operator="lessThan">
      <formula>"K$25"</formula>
    </cfRule>
    <cfRule type="cellIs" dxfId="855" priority="93" operator="greaterThan">
      <formula>"J&amp;25"</formula>
    </cfRule>
  </conditionalFormatting>
  <conditionalFormatting sqref="M147">
    <cfRule type="containsText" dxfId="854" priority="91" operator="containsText" text="Excessivamente elevado">
      <formula>NOT(ISERROR(SEARCH("Excessivamente elevado",M147)))</formula>
    </cfRule>
  </conditionalFormatting>
  <conditionalFormatting sqref="M147">
    <cfRule type="containsText" priority="96" operator="containsText" text="Excessivamente elevado">
      <formula>NOT(ISERROR(SEARCH("Excessivamente elevado",M147)))</formula>
    </cfRule>
    <cfRule type="containsText" dxfId="853" priority="97" operator="containsText" text="Válido">
      <formula>NOT(ISERROR(SEARCH("Válido",M147)))</formula>
    </cfRule>
    <cfRule type="containsText" dxfId="852" priority="98" operator="containsText" text="Inexequível">
      <formula>NOT(ISERROR(SEARCH("Inexequível",M147)))</formula>
    </cfRule>
    <cfRule type="aboveAverage" dxfId="851" priority="99" aboveAverage="0"/>
  </conditionalFormatting>
  <conditionalFormatting sqref="M116:M123">
    <cfRule type="containsText" priority="4093" operator="containsText" text="Excessivamente elevado">
      <formula>NOT(ISERROR(SEARCH("Excessivamente elevado",M116)))</formula>
    </cfRule>
    <cfRule type="containsText" dxfId="850" priority="4094" operator="containsText" text="Válido">
      <formula>NOT(ISERROR(SEARCH("Válido",M116)))</formula>
    </cfRule>
    <cfRule type="containsText" dxfId="849" priority="4095" operator="containsText" text="Inexequível">
      <formula>NOT(ISERROR(SEARCH("Inexequível",M116)))</formula>
    </cfRule>
    <cfRule type="aboveAverage" dxfId="848" priority="4096" aboveAverage="0"/>
  </conditionalFormatting>
  <conditionalFormatting sqref="N123:N124">
    <cfRule type="containsText" priority="4151" operator="containsText" text="Excessivamente elevado">
      <formula>NOT(ISERROR(SEARCH("Excessivamente elevado",N123)))</formula>
    </cfRule>
    <cfRule type="containsText" dxfId="847" priority="4152" operator="containsText" text="Válido">
      <formula>NOT(ISERROR(SEARCH("Válido",N123)))</formula>
    </cfRule>
    <cfRule type="containsText" dxfId="846" priority="4153" operator="containsText" text="Inexequível">
      <formula>NOT(ISERROR(SEARCH("Inexequível",N123)))</formula>
    </cfRule>
    <cfRule type="aboveAverage" dxfId="845" priority="4154" aboveAverage="0"/>
  </conditionalFormatting>
  <conditionalFormatting sqref="N125">
    <cfRule type="containsText" dxfId="844" priority="86" operator="containsText" text="Excessivamente elevado">
      <formula>NOT(ISERROR(SEARCH("Excessivamente elevado",N125)))</formula>
    </cfRule>
  </conditionalFormatting>
  <conditionalFormatting sqref="N125">
    <cfRule type="cellIs" dxfId="843" priority="84" operator="lessThan">
      <formula>"K$25"</formula>
    </cfRule>
    <cfRule type="cellIs" dxfId="842" priority="85" operator="greaterThan">
      <formula>"J$25"</formula>
    </cfRule>
  </conditionalFormatting>
  <conditionalFormatting sqref="N125">
    <cfRule type="cellIs" dxfId="841" priority="82" operator="lessThan">
      <formula>"K$25"</formula>
    </cfRule>
    <cfRule type="cellIs" dxfId="840" priority="83" operator="greaterThan">
      <formula>"J&amp;25"</formula>
    </cfRule>
  </conditionalFormatting>
  <conditionalFormatting sqref="N125">
    <cfRule type="containsText" priority="87" operator="containsText" text="Excessivamente elevado">
      <formula>NOT(ISERROR(SEARCH("Excessivamente elevado",N125)))</formula>
    </cfRule>
    <cfRule type="containsText" dxfId="839" priority="88" operator="containsText" text="Válido">
      <formula>NOT(ISERROR(SEARCH("Válido",N125)))</formula>
    </cfRule>
    <cfRule type="containsText" dxfId="838" priority="89" operator="containsText" text="Inexequível">
      <formula>NOT(ISERROR(SEARCH("Inexequível",N125)))</formula>
    </cfRule>
    <cfRule type="aboveAverage" dxfId="837" priority="90" aboveAverage="0"/>
  </conditionalFormatting>
  <conditionalFormatting sqref="N126">
    <cfRule type="containsText" dxfId="836" priority="77" operator="containsText" text="Excessivamente elevado">
      <formula>NOT(ISERROR(SEARCH("Excessivamente elevado",N126)))</formula>
    </cfRule>
  </conditionalFormatting>
  <conditionalFormatting sqref="N126">
    <cfRule type="cellIs" dxfId="835" priority="75" operator="lessThan">
      <formula>"K$25"</formula>
    </cfRule>
    <cfRule type="cellIs" dxfId="834" priority="76" operator="greaterThan">
      <formula>"J$25"</formula>
    </cfRule>
  </conditionalFormatting>
  <conditionalFormatting sqref="N126">
    <cfRule type="cellIs" dxfId="833" priority="73" operator="lessThan">
      <formula>"K$25"</formula>
    </cfRule>
    <cfRule type="cellIs" dxfId="832" priority="74" operator="greaterThan">
      <formula>"J&amp;25"</formula>
    </cfRule>
  </conditionalFormatting>
  <conditionalFormatting sqref="N126">
    <cfRule type="containsText" priority="78" operator="containsText" text="Excessivamente elevado">
      <formula>NOT(ISERROR(SEARCH("Excessivamente elevado",N126)))</formula>
    </cfRule>
    <cfRule type="containsText" dxfId="831" priority="79" operator="containsText" text="Válido">
      <formula>NOT(ISERROR(SEARCH("Válido",N126)))</formula>
    </cfRule>
    <cfRule type="containsText" dxfId="830" priority="80" operator="containsText" text="Inexequível">
      <formula>NOT(ISERROR(SEARCH("Inexequível",N126)))</formula>
    </cfRule>
    <cfRule type="aboveAverage" dxfId="829" priority="81" aboveAverage="0"/>
  </conditionalFormatting>
  <conditionalFormatting sqref="N127">
    <cfRule type="containsText" dxfId="828" priority="68" operator="containsText" text="Excessivamente elevado">
      <formula>NOT(ISERROR(SEARCH("Excessivamente elevado",N127)))</formula>
    </cfRule>
  </conditionalFormatting>
  <conditionalFormatting sqref="N127">
    <cfRule type="cellIs" dxfId="827" priority="66" operator="lessThan">
      <formula>"K$25"</formula>
    </cfRule>
    <cfRule type="cellIs" dxfId="826" priority="67" operator="greaterThan">
      <formula>"J$25"</formula>
    </cfRule>
  </conditionalFormatting>
  <conditionalFormatting sqref="N127">
    <cfRule type="cellIs" dxfId="825" priority="64" operator="lessThan">
      <formula>"K$25"</formula>
    </cfRule>
    <cfRule type="cellIs" dxfId="824" priority="65" operator="greaterThan">
      <formula>"J&amp;25"</formula>
    </cfRule>
  </conditionalFormatting>
  <conditionalFormatting sqref="N127">
    <cfRule type="containsText" priority="69" operator="containsText" text="Excessivamente elevado">
      <formula>NOT(ISERROR(SEARCH("Excessivamente elevado",N127)))</formula>
    </cfRule>
    <cfRule type="containsText" dxfId="823" priority="70" operator="containsText" text="Válido">
      <formula>NOT(ISERROR(SEARCH("Válido",N127)))</formula>
    </cfRule>
    <cfRule type="containsText" dxfId="822" priority="71" operator="containsText" text="Inexequível">
      <formula>NOT(ISERROR(SEARCH("Inexequível",N127)))</formula>
    </cfRule>
    <cfRule type="aboveAverage" dxfId="821" priority="72" aboveAverage="0"/>
  </conditionalFormatting>
  <conditionalFormatting sqref="M95:M97">
    <cfRule type="cellIs" dxfId="820" priority="58" operator="lessThan">
      <formula>"K$25"</formula>
    </cfRule>
    <cfRule type="cellIs" dxfId="819" priority="59" operator="greaterThan">
      <formula>"J$25"</formula>
    </cfRule>
  </conditionalFormatting>
  <conditionalFormatting sqref="M95:M97">
    <cfRule type="cellIs" dxfId="818" priority="56" operator="lessThan">
      <formula>"K$25"</formula>
    </cfRule>
    <cfRule type="cellIs" dxfId="817" priority="57" operator="greaterThan">
      <formula>"J&amp;25"</formula>
    </cfRule>
  </conditionalFormatting>
  <conditionalFormatting sqref="M95:M97">
    <cfRule type="containsText" dxfId="816" priority="55" operator="containsText" text="Excessivamente elevado">
      <formula>NOT(ISERROR(SEARCH("Excessivamente elevado",M95)))</formula>
    </cfRule>
  </conditionalFormatting>
  <conditionalFormatting sqref="M95:M97">
    <cfRule type="containsText" priority="60" operator="containsText" text="Excessivamente elevado">
      <formula>NOT(ISERROR(SEARCH("Excessivamente elevado",M95)))</formula>
    </cfRule>
    <cfRule type="containsText" dxfId="815" priority="61" operator="containsText" text="Válido">
      <formula>NOT(ISERROR(SEARCH("Válido",M95)))</formula>
    </cfRule>
    <cfRule type="containsText" dxfId="814" priority="62" operator="containsText" text="Inexequível">
      <formula>NOT(ISERROR(SEARCH("Inexequível",M95)))</formula>
    </cfRule>
    <cfRule type="aboveAverage" dxfId="813" priority="63" aboveAverage="0"/>
  </conditionalFormatting>
  <conditionalFormatting sqref="N88:N94">
    <cfRule type="containsText" dxfId="812" priority="50" operator="containsText" text="Excessivamente elevado">
      <formula>NOT(ISERROR(SEARCH("Excessivamente elevado",N88)))</formula>
    </cfRule>
  </conditionalFormatting>
  <conditionalFormatting sqref="N88:N94">
    <cfRule type="cellIs" dxfId="811" priority="48" operator="lessThan">
      <formula>"K$25"</formula>
    </cfRule>
    <cfRule type="cellIs" dxfId="810" priority="49" operator="greaterThan">
      <formula>"J$25"</formula>
    </cfRule>
  </conditionalFormatting>
  <conditionalFormatting sqref="N88:N94">
    <cfRule type="cellIs" dxfId="809" priority="46" operator="lessThan">
      <formula>"K$25"</formula>
    </cfRule>
    <cfRule type="cellIs" dxfId="808" priority="47" operator="greaterThan">
      <formula>"J&amp;25"</formula>
    </cfRule>
  </conditionalFormatting>
  <conditionalFormatting sqref="N88:N94">
    <cfRule type="containsText" priority="51" operator="containsText" text="Excessivamente elevado">
      <formula>NOT(ISERROR(SEARCH("Excessivamente elevado",N88)))</formula>
    </cfRule>
    <cfRule type="containsText" dxfId="807" priority="52" operator="containsText" text="Válido">
      <formula>NOT(ISERROR(SEARCH("Válido",N88)))</formula>
    </cfRule>
    <cfRule type="containsText" dxfId="806" priority="53" operator="containsText" text="Inexequível">
      <formula>NOT(ISERROR(SEARCH("Inexequível",N88)))</formula>
    </cfRule>
    <cfRule type="aboveAverage" dxfId="805" priority="54" aboveAverage="0"/>
  </conditionalFormatting>
  <conditionalFormatting sqref="N62">
    <cfRule type="containsText" priority="5260" operator="containsText" text="Excessivamente elevado">
      <formula>NOT(ISERROR(SEARCH("Excessivamente elevado",N62)))</formula>
    </cfRule>
    <cfRule type="containsText" dxfId="804" priority="5261" operator="containsText" text="Válido">
      <formula>NOT(ISERROR(SEARCH("Válido",N62)))</formula>
    </cfRule>
    <cfRule type="containsText" dxfId="803" priority="5262" operator="containsText" text="Inexequível">
      <formula>NOT(ISERROR(SEARCH("Inexequível",N62)))</formula>
    </cfRule>
    <cfRule type="aboveAverage" dxfId="802" priority="5263" aboveAverage="0"/>
  </conditionalFormatting>
  <conditionalFormatting sqref="M125">
    <cfRule type="cellIs" dxfId="801" priority="40" operator="lessThan">
      <formula>"K$25"</formula>
    </cfRule>
    <cfRule type="cellIs" dxfId="800" priority="41" operator="greaterThan">
      <formula>"J&amp;25"</formula>
    </cfRule>
  </conditionalFormatting>
  <conditionalFormatting sqref="M125">
    <cfRule type="containsText" dxfId="799" priority="39" operator="containsText" text="Excessivamente elevado">
      <formula>NOT(ISERROR(SEARCH("Excessivamente elevado",M125)))</formula>
    </cfRule>
  </conditionalFormatting>
  <conditionalFormatting sqref="M125">
    <cfRule type="containsText" priority="42" operator="containsText" text="Excessivamente elevado">
      <formula>NOT(ISERROR(SEARCH("Excessivamente elevado",M125)))</formula>
    </cfRule>
    <cfRule type="containsText" dxfId="798" priority="43" operator="containsText" text="Válido">
      <formula>NOT(ISERROR(SEARCH("Válido",M125)))</formula>
    </cfRule>
    <cfRule type="containsText" dxfId="797" priority="44" operator="containsText" text="Inexequível">
      <formula>NOT(ISERROR(SEARCH("Inexequível",M125)))</formula>
    </cfRule>
    <cfRule type="aboveAverage" dxfId="796" priority="45" aboveAverage="0"/>
  </conditionalFormatting>
  <conditionalFormatting sqref="M125">
    <cfRule type="cellIs" dxfId="795" priority="37" operator="lessThan">
      <formula>"K$25"</formula>
    </cfRule>
    <cfRule type="cellIs" dxfId="794" priority="38" operator="greaterThan">
      <formula>"J$25"</formula>
    </cfRule>
  </conditionalFormatting>
  <conditionalFormatting sqref="M126">
    <cfRule type="cellIs" dxfId="793" priority="31" operator="lessThan">
      <formula>"K$25"</formula>
    </cfRule>
    <cfRule type="cellIs" dxfId="792" priority="32" operator="greaterThan">
      <formula>"J&amp;25"</formula>
    </cfRule>
  </conditionalFormatting>
  <conditionalFormatting sqref="M126">
    <cfRule type="containsText" dxfId="791" priority="30" operator="containsText" text="Excessivamente elevado">
      <formula>NOT(ISERROR(SEARCH("Excessivamente elevado",M126)))</formula>
    </cfRule>
  </conditionalFormatting>
  <conditionalFormatting sqref="M126">
    <cfRule type="containsText" priority="33" operator="containsText" text="Excessivamente elevado">
      <formula>NOT(ISERROR(SEARCH("Excessivamente elevado",M126)))</formula>
    </cfRule>
    <cfRule type="containsText" dxfId="790" priority="34" operator="containsText" text="Válido">
      <formula>NOT(ISERROR(SEARCH("Válido",M126)))</formula>
    </cfRule>
    <cfRule type="containsText" dxfId="789" priority="35" operator="containsText" text="Inexequível">
      <formula>NOT(ISERROR(SEARCH("Inexequível",M126)))</formula>
    </cfRule>
    <cfRule type="aboveAverage" dxfId="788" priority="36" aboveAverage="0"/>
  </conditionalFormatting>
  <conditionalFormatting sqref="M126">
    <cfRule type="cellIs" dxfId="787" priority="28" operator="lessThan">
      <formula>"K$25"</formula>
    </cfRule>
    <cfRule type="cellIs" dxfId="786" priority="29" operator="greaterThan">
      <formula>"J$25"</formula>
    </cfRule>
  </conditionalFormatting>
  <conditionalFormatting sqref="M127">
    <cfRule type="cellIs" dxfId="785" priority="22" operator="lessThan">
      <formula>"K$25"</formula>
    </cfRule>
    <cfRule type="cellIs" dxfId="784" priority="23" operator="greaterThan">
      <formula>"J&amp;25"</formula>
    </cfRule>
  </conditionalFormatting>
  <conditionalFormatting sqref="M127">
    <cfRule type="containsText" dxfId="783" priority="21" operator="containsText" text="Excessivamente elevado">
      <formula>NOT(ISERROR(SEARCH("Excessivamente elevado",M127)))</formula>
    </cfRule>
  </conditionalFormatting>
  <conditionalFormatting sqref="M127">
    <cfRule type="containsText" priority="24" operator="containsText" text="Excessivamente elevado">
      <formula>NOT(ISERROR(SEARCH("Excessivamente elevado",M127)))</formula>
    </cfRule>
    <cfRule type="containsText" dxfId="782" priority="25" operator="containsText" text="Válido">
      <formula>NOT(ISERROR(SEARCH("Válido",M127)))</formula>
    </cfRule>
    <cfRule type="containsText" dxfId="781" priority="26" operator="containsText" text="Inexequível">
      <formula>NOT(ISERROR(SEARCH("Inexequível",M127)))</formula>
    </cfRule>
    <cfRule type="aboveAverage" dxfId="780" priority="27" aboveAverage="0"/>
  </conditionalFormatting>
  <conditionalFormatting sqref="M127">
    <cfRule type="cellIs" dxfId="779" priority="19" operator="lessThan">
      <formula>"K$25"</formula>
    </cfRule>
    <cfRule type="cellIs" dxfId="778" priority="20" operator="greaterThan">
      <formula>"J$25"</formula>
    </cfRule>
  </conditionalFormatting>
  <conditionalFormatting sqref="M134">
    <cfRule type="cellIs" dxfId="777" priority="4" operator="lessThan">
      <formula>"K$25"</formula>
    </cfRule>
    <cfRule type="cellIs" dxfId="776" priority="5" operator="greaterThan">
      <formula>"J&amp;25"</formula>
    </cfRule>
  </conditionalFormatting>
  <conditionalFormatting sqref="M134">
    <cfRule type="containsText" dxfId="775" priority="3" operator="containsText" text="Excessivamente elevado">
      <formula>NOT(ISERROR(SEARCH("Excessivamente elevado",M134)))</formula>
    </cfRule>
  </conditionalFormatting>
  <conditionalFormatting sqref="M134">
    <cfRule type="containsText" priority="6" operator="containsText" text="Excessivamente elevado">
      <formula>NOT(ISERROR(SEARCH("Excessivamente elevado",M134)))</formula>
    </cfRule>
    <cfRule type="containsText" dxfId="774" priority="7" operator="containsText" text="Válido">
      <formula>NOT(ISERROR(SEARCH("Válido",M134)))</formula>
    </cfRule>
    <cfRule type="containsText" dxfId="773" priority="8" operator="containsText" text="Inexequível">
      <formula>NOT(ISERROR(SEARCH("Inexequível",M134)))</formula>
    </cfRule>
    <cfRule type="aboveAverage" dxfId="772" priority="9" aboveAverage="0"/>
  </conditionalFormatting>
  <conditionalFormatting sqref="M134">
    <cfRule type="cellIs" dxfId="771" priority="1" operator="lessThan">
      <formula>"K$25"</formula>
    </cfRule>
    <cfRule type="cellIs" dxfId="770" priority="2" operator="greaterThan">
      <formula>"J$25"</formula>
    </cfRule>
  </conditionalFormatting>
  <conditionalFormatting sqref="M150">
    <cfRule type="containsText" priority="5288" operator="containsText" text="Excessivamente elevado">
      <formula>NOT(ISERROR(SEARCH("Excessivamente elevado",M150)))</formula>
    </cfRule>
    <cfRule type="containsText" dxfId="769" priority="5289" operator="containsText" text="Válido">
      <formula>NOT(ISERROR(SEARCH("Válido",M150)))</formula>
    </cfRule>
    <cfRule type="containsText" dxfId="768" priority="5290" operator="containsText" text="Inexequível">
      <formula>NOT(ISERROR(SEARCH("Inexequível",M150)))</formula>
    </cfRule>
    <cfRule type="aboveAverage" dxfId="767" priority="5291" aboveAverage="0"/>
  </conditionalFormatting>
  <conditionalFormatting sqref="N149:N150">
    <cfRule type="containsText" priority="5292" operator="containsText" text="Excessivamente elevado">
      <formula>NOT(ISERROR(SEARCH("Excessivamente elevado",N149)))</formula>
    </cfRule>
    <cfRule type="containsText" dxfId="766" priority="5293" operator="containsText" text="Válido">
      <formula>NOT(ISERROR(SEARCH("Válido",N149)))</formula>
    </cfRule>
    <cfRule type="containsText" dxfId="765" priority="5294" operator="containsText" text="Inexequível">
      <formula>NOT(ISERROR(SEARCH("Inexequível",N149)))</formula>
    </cfRule>
    <cfRule type="aboveAverage" dxfId="764" priority="5295" aboveAverage="0"/>
  </conditionalFormatting>
  <pageMargins left="0.7" right="0.7" top="0.75" bottom="0.75" header="0.3" footer="0.3"/>
  <pageSetup paperSize="9" scale="65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40084-0C7A-461D-A7DA-0DD76A34A9C4}">
  <sheetPr>
    <tabColor rgb="FF0070C0"/>
  </sheetPr>
  <dimension ref="A1:AE38"/>
  <sheetViews>
    <sheetView showGridLines="0" zoomScale="115" zoomScaleNormal="115" workbookViewId="0">
      <selection activeCell="S25" sqref="S25"/>
    </sheetView>
  </sheetViews>
  <sheetFormatPr defaultColWidth="9.109375" defaultRowHeight="14.4" x14ac:dyDescent="0.3"/>
  <cols>
    <col min="1" max="1" width="4.5546875" style="20" customWidth="1"/>
    <col min="2" max="2" width="23.6640625" customWidth="1"/>
    <col min="3" max="3" width="4.33203125" customWidth="1"/>
    <col min="4" max="4" width="4.44140625" style="20" customWidth="1"/>
    <col min="5" max="5" width="23.109375" style="13" customWidth="1"/>
    <col min="6" max="6" width="12.44140625" style="13" customWidth="1"/>
    <col min="7" max="7" width="26.5546875" style="13" customWidth="1"/>
    <col min="8" max="8" width="7.33203125" style="13" customWidth="1"/>
    <col min="9" max="9" width="12" style="13" customWidth="1"/>
    <col min="10" max="10" width="9.88671875" style="13" customWidth="1"/>
    <col min="11" max="11" width="10.6640625" style="13" customWidth="1"/>
    <col min="12" max="12" width="8.5546875" style="13" customWidth="1"/>
    <col min="13" max="13" width="11.88671875" style="13" customWidth="1"/>
    <col min="14" max="14" width="6.44140625" style="13" customWidth="1"/>
    <col min="15" max="15" width="17.77734375" style="13" customWidth="1"/>
    <col min="16" max="16" width="12.109375" customWidth="1"/>
    <col min="17" max="17" width="13.33203125" customWidth="1"/>
    <col min="19" max="19" width="13.44140625" customWidth="1"/>
    <col min="22" max="22" width="12.5546875" bestFit="1" customWidth="1"/>
    <col min="25" max="25" width="10.5546875" bestFit="1" customWidth="1"/>
  </cols>
  <sheetData>
    <row r="1" spans="1:31" ht="15" thickBot="1" x14ac:dyDescent="0.35">
      <c r="S1" s="114" t="s">
        <v>79</v>
      </c>
      <c r="T1" s="114"/>
      <c r="U1" s="114"/>
      <c r="V1" s="114"/>
      <c r="W1" s="114"/>
      <c r="X1" s="114"/>
      <c r="Y1" s="114"/>
      <c r="Z1" s="115"/>
      <c r="AA1" s="115"/>
      <c r="AB1" s="115"/>
      <c r="AC1" s="115"/>
      <c r="AD1" s="115"/>
    </row>
    <row r="2" spans="1:31" ht="15.6" thickTop="1" thickBot="1" x14ac:dyDescent="0.35">
      <c r="A2" s="72" t="s">
        <v>144</v>
      </c>
      <c r="B2" s="29"/>
      <c r="C2" s="29"/>
      <c r="D2" s="29"/>
      <c r="E2"/>
      <c r="F2"/>
      <c r="G2" s="107"/>
      <c r="H2" s="339"/>
      <c r="I2" s="97"/>
      <c r="J2" s="97"/>
      <c r="K2"/>
      <c r="L2"/>
      <c r="M2"/>
      <c r="N2"/>
      <c r="O2"/>
      <c r="S2" s="114"/>
      <c r="T2" s="114"/>
      <c r="U2" s="114"/>
      <c r="V2" s="114"/>
      <c r="W2" s="114"/>
      <c r="X2" s="114"/>
      <c r="Y2" s="114"/>
      <c r="Z2" s="115"/>
      <c r="AA2" s="115"/>
      <c r="AB2" s="115"/>
      <c r="AC2" s="115"/>
      <c r="AD2" s="115"/>
    </row>
    <row r="3" spans="1:31" ht="15" thickTop="1" x14ac:dyDescent="0.3">
      <c r="A3" s="59" t="s">
        <v>5</v>
      </c>
      <c r="B3" s="60"/>
      <c r="C3" s="60"/>
      <c r="D3" s="62"/>
      <c r="E3" s="70">
        <f>AVERAGE(I20:I32)</f>
        <v>11.121923076923075</v>
      </c>
      <c r="F3" s="61"/>
      <c r="G3" s="100"/>
      <c r="H3" s="129"/>
      <c r="I3" s="102"/>
      <c r="J3" s="102"/>
      <c r="K3" s="60"/>
      <c r="L3"/>
      <c r="M3"/>
      <c r="N3"/>
      <c r="O3"/>
      <c r="R3" s="20"/>
      <c r="S3" s="115"/>
      <c r="T3" s="113"/>
      <c r="U3" s="115"/>
      <c r="V3" s="115"/>
      <c r="W3" s="115"/>
      <c r="X3" s="115"/>
      <c r="Y3" s="115"/>
      <c r="Z3" s="115"/>
      <c r="AA3" s="115"/>
      <c r="AB3" s="115"/>
      <c r="AC3" s="115"/>
      <c r="AD3" s="115"/>
    </row>
    <row r="4" spans="1:31" x14ac:dyDescent="0.3">
      <c r="A4" s="59" t="s">
        <v>6</v>
      </c>
      <c r="B4" s="60"/>
      <c r="C4" s="60"/>
      <c r="D4" s="62"/>
      <c r="E4" s="70">
        <f>_xlfn.STDEV.S(I20:I32)</f>
        <v>5.2067174313819322</v>
      </c>
      <c r="F4" s="63"/>
      <c r="G4" s="100"/>
      <c r="H4" s="129"/>
      <c r="I4" s="102"/>
      <c r="J4" s="102"/>
      <c r="K4" s="60"/>
      <c r="L4"/>
      <c r="M4"/>
      <c r="N4"/>
      <c r="O4"/>
      <c r="R4" s="20"/>
      <c r="S4" s="291" t="s">
        <v>80</v>
      </c>
      <c r="T4" s="291"/>
      <c r="U4" s="291"/>
      <c r="V4" s="291"/>
      <c r="W4" s="291"/>
      <c r="X4" s="291"/>
      <c r="Y4" s="291"/>
      <c r="Z4" s="291"/>
      <c r="AA4" s="291"/>
      <c r="AB4" s="115"/>
      <c r="AC4" s="113" t="s">
        <v>81</v>
      </c>
      <c r="AD4" s="115"/>
    </row>
    <row r="5" spans="1:31" x14ac:dyDescent="0.3">
      <c r="A5" s="59" t="s">
        <v>29</v>
      </c>
      <c r="B5" s="60"/>
      <c r="C5" s="60"/>
      <c r="D5" s="62"/>
      <c r="E5" s="71">
        <f>(E4/E3)*100</f>
        <v>46.814902381274081</v>
      </c>
      <c r="F5" s="63"/>
      <c r="G5" s="100"/>
      <c r="H5" s="129"/>
      <c r="I5" s="104"/>
      <c r="J5" s="104"/>
      <c r="K5" s="60"/>
      <c r="L5"/>
      <c r="M5"/>
      <c r="N5"/>
      <c r="O5"/>
      <c r="R5" s="20"/>
      <c r="S5" s="115" t="s">
        <v>82</v>
      </c>
      <c r="T5" s="290" t="s">
        <v>83</v>
      </c>
      <c r="U5" s="290"/>
      <c r="V5" s="290"/>
      <c r="W5" s="290"/>
      <c r="X5" s="290"/>
      <c r="Y5" s="290"/>
      <c r="Z5" s="290"/>
      <c r="AA5" s="290"/>
      <c r="AB5" s="115"/>
      <c r="AC5" s="199" t="s">
        <v>125</v>
      </c>
      <c r="AD5" s="115"/>
    </row>
    <row r="6" spans="1:31" x14ac:dyDescent="0.3">
      <c r="A6" s="59" t="s">
        <v>7</v>
      </c>
      <c r="B6" s="60"/>
      <c r="C6" s="60"/>
      <c r="D6" s="62"/>
      <c r="E6" s="131" t="str">
        <f>IF(E5&gt;25,"Mediana","Média")</f>
        <v>Mediana</v>
      </c>
      <c r="F6" s="64"/>
      <c r="G6" s="100"/>
      <c r="H6" s="129"/>
      <c r="I6" s="158"/>
      <c r="J6" s="106"/>
      <c r="K6" s="60"/>
      <c r="L6"/>
      <c r="M6"/>
      <c r="N6"/>
      <c r="O6"/>
      <c r="R6" s="20"/>
      <c r="S6" s="115" t="s">
        <v>84</v>
      </c>
      <c r="T6" s="290" t="s">
        <v>85</v>
      </c>
      <c r="U6" s="290"/>
      <c r="V6" s="290"/>
      <c r="W6" s="290"/>
      <c r="X6" s="290"/>
      <c r="Y6" s="290"/>
      <c r="Z6" s="290"/>
      <c r="AA6" s="290"/>
      <c r="AB6" s="115"/>
      <c r="AC6" s="199" t="s">
        <v>125</v>
      </c>
      <c r="AD6" s="115"/>
    </row>
    <row r="7" spans="1:31" x14ac:dyDescent="0.3">
      <c r="A7" s="59" t="s">
        <v>8</v>
      </c>
      <c r="B7" s="60"/>
      <c r="C7" s="60"/>
      <c r="D7" s="62"/>
      <c r="E7" s="70">
        <f>MIN(Q13:Q16)</f>
        <v>0</v>
      </c>
      <c r="F7" s="61"/>
      <c r="G7" s="100"/>
      <c r="H7" s="129"/>
      <c r="I7" s="102"/>
      <c r="J7" s="102"/>
      <c r="K7" s="60"/>
      <c r="L7"/>
      <c r="M7"/>
      <c r="N7"/>
      <c r="O7"/>
      <c r="R7" s="20"/>
      <c r="S7" s="115" t="s">
        <v>86</v>
      </c>
      <c r="T7" s="290" t="s">
        <v>87</v>
      </c>
      <c r="U7" s="290"/>
      <c r="V7" s="290"/>
      <c r="W7" s="290"/>
      <c r="X7" s="290"/>
      <c r="Y7" s="290"/>
      <c r="Z7" s="290"/>
      <c r="AA7" s="290"/>
      <c r="AB7" s="115"/>
      <c r="AC7" s="199" t="s">
        <v>125</v>
      </c>
      <c r="AD7" s="115"/>
    </row>
    <row r="8" spans="1:31" x14ac:dyDescent="0.3">
      <c r="A8" s="59"/>
      <c r="B8" s="60"/>
      <c r="C8" s="60"/>
      <c r="D8" s="62"/>
      <c r="E8" s="65"/>
      <c r="F8" s="65"/>
      <c r="G8" s="66"/>
      <c r="H8" s="80"/>
      <c r="I8" s="50"/>
      <c r="J8" s="50"/>
      <c r="K8" s="50"/>
      <c r="S8" s="115" t="s">
        <v>88</v>
      </c>
      <c r="T8" s="289" t="s">
        <v>164</v>
      </c>
      <c r="U8" s="290"/>
      <c r="V8" s="290"/>
      <c r="W8" s="290"/>
      <c r="X8" s="290"/>
      <c r="Y8" s="290"/>
      <c r="Z8" s="290"/>
      <c r="AA8" s="290"/>
      <c r="AB8" s="115"/>
      <c r="AC8" s="199" t="s">
        <v>125</v>
      </c>
      <c r="AD8" s="115"/>
    </row>
    <row r="9" spans="1:31" x14ac:dyDescent="0.3">
      <c r="K9"/>
      <c r="S9" s="115" t="s">
        <v>90</v>
      </c>
      <c r="T9" s="290" t="s">
        <v>91</v>
      </c>
      <c r="U9" s="290"/>
      <c r="V9" s="290"/>
      <c r="W9" s="290"/>
      <c r="X9" s="290"/>
      <c r="Y9" s="290"/>
      <c r="Z9" s="290"/>
      <c r="AA9" s="290"/>
      <c r="AB9" s="115"/>
      <c r="AC9" s="116" t="s">
        <v>125</v>
      </c>
      <c r="AD9" s="115"/>
    </row>
    <row r="10" spans="1:31" x14ac:dyDescent="0.3">
      <c r="A10" s="318"/>
      <c r="B10" s="319"/>
      <c r="C10" s="319"/>
      <c r="D10" s="319"/>
      <c r="E10" s="320"/>
      <c r="F10" s="320"/>
      <c r="G10" s="318"/>
      <c r="H10" s="330"/>
      <c r="I10" s="329"/>
      <c r="K10"/>
      <c r="L10"/>
      <c r="M10"/>
      <c r="N10"/>
      <c r="O10"/>
      <c r="S10" s="115" t="s">
        <v>92</v>
      </c>
      <c r="T10" s="290" t="s">
        <v>93</v>
      </c>
      <c r="U10" s="290"/>
      <c r="V10" s="290"/>
      <c r="W10" s="290"/>
      <c r="X10" s="290"/>
      <c r="Y10" s="290"/>
      <c r="Z10" s="290"/>
      <c r="AA10" s="290"/>
      <c r="AB10" s="115"/>
      <c r="AC10" s="199" t="s">
        <v>125</v>
      </c>
      <c r="AD10" s="115"/>
    </row>
    <row r="11" spans="1:31" x14ac:dyDescent="0.3">
      <c r="A11" s="331"/>
      <c r="B11" s="327"/>
      <c r="C11" s="327"/>
      <c r="D11" s="332"/>
      <c r="E11" s="322"/>
      <c r="F11" s="333"/>
      <c r="G11" s="321"/>
      <c r="H11" s="334"/>
      <c r="I11" s="322"/>
      <c r="J11" s="70"/>
      <c r="K11" s="50"/>
      <c r="L11" s="50"/>
      <c r="S11" s="115" t="s">
        <v>94</v>
      </c>
      <c r="T11" s="290" t="s">
        <v>95</v>
      </c>
      <c r="U11" s="290"/>
      <c r="V11" s="290"/>
      <c r="W11" s="290"/>
      <c r="X11" s="290"/>
      <c r="Y11" s="290"/>
      <c r="Z11" s="289" t="s">
        <v>163</v>
      </c>
      <c r="AA11" s="290"/>
      <c r="AB11" s="115"/>
      <c r="AC11" s="199" t="s">
        <v>127</v>
      </c>
      <c r="AD11" s="115"/>
    </row>
    <row r="12" spans="1:31" x14ac:dyDescent="0.3">
      <c r="A12" s="331"/>
      <c r="B12" s="327"/>
      <c r="C12" s="327"/>
      <c r="D12" s="332"/>
      <c r="E12" s="322"/>
      <c r="F12" s="335"/>
      <c r="G12" s="321"/>
      <c r="H12" s="336"/>
      <c r="I12" s="322"/>
      <c r="J12" s="70"/>
      <c r="K12" s="50"/>
      <c r="L12" s="50"/>
      <c r="S12" s="115" t="s">
        <v>96</v>
      </c>
      <c r="T12" s="290" t="s">
        <v>97</v>
      </c>
      <c r="U12" s="290"/>
      <c r="V12" s="290"/>
      <c r="W12" s="290"/>
      <c r="X12" s="290"/>
      <c r="Y12" s="290"/>
      <c r="Z12" s="290"/>
      <c r="AA12" s="290"/>
      <c r="AB12" s="115"/>
      <c r="AC12" s="116" t="s">
        <v>125</v>
      </c>
      <c r="AD12" s="115"/>
    </row>
    <row r="13" spans="1:31" x14ac:dyDescent="0.3">
      <c r="A13" s="331"/>
      <c r="B13" s="327"/>
      <c r="C13" s="327"/>
      <c r="D13" s="332"/>
      <c r="E13" s="323"/>
      <c r="F13" s="335"/>
      <c r="G13" s="321"/>
      <c r="H13" s="336"/>
      <c r="I13" s="323"/>
      <c r="J13" s="71"/>
      <c r="K13" s="50"/>
      <c r="L13" s="50"/>
      <c r="S13" s="115" t="s">
        <v>98</v>
      </c>
      <c r="T13" s="290" t="s">
        <v>99</v>
      </c>
      <c r="U13" s="290"/>
      <c r="V13" s="290"/>
      <c r="W13" s="290"/>
      <c r="X13" s="290"/>
      <c r="Y13" s="290"/>
      <c r="Z13" s="290"/>
      <c r="AA13" s="290"/>
      <c r="AB13" s="115"/>
      <c r="AC13" s="199" t="s">
        <v>127</v>
      </c>
      <c r="AD13" s="115"/>
    </row>
    <row r="14" spans="1:31" x14ac:dyDescent="0.3">
      <c r="A14" s="331"/>
      <c r="B14" s="327"/>
      <c r="C14" s="327"/>
      <c r="D14" s="332"/>
      <c r="E14" s="324"/>
      <c r="F14" s="337"/>
      <c r="G14" s="321"/>
      <c r="H14" s="338"/>
      <c r="I14" s="324"/>
      <c r="J14" s="106"/>
      <c r="K14" s="50"/>
      <c r="L14" s="50"/>
      <c r="S14" s="115" t="s">
        <v>100</v>
      </c>
      <c r="T14" s="290" t="s">
        <v>101</v>
      </c>
      <c r="U14" s="290"/>
      <c r="V14" s="290"/>
      <c r="W14" s="290"/>
      <c r="X14" s="290"/>
      <c r="Y14" s="290"/>
      <c r="Z14" s="290"/>
      <c r="AA14" s="290"/>
      <c r="AB14" s="115"/>
      <c r="AC14" s="116" t="s">
        <v>125</v>
      </c>
      <c r="AD14" s="115"/>
    </row>
    <row r="15" spans="1:31" x14ac:dyDescent="0.3">
      <c r="A15" s="331"/>
      <c r="B15" s="327"/>
      <c r="C15" s="327"/>
      <c r="D15" s="332"/>
      <c r="E15" s="322"/>
      <c r="F15" s="333"/>
      <c r="G15" s="321"/>
      <c r="H15" s="334"/>
      <c r="I15" s="322"/>
      <c r="J15" s="70"/>
      <c r="K15" s="50"/>
      <c r="L15" s="50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t="s">
        <v>136</v>
      </c>
    </row>
    <row r="16" spans="1:31" x14ac:dyDescent="0.3">
      <c r="A16" s="28"/>
      <c r="B16" s="60"/>
      <c r="C16" s="60"/>
      <c r="D16" s="62"/>
      <c r="E16" s="65"/>
      <c r="F16" s="65"/>
      <c r="G16" s="66"/>
      <c r="H16" s="80"/>
      <c r="I16" s="50"/>
      <c r="J16" s="50"/>
      <c r="K16" s="50"/>
      <c r="L16" s="50"/>
      <c r="S16" s="113" t="s">
        <v>102</v>
      </c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</row>
    <row r="17" spans="1:30" ht="36" customHeight="1" thickBot="1" x14ac:dyDescent="0.35">
      <c r="S17" s="290" t="s">
        <v>104</v>
      </c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</row>
    <row r="18" spans="1:30" ht="15" customHeight="1" x14ac:dyDescent="0.3">
      <c r="A18" s="708" t="s">
        <v>10</v>
      </c>
      <c r="B18" s="710" t="s">
        <v>11</v>
      </c>
      <c r="C18" s="712" t="s">
        <v>12</v>
      </c>
      <c r="D18" s="712" t="s">
        <v>13</v>
      </c>
      <c r="E18" s="712" t="s">
        <v>30</v>
      </c>
      <c r="F18" s="710" t="s">
        <v>31</v>
      </c>
      <c r="G18" s="710" t="s">
        <v>16</v>
      </c>
      <c r="H18" s="287" t="s">
        <v>17</v>
      </c>
      <c r="I18" s="728" t="s">
        <v>18</v>
      </c>
      <c r="J18" s="730" t="s">
        <v>66</v>
      </c>
      <c r="K18" s="702" t="s">
        <v>32</v>
      </c>
      <c r="L18" s="704" t="s">
        <v>33</v>
      </c>
      <c r="M18" s="698" t="s">
        <v>19</v>
      </c>
      <c r="N18" s="815" t="s">
        <v>119</v>
      </c>
      <c r="O18" s="816"/>
      <c r="P18" s="723" t="s">
        <v>20</v>
      </c>
      <c r="Q18" s="724"/>
      <c r="S18" s="290" t="s">
        <v>105</v>
      </c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</row>
    <row r="19" spans="1:30" s="6" customFormat="1" ht="15" thickBot="1" x14ac:dyDescent="0.35">
      <c r="A19" s="709"/>
      <c r="B19" s="711"/>
      <c r="C19" s="713"/>
      <c r="D19" s="713"/>
      <c r="E19" s="713"/>
      <c r="F19" s="711"/>
      <c r="G19" s="711"/>
      <c r="H19" s="294"/>
      <c r="I19" s="729"/>
      <c r="J19" s="731"/>
      <c r="K19" s="703"/>
      <c r="L19" s="705"/>
      <c r="M19" s="699"/>
      <c r="N19" s="645"/>
      <c r="O19" s="646"/>
      <c r="P19" s="295" t="s">
        <v>21</v>
      </c>
      <c r="Q19" s="74" t="s">
        <v>22</v>
      </c>
      <c r="S19" s="115" t="s">
        <v>106</v>
      </c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</row>
    <row r="20" spans="1:30" ht="70.8" customHeight="1" x14ac:dyDescent="0.3">
      <c r="A20" s="586">
        <v>39</v>
      </c>
      <c r="B20" s="725" t="s">
        <v>222</v>
      </c>
      <c r="C20" s="592" t="s">
        <v>58</v>
      </c>
      <c r="D20" s="592">
        <f>50+50+50</f>
        <v>150</v>
      </c>
      <c r="E20" s="36" t="s">
        <v>618</v>
      </c>
      <c r="F20" s="503" t="s">
        <v>9</v>
      </c>
      <c r="G20" s="41" t="s">
        <v>619</v>
      </c>
      <c r="H20" s="33" t="s">
        <v>68</v>
      </c>
      <c r="I20" s="35">
        <v>6.87</v>
      </c>
      <c r="J20" s="688">
        <f>AVERAGE(I20:I32)</f>
        <v>11.121923076923075</v>
      </c>
      <c r="K20" s="299">
        <f>(J20*30%)+J20</f>
        <v>14.458499999999997</v>
      </c>
      <c r="L20" s="302">
        <f>70%*J20</f>
        <v>7.7853461538461515</v>
      </c>
      <c r="M20" s="189" t="str">
        <f>IF(I20&gt;K$20,"EXCESSIVAMENTE ELEVADO",IF(I20&lt;L$20,"INEXEQUÍVEL","VÁLIDO"))</f>
        <v>INEXEQUÍVEL</v>
      </c>
      <c r="N20" s="201">
        <f>I20/$J$20</f>
        <v>0.61769893142442178</v>
      </c>
      <c r="O20" s="206" t="s">
        <v>535</v>
      </c>
      <c r="P20" s="605">
        <f>TRUNC(AVERAGE(I20:I29),2)</f>
        <v>8.66</v>
      </c>
      <c r="Q20" s="609">
        <f>D20*P20</f>
        <v>1299</v>
      </c>
      <c r="S20" s="715" t="s">
        <v>107</v>
      </c>
      <c r="T20" s="715"/>
      <c r="U20" s="715"/>
      <c r="V20" s="715"/>
      <c r="W20" s="715"/>
      <c r="X20" s="715"/>
      <c r="Y20" s="715"/>
      <c r="Z20" s="715"/>
      <c r="AA20" s="715"/>
      <c r="AB20" s="715"/>
      <c r="AC20" s="715"/>
      <c r="AD20" s="115"/>
    </row>
    <row r="21" spans="1:30" ht="39" customHeight="1" x14ac:dyDescent="0.3">
      <c r="A21" s="587"/>
      <c r="B21" s="726"/>
      <c r="C21" s="584"/>
      <c r="D21" s="584"/>
      <c r="E21" s="36" t="s">
        <v>629</v>
      </c>
      <c r="F21" s="503" t="s">
        <v>9</v>
      </c>
      <c r="G21" s="41" t="s">
        <v>622</v>
      </c>
      <c r="H21" s="38" t="s">
        <v>65</v>
      </c>
      <c r="I21" s="35">
        <v>6.95</v>
      </c>
      <c r="J21" s="662"/>
      <c r="K21" s="91"/>
      <c r="L21" s="94"/>
      <c r="M21" s="189" t="str">
        <f t="shared" ref="M21:M23" si="0">IF(I21&gt;K$20,"EXCESSIVAMENTE ELEVADO",IF(I21&lt;L$20,"INEXEQUÍVEL","VÁLIDO"))</f>
        <v>INEXEQUÍVEL</v>
      </c>
      <c r="N21" s="560"/>
      <c r="O21" s="561"/>
      <c r="P21" s="687"/>
      <c r="Q21" s="681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66"/>
    </row>
    <row r="22" spans="1:30" ht="54.6" customHeight="1" x14ac:dyDescent="0.3">
      <c r="A22" s="587"/>
      <c r="B22" s="726"/>
      <c r="C22" s="584"/>
      <c r="D22" s="584"/>
      <c r="E22" s="36" t="s">
        <v>623</v>
      </c>
      <c r="F22" s="503" t="s">
        <v>9</v>
      </c>
      <c r="G22" s="41" t="s">
        <v>624</v>
      </c>
      <c r="H22" s="38" t="s">
        <v>68</v>
      </c>
      <c r="I22" s="35">
        <v>7</v>
      </c>
      <c r="J22" s="662"/>
      <c r="K22" s="91"/>
      <c r="L22" s="94"/>
      <c r="M22" s="189" t="str">
        <f t="shared" si="0"/>
        <v>INEXEQUÍVEL</v>
      </c>
      <c r="N22" s="560"/>
      <c r="O22" s="561"/>
      <c r="P22" s="687"/>
      <c r="Q22" s="681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66"/>
    </row>
    <row r="23" spans="1:30" ht="41.4" x14ac:dyDescent="0.3">
      <c r="A23" s="587"/>
      <c r="B23" s="726"/>
      <c r="C23" s="584"/>
      <c r="D23" s="584"/>
      <c r="E23" s="33" t="s">
        <v>254</v>
      </c>
      <c r="F23" s="33" t="s">
        <v>26</v>
      </c>
      <c r="G23" s="34" t="s">
        <v>252</v>
      </c>
      <c r="H23" s="38" t="s">
        <v>65</v>
      </c>
      <c r="I23" s="35">
        <v>7.9</v>
      </c>
      <c r="J23" s="662"/>
      <c r="K23" s="91"/>
      <c r="L23" s="94"/>
      <c r="M23" s="189" t="str">
        <f t="shared" si="0"/>
        <v>VÁLIDO</v>
      </c>
      <c r="N23" s="560"/>
      <c r="O23" s="561"/>
      <c r="P23" s="687"/>
      <c r="Q23" s="681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66"/>
    </row>
    <row r="24" spans="1:30" ht="45.6" customHeight="1" x14ac:dyDescent="0.3">
      <c r="A24" s="587"/>
      <c r="B24" s="726"/>
      <c r="C24" s="584"/>
      <c r="D24" s="584"/>
      <c r="E24" s="40" t="s">
        <v>227</v>
      </c>
      <c r="F24" s="45" t="s">
        <v>26</v>
      </c>
      <c r="G24" s="41" t="s">
        <v>228</v>
      </c>
      <c r="H24" s="38" t="s">
        <v>65</v>
      </c>
      <c r="I24" s="95">
        <v>8</v>
      </c>
      <c r="J24" s="662"/>
      <c r="K24" s="91"/>
      <c r="L24" s="94"/>
      <c r="M24" s="189" t="str">
        <f t="shared" ref="M24:M31" si="1">IF(I24&gt;K$20,"EXCESSIVAMENTE ELEVADO",IF(I24&lt;L$20,"INEXEQUÍVEL","VÁLIDO"))</f>
        <v>VÁLIDO</v>
      </c>
      <c r="N24" s="560"/>
      <c r="O24" s="561"/>
      <c r="P24" s="687"/>
      <c r="Q24" s="681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66"/>
    </row>
    <row r="25" spans="1:30" ht="52.2" customHeight="1" x14ac:dyDescent="0.3">
      <c r="A25" s="587"/>
      <c r="B25" s="726"/>
      <c r="C25" s="584"/>
      <c r="D25" s="584"/>
      <c r="E25" s="36" t="s">
        <v>633</v>
      </c>
      <c r="F25" s="503" t="s">
        <v>9</v>
      </c>
      <c r="G25" s="41" t="s">
        <v>632</v>
      </c>
      <c r="H25" s="38" t="s">
        <v>65</v>
      </c>
      <c r="I25" s="95">
        <v>8</v>
      </c>
      <c r="J25" s="662"/>
      <c r="K25" s="91"/>
      <c r="L25" s="94"/>
      <c r="M25" s="189" t="str">
        <f t="shared" si="1"/>
        <v>VÁLIDO</v>
      </c>
      <c r="N25" s="560"/>
      <c r="O25" s="561"/>
      <c r="P25" s="687"/>
      <c r="Q25" s="681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66"/>
    </row>
    <row r="26" spans="1:30" ht="44.4" customHeight="1" x14ac:dyDescent="0.3">
      <c r="A26" s="587"/>
      <c r="B26" s="727"/>
      <c r="C26" s="584"/>
      <c r="D26" s="584"/>
      <c r="E26" s="36" t="s">
        <v>627</v>
      </c>
      <c r="F26" s="503" t="s">
        <v>9</v>
      </c>
      <c r="G26" s="41" t="s">
        <v>628</v>
      </c>
      <c r="H26" s="38" t="s">
        <v>68</v>
      </c>
      <c r="I26" s="95">
        <v>8.8000000000000007</v>
      </c>
      <c r="J26" s="663"/>
      <c r="K26" s="96"/>
      <c r="L26" s="173"/>
      <c r="M26" s="189" t="str">
        <f t="shared" si="1"/>
        <v>VÁLIDO</v>
      </c>
      <c r="N26" s="560"/>
      <c r="O26" s="561"/>
      <c r="P26" s="606"/>
      <c r="Q26" s="610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</row>
    <row r="27" spans="1:30" ht="44.4" customHeight="1" x14ac:dyDescent="0.3">
      <c r="A27" s="587"/>
      <c r="B27" s="727"/>
      <c r="C27" s="584"/>
      <c r="D27" s="584"/>
      <c r="E27" s="36" t="s">
        <v>621</v>
      </c>
      <c r="F27" s="503" t="s">
        <v>9</v>
      </c>
      <c r="G27" s="41" t="s">
        <v>620</v>
      </c>
      <c r="H27" s="38" t="s">
        <v>68</v>
      </c>
      <c r="I27" s="95">
        <v>9.11</v>
      </c>
      <c r="J27" s="663"/>
      <c r="K27" s="96"/>
      <c r="L27" s="173"/>
      <c r="M27" s="189" t="str">
        <f t="shared" si="1"/>
        <v>VÁLIDO</v>
      </c>
      <c r="N27" s="560"/>
      <c r="O27" s="561"/>
      <c r="P27" s="606"/>
      <c r="Q27" s="610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</row>
    <row r="28" spans="1:30" ht="68.400000000000006" customHeight="1" x14ac:dyDescent="0.3">
      <c r="A28" s="587"/>
      <c r="B28" s="727"/>
      <c r="C28" s="584"/>
      <c r="D28" s="584"/>
      <c r="E28" s="347" t="s">
        <v>625</v>
      </c>
      <c r="F28" s="503" t="s">
        <v>9</v>
      </c>
      <c r="G28" s="41" t="s">
        <v>626</v>
      </c>
      <c r="H28" s="38" t="s">
        <v>65</v>
      </c>
      <c r="I28" s="95">
        <v>10</v>
      </c>
      <c r="J28" s="663"/>
      <c r="K28" s="96"/>
      <c r="L28" s="173"/>
      <c r="M28" s="189" t="str">
        <f t="shared" si="1"/>
        <v>VÁLIDO</v>
      </c>
      <c r="N28" s="560"/>
      <c r="O28" s="561"/>
      <c r="P28" s="606"/>
      <c r="Q28" s="610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</row>
    <row r="29" spans="1:30" ht="55.2" customHeight="1" x14ac:dyDescent="0.3">
      <c r="A29" s="587"/>
      <c r="B29" s="727"/>
      <c r="C29" s="584"/>
      <c r="D29" s="584"/>
      <c r="E29" s="347" t="s">
        <v>630</v>
      </c>
      <c r="F29" s="503" t="s">
        <v>9</v>
      </c>
      <c r="G29" s="41" t="s">
        <v>631</v>
      </c>
      <c r="H29" s="38" t="s">
        <v>65</v>
      </c>
      <c r="I29" s="95">
        <v>14</v>
      </c>
      <c r="J29" s="663"/>
      <c r="K29" s="96"/>
      <c r="L29" s="173"/>
      <c r="M29" s="189" t="str">
        <f t="shared" si="1"/>
        <v>VÁLIDO</v>
      </c>
      <c r="N29" s="560"/>
      <c r="O29" s="561"/>
      <c r="P29" s="606"/>
      <c r="Q29" s="610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</row>
    <row r="30" spans="1:30" ht="67.8" customHeight="1" x14ac:dyDescent="0.3">
      <c r="A30" s="587"/>
      <c r="B30" s="727"/>
      <c r="C30" s="584"/>
      <c r="D30" s="584"/>
      <c r="E30" s="36" t="s">
        <v>616</v>
      </c>
      <c r="F30" s="503" t="s">
        <v>9</v>
      </c>
      <c r="G30" s="41" t="s">
        <v>617</v>
      </c>
      <c r="H30" s="33" t="s">
        <v>68</v>
      </c>
      <c r="I30" s="95">
        <v>16.2</v>
      </c>
      <c r="J30" s="663"/>
      <c r="K30" s="300"/>
      <c r="L30" s="303"/>
      <c r="M30" s="282" t="str">
        <f t="shared" si="1"/>
        <v>EXCESSIVAMENTE ELEVADO</v>
      </c>
      <c r="N30" s="165"/>
      <c r="O30" s="165"/>
      <c r="P30" s="606"/>
      <c r="Q30" s="610"/>
      <c r="S30" s="545"/>
      <c r="T30" s="545"/>
      <c r="U30" s="545"/>
      <c r="V30" s="545"/>
      <c r="W30" s="545"/>
      <c r="X30" s="545"/>
      <c r="Y30" s="545"/>
      <c r="Z30" s="545"/>
      <c r="AA30" s="545"/>
      <c r="AB30" s="545"/>
      <c r="AC30" s="545"/>
      <c r="AD30" s="278"/>
    </row>
    <row r="31" spans="1:30" ht="68.400000000000006" customHeight="1" x14ac:dyDescent="0.3">
      <c r="A31" s="587"/>
      <c r="B31" s="727"/>
      <c r="C31" s="584"/>
      <c r="D31" s="584"/>
      <c r="E31" s="308" t="s">
        <v>563</v>
      </c>
      <c r="F31" s="507" t="s">
        <v>27</v>
      </c>
      <c r="G31" s="34" t="s">
        <v>276</v>
      </c>
      <c r="H31" s="179" t="s">
        <v>139</v>
      </c>
      <c r="I31" s="446">
        <f>(19.9/20)+(17.9)</f>
        <v>18.895</v>
      </c>
      <c r="J31" s="663"/>
      <c r="K31" s="300"/>
      <c r="L31" s="303"/>
      <c r="M31" s="282" t="str">
        <f t="shared" si="1"/>
        <v>EXCESSIVAMENTE ELEVADO</v>
      </c>
      <c r="N31" s="166"/>
      <c r="O31" s="166"/>
      <c r="P31" s="607"/>
      <c r="Q31" s="611"/>
      <c r="Y31" s="25"/>
    </row>
    <row r="32" spans="1:30" ht="52.2" customHeight="1" thickBot="1" x14ac:dyDescent="0.35">
      <c r="A32" s="587"/>
      <c r="B32" s="727"/>
      <c r="C32" s="584"/>
      <c r="D32" s="584"/>
      <c r="E32" s="36" t="s">
        <v>564</v>
      </c>
      <c r="F32" s="503" t="s">
        <v>9</v>
      </c>
      <c r="G32" s="41" t="s">
        <v>565</v>
      </c>
      <c r="H32" s="38" t="s">
        <v>68</v>
      </c>
      <c r="I32" s="446">
        <v>22.86</v>
      </c>
      <c r="J32" s="664"/>
      <c r="K32" s="89"/>
      <c r="L32" s="35"/>
      <c r="M32" s="282" t="str">
        <f>IF(I32&gt;K$20,"EXCESSIVAMENTE ELEVADO",IF(I32&lt;L$20,"INEXEQUÍVEL","VÁLIDO"))</f>
        <v>EXCESSIVAMENTE ELEVADO</v>
      </c>
      <c r="N32" s="531"/>
      <c r="O32" s="166"/>
      <c r="P32" s="607"/>
      <c r="Q32" s="611"/>
      <c r="Y32" s="25"/>
    </row>
    <row r="33" spans="1:25" ht="15" thickBot="1" x14ac:dyDescent="0.35">
      <c r="A33" s="653"/>
      <c r="B33" s="654"/>
      <c r="C33" s="654"/>
      <c r="D33" s="654"/>
      <c r="E33" s="654"/>
      <c r="F33" s="654"/>
      <c r="G33" s="654"/>
      <c r="H33" s="654"/>
      <c r="I33" s="654"/>
      <c r="J33" s="654"/>
      <c r="K33" s="654"/>
      <c r="L33" s="654"/>
      <c r="M33" s="654"/>
      <c r="N33" s="654"/>
      <c r="O33" s="654"/>
      <c r="P33" s="836"/>
      <c r="Q33" s="174">
        <f>SUM(Q20:Q32)</f>
        <v>1299</v>
      </c>
    </row>
    <row r="35" spans="1:25" x14ac:dyDescent="0.3">
      <c r="A35" s="259"/>
    </row>
    <row r="36" spans="1:25" s="13" customFormat="1" x14ac:dyDescent="0.3">
      <c r="A36" s="62"/>
      <c r="B36" s="80"/>
      <c r="C36" s="62"/>
      <c r="D36" s="62"/>
      <c r="E36" s="82"/>
      <c r="F36" s="82"/>
      <c r="G36" s="81"/>
      <c r="H36" s="62"/>
      <c r="I36" s="62"/>
      <c r="J36" s="62"/>
      <c r="P36"/>
      <c r="Q36"/>
      <c r="R36"/>
      <c r="S36"/>
      <c r="T36"/>
      <c r="U36"/>
      <c r="V36"/>
      <c r="W36"/>
      <c r="X36"/>
      <c r="Y36"/>
    </row>
    <row r="37" spans="1:25" s="13" customFormat="1" x14ac:dyDescent="0.3">
      <c r="A37" s="62"/>
      <c r="B37" s="80"/>
      <c r="C37" s="62"/>
      <c r="D37" s="62"/>
      <c r="E37" s="82"/>
      <c r="F37" s="82"/>
      <c r="G37" s="81"/>
      <c r="H37" s="62"/>
      <c r="I37" s="62"/>
      <c r="J37" s="62"/>
      <c r="P37"/>
      <c r="Q37"/>
      <c r="R37"/>
      <c r="S37"/>
      <c r="T37"/>
      <c r="U37"/>
      <c r="V37"/>
      <c r="W37"/>
      <c r="X37"/>
      <c r="Y37"/>
    </row>
    <row r="38" spans="1:25" s="13" customFormat="1" x14ac:dyDescent="0.3">
      <c r="A38" s="62"/>
      <c r="B38" s="80"/>
      <c r="C38" s="62"/>
      <c r="D38" s="62"/>
      <c r="E38" s="82"/>
      <c r="F38" s="82"/>
      <c r="G38" s="81"/>
      <c r="H38" s="62"/>
      <c r="I38" s="62"/>
      <c r="J38" s="62"/>
      <c r="P38"/>
      <c r="Q38"/>
      <c r="R38"/>
      <c r="S38"/>
      <c r="T38"/>
      <c r="U38"/>
      <c r="V38"/>
      <c r="W38"/>
      <c r="X38"/>
      <c r="Y38"/>
    </row>
  </sheetData>
  <mergeCells count="23">
    <mergeCell ref="S20:AC20"/>
    <mergeCell ref="A33:P33"/>
    <mergeCell ref="P18:Q18"/>
    <mergeCell ref="A20:A32"/>
    <mergeCell ref="B20:B32"/>
    <mergeCell ref="C20:C32"/>
    <mergeCell ref="D20:D32"/>
    <mergeCell ref="J20:J32"/>
    <mergeCell ref="P20:P32"/>
    <mergeCell ref="Q20:Q32"/>
    <mergeCell ref="G18:G19"/>
    <mergeCell ref="I18:I19"/>
    <mergeCell ref="J18:J19"/>
    <mergeCell ref="K18:K19"/>
    <mergeCell ref="L18:L19"/>
    <mergeCell ref="M18:M19"/>
    <mergeCell ref="N18:O19"/>
    <mergeCell ref="F18:F19"/>
    <mergeCell ref="A18:A19"/>
    <mergeCell ref="B18:B19"/>
    <mergeCell ref="C18:C19"/>
    <mergeCell ref="D18:D19"/>
    <mergeCell ref="E18:E19"/>
  </mergeCells>
  <conditionalFormatting sqref="M18:M29 M30:O32">
    <cfRule type="containsText" dxfId="41" priority="15" operator="containsText" text="Excessivamente elevado">
      <formula>NOT(ISERROR(SEARCH("Excessivamente elevado",M18)))</formula>
    </cfRule>
  </conditionalFormatting>
  <conditionalFormatting sqref="M20:M29 M30:O32">
    <cfRule type="cellIs" dxfId="40" priority="13" operator="lessThan">
      <formula>"K$25"</formula>
    </cfRule>
    <cfRule type="cellIs" dxfId="39" priority="14" operator="greaterThan">
      <formula>"J$25"</formula>
    </cfRule>
  </conditionalFormatting>
  <conditionalFormatting sqref="M20:M29 M30:O32">
    <cfRule type="cellIs" dxfId="38" priority="11" operator="lessThan">
      <formula>"K$25"</formula>
    </cfRule>
    <cfRule type="cellIs" dxfId="37" priority="12" operator="greaterThan">
      <formula>"J&amp;25"</formula>
    </cfRule>
  </conditionalFormatting>
  <conditionalFormatting sqref="N18">
    <cfRule type="containsText" dxfId="36" priority="10" operator="containsText" text="Excessivamente elevado">
      <formula>NOT(ISERROR(SEARCH("Excessivamente elevado",N18)))</formula>
    </cfRule>
  </conditionalFormatting>
  <conditionalFormatting sqref="N20:N29">
    <cfRule type="containsText" dxfId="35" priority="5" operator="containsText" text="Excessivamente elevado">
      <formula>NOT(ISERROR(SEARCH("Excessivamente elevado",N20)))</formula>
    </cfRule>
  </conditionalFormatting>
  <conditionalFormatting sqref="N20:N29">
    <cfRule type="cellIs" dxfId="34" priority="3" operator="lessThan">
      <formula>"K$25"</formula>
    </cfRule>
    <cfRule type="cellIs" dxfId="33" priority="4" operator="greaterThan">
      <formula>"J$25"</formula>
    </cfRule>
  </conditionalFormatting>
  <conditionalFormatting sqref="N20:N29">
    <cfRule type="cellIs" dxfId="32" priority="1" operator="lessThan">
      <formula>"K$25"</formula>
    </cfRule>
    <cfRule type="cellIs" dxfId="31" priority="2" operator="greaterThan">
      <formula>"J&amp;25"</formula>
    </cfRule>
  </conditionalFormatting>
  <conditionalFormatting sqref="N20:N29">
    <cfRule type="containsText" priority="6" operator="containsText" text="Excessivamente elevado">
      <formula>NOT(ISERROR(SEARCH("Excessivamente elevado",N20)))</formula>
    </cfRule>
    <cfRule type="containsText" dxfId="30" priority="7" operator="containsText" text="Válido">
      <formula>NOT(ISERROR(SEARCH("Válido",N20)))</formula>
    </cfRule>
    <cfRule type="containsText" dxfId="29" priority="8" operator="containsText" text="Inexequível">
      <formula>NOT(ISERROR(SEARCH("Inexequível",N20)))</formula>
    </cfRule>
    <cfRule type="aboveAverage" dxfId="28" priority="9" aboveAverage="0"/>
  </conditionalFormatting>
  <conditionalFormatting sqref="M30:O32 M20:M29">
    <cfRule type="containsText" priority="5284" operator="containsText" text="Excessivamente elevado">
      <formula>NOT(ISERROR(SEARCH("Excessivamente elevado",M20)))</formula>
    </cfRule>
    <cfRule type="containsText" dxfId="27" priority="5285" operator="containsText" text="Válido">
      <formula>NOT(ISERROR(SEARCH("Válido",M20)))</formula>
    </cfRule>
    <cfRule type="containsText" dxfId="26" priority="5286" operator="containsText" text="Inexequível">
      <formula>NOT(ISERROR(SEARCH("Inexequível",M20)))</formula>
    </cfRule>
    <cfRule type="aboveAverage" dxfId="25" priority="5287" aboveAverage="0"/>
  </conditionalFormatting>
  <pageMargins left="0.23622047244094491" right="0.23622047244094491" top="0.74803149606299213" bottom="0.74803149606299213" header="0.31496062992125984" footer="0.31496062992125984"/>
  <pageSetup paperSize="9" scale="6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876CB-09F8-4E19-A05E-EFC8EC59C91E}">
  <sheetPr>
    <tabColor rgb="FF0070C0"/>
  </sheetPr>
  <dimension ref="A1:AE34"/>
  <sheetViews>
    <sheetView showGridLines="0" zoomScaleNormal="100" workbookViewId="0">
      <selection activeCell="A29" sqref="A29:P29"/>
    </sheetView>
  </sheetViews>
  <sheetFormatPr defaultColWidth="9.109375" defaultRowHeight="14.4" x14ac:dyDescent="0.3"/>
  <cols>
    <col min="1" max="1" width="4.5546875" style="20" customWidth="1"/>
    <col min="2" max="2" width="23.6640625" customWidth="1"/>
    <col min="3" max="3" width="6.33203125" customWidth="1"/>
    <col min="4" max="4" width="5.33203125" style="20" customWidth="1"/>
    <col min="5" max="5" width="23.109375" style="13" customWidth="1"/>
    <col min="6" max="6" width="12.44140625" style="13" customWidth="1"/>
    <col min="7" max="7" width="26.5546875" style="13" customWidth="1"/>
    <col min="8" max="8" width="7.33203125" style="13" customWidth="1"/>
    <col min="9" max="9" width="12" style="13" customWidth="1"/>
    <col min="10" max="10" width="9.88671875" style="13" customWidth="1"/>
    <col min="11" max="11" width="10.109375" style="13" hidden="1" customWidth="1"/>
    <col min="12" max="12" width="10.88671875" style="13" hidden="1" customWidth="1"/>
    <col min="13" max="14" width="13.44140625" style="13" customWidth="1"/>
    <col min="15" max="15" width="17.5546875" style="13" customWidth="1"/>
    <col min="16" max="16" width="12" customWidth="1"/>
    <col min="17" max="17" width="13.33203125" customWidth="1"/>
    <col min="19" max="19" width="13.44140625" customWidth="1"/>
    <col min="22" max="22" width="12.5546875" bestFit="1" customWidth="1"/>
    <col min="25" max="25" width="10.5546875" bestFit="1" customWidth="1"/>
  </cols>
  <sheetData>
    <row r="1" spans="1:31" ht="15" thickBot="1" x14ac:dyDescent="0.35">
      <c r="S1" s="114" t="s">
        <v>79</v>
      </c>
      <c r="T1" s="114"/>
      <c r="U1" s="114"/>
      <c r="V1" s="114"/>
      <c r="W1" s="114"/>
      <c r="X1" s="114"/>
      <c r="Y1" s="114"/>
      <c r="Z1" s="115"/>
      <c r="AA1" s="115"/>
      <c r="AB1" s="115"/>
      <c r="AC1" s="115"/>
      <c r="AD1" s="115"/>
    </row>
    <row r="2" spans="1:31" ht="15.6" thickTop="1" thickBot="1" x14ac:dyDescent="0.35">
      <c r="A2" s="72" t="s">
        <v>145</v>
      </c>
      <c r="B2" s="29"/>
      <c r="C2" s="29"/>
      <c r="D2" s="29"/>
      <c r="E2"/>
      <c r="F2"/>
      <c r="G2" s="107"/>
      <c r="H2" s="339"/>
      <c r="I2" s="97"/>
      <c r="J2" s="97"/>
      <c r="K2"/>
      <c r="L2"/>
      <c r="M2"/>
      <c r="N2"/>
      <c r="O2"/>
      <c r="S2" s="114"/>
      <c r="T2" s="114"/>
      <c r="U2" s="114"/>
      <c r="V2" s="114"/>
      <c r="W2" s="114"/>
      <c r="X2" s="114"/>
      <c r="Y2" s="114"/>
      <c r="Z2" s="115"/>
      <c r="AA2" s="115"/>
      <c r="AB2" s="115"/>
      <c r="AC2" s="115"/>
      <c r="AD2" s="115"/>
    </row>
    <row r="3" spans="1:31" ht="15" thickTop="1" x14ac:dyDescent="0.3">
      <c r="A3" s="59" t="s">
        <v>5</v>
      </c>
      <c r="B3" s="60"/>
      <c r="C3" s="60"/>
      <c r="D3" s="62"/>
      <c r="E3" s="70">
        <f>AVERAGE(I20:I28)</f>
        <v>43.575444444444443</v>
      </c>
      <c r="F3" s="61"/>
      <c r="G3" s="100"/>
      <c r="H3" s="129"/>
      <c r="I3" s="102"/>
      <c r="J3" s="102"/>
      <c r="K3" s="60"/>
      <c r="L3"/>
      <c r="M3"/>
      <c r="N3"/>
      <c r="O3"/>
      <c r="R3" s="20"/>
      <c r="S3" s="115"/>
      <c r="T3" s="113"/>
      <c r="U3" s="115"/>
      <c r="V3" s="115"/>
      <c r="W3" s="115"/>
      <c r="X3" s="115"/>
      <c r="Y3" s="115"/>
      <c r="Z3" s="115"/>
      <c r="AA3" s="115"/>
      <c r="AB3" s="115"/>
      <c r="AC3" s="115"/>
      <c r="AD3" s="115"/>
    </row>
    <row r="4" spans="1:31" x14ac:dyDescent="0.3">
      <c r="A4" s="59" t="s">
        <v>6</v>
      </c>
      <c r="B4" s="60"/>
      <c r="C4" s="60"/>
      <c r="D4" s="62"/>
      <c r="E4" s="70">
        <f>_xlfn.STDEV.S(I20:I28)</f>
        <v>10.369846757680573</v>
      </c>
      <c r="F4" s="63"/>
      <c r="G4" s="100"/>
      <c r="H4" s="129"/>
      <c r="I4" s="102"/>
      <c r="J4" s="102"/>
      <c r="K4" s="60"/>
      <c r="L4"/>
      <c r="M4"/>
      <c r="N4"/>
      <c r="O4"/>
      <c r="R4" s="20"/>
      <c r="S4" s="291" t="s">
        <v>80</v>
      </c>
      <c r="T4" s="291"/>
      <c r="U4" s="291"/>
      <c r="V4" s="291"/>
      <c r="W4" s="291"/>
      <c r="X4" s="291"/>
      <c r="Y4" s="291"/>
      <c r="Z4" s="291"/>
      <c r="AA4" s="291"/>
      <c r="AB4" s="115"/>
      <c r="AC4" s="113" t="s">
        <v>81</v>
      </c>
      <c r="AD4" s="115"/>
    </row>
    <row r="5" spans="1:31" x14ac:dyDescent="0.3">
      <c r="A5" s="59" t="s">
        <v>29</v>
      </c>
      <c r="B5" s="60"/>
      <c r="C5" s="60"/>
      <c r="D5" s="62"/>
      <c r="E5" s="71">
        <f>(E4/E3)*100</f>
        <v>23.797454942545411</v>
      </c>
      <c r="F5" s="63"/>
      <c r="G5" s="100"/>
      <c r="H5" s="129"/>
      <c r="I5" s="104"/>
      <c r="J5" s="104"/>
      <c r="K5" s="60"/>
      <c r="L5"/>
      <c r="M5"/>
      <c r="N5"/>
      <c r="O5"/>
      <c r="R5" s="20"/>
      <c r="S5" s="115" t="s">
        <v>82</v>
      </c>
      <c r="T5" s="290" t="s">
        <v>83</v>
      </c>
      <c r="U5" s="290"/>
      <c r="V5" s="290"/>
      <c r="W5" s="290"/>
      <c r="X5" s="290"/>
      <c r="Y5" s="290"/>
      <c r="Z5" s="290"/>
      <c r="AA5" s="290"/>
      <c r="AB5" s="115"/>
      <c r="AC5" s="199" t="s">
        <v>125</v>
      </c>
      <c r="AD5" s="115"/>
    </row>
    <row r="6" spans="1:31" x14ac:dyDescent="0.3">
      <c r="A6" s="59" t="s">
        <v>7</v>
      </c>
      <c r="B6" s="60"/>
      <c r="C6" s="60"/>
      <c r="D6" s="62"/>
      <c r="E6" s="546" t="str">
        <f>IF(E5&gt;25,"Mediana","Média")</f>
        <v>Média</v>
      </c>
      <c r="F6" s="64"/>
      <c r="G6" s="100"/>
      <c r="H6" s="129"/>
      <c r="I6" s="158"/>
      <c r="J6" s="106"/>
      <c r="K6" s="60"/>
      <c r="L6"/>
      <c r="M6"/>
      <c r="N6"/>
      <c r="O6"/>
      <c r="R6" s="20"/>
      <c r="S6" s="115" t="s">
        <v>84</v>
      </c>
      <c r="T6" s="290" t="s">
        <v>85</v>
      </c>
      <c r="U6" s="290"/>
      <c r="V6" s="290"/>
      <c r="W6" s="290"/>
      <c r="X6" s="290"/>
      <c r="Y6" s="290"/>
      <c r="Z6" s="290"/>
      <c r="AA6" s="290"/>
      <c r="AB6" s="115"/>
      <c r="AC6" s="199" t="s">
        <v>125</v>
      </c>
      <c r="AD6" s="115"/>
    </row>
    <row r="7" spans="1:31" x14ac:dyDescent="0.3">
      <c r="A7" s="59" t="s">
        <v>8</v>
      </c>
      <c r="B7" s="60"/>
      <c r="C7" s="60"/>
      <c r="D7" s="62"/>
      <c r="E7" s="70">
        <f>MIN(Q13:Q16)</f>
        <v>0</v>
      </c>
      <c r="F7" s="61"/>
      <c r="G7" s="100"/>
      <c r="H7" s="129"/>
      <c r="I7" s="102"/>
      <c r="J7" s="102"/>
      <c r="K7" s="60"/>
      <c r="L7"/>
      <c r="M7"/>
      <c r="N7"/>
      <c r="O7"/>
      <c r="R7" s="20"/>
      <c r="S7" s="115" t="s">
        <v>86</v>
      </c>
      <c r="T7" s="290" t="s">
        <v>87</v>
      </c>
      <c r="U7" s="290"/>
      <c r="V7" s="290"/>
      <c r="W7" s="290"/>
      <c r="X7" s="290"/>
      <c r="Y7" s="290"/>
      <c r="Z7" s="290"/>
      <c r="AA7" s="290"/>
      <c r="AB7" s="115"/>
      <c r="AC7" s="199" t="s">
        <v>125</v>
      </c>
      <c r="AD7" s="115"/>
    </row>
    <row r="8" spans="1:31" x14ac:dyDescent="0.3">
      <c r="A8" s="59"/>
      <c r="B8" s="60"/>
      <c r="C8" s="60"/>
      <c r="D8" s="62"/>
      <c r="E8" s="65"/>
      <c r="F8" s="65"/>
      <c r="G8" s="66"/>
      <c r="H8" s="80"/>
      <c r="I8" s="50"/>
      <c r="J8" s="50"/>
      <c r="K8" s="50"/>
      <c r="S8" s="115" t="s">
        <v>88</v>
      </c>
      <c r="T8" s="289" t="s">
        <v>164</v>
      </c>
      <c r="U8" s="290"/>
      <c r="V8" s="290"/>
      <c r="W8" s="290"/>
      <c r="X8" s="290"/>
      <c r="Y8" s="290"/>
      <c r="Z8" s="290"/>
      <c r="AA8" s="290"/>
      <c r="AB8" s="115"/>
      <c r="AC8" s="199" t="s">
        <v>125</v>
      </c>
      <c r="AD8" s="115"/>
    </row>
    <row r="9" spans="1:31" x14ac:dyDescent="0.3">
      <c r="K9"/>
      <c r="S9" s="115" t="s">
        <v>90</v>
      </c>
      <c r="T9" s="290" t="s">
        <v>91</v>
      </c>
      <c r="U9" s="290"/>
      <c r="V9" s="290"/>
      <c r="W9" s="290"/>
      <c r="X9" s="290"/>
      <c r="Y9" s="290"/>
      <c r="Z9" s="290"/>
      <c r="AA9" s="290"/>
      <c r="AB9" s="115"/>
      <c r="AC9" s="116" t="s">
        <v>125</v>
      </c>
      <c r="AD9" s="115"/>
    </row>
    <row r="10" spans="1:31" x14ac:dyDescent="0.3">
      <c r="A10" s="318"/>
      <c r="B10" s="319"/>
      <c r="C10" s="319"/>
      <c r="D10" s="319"/>
      <c r="E10" s="320"/>
      <c r="F10" s="320"/>
      <c r="G10" s="318"/>
      <c r="H10" s="330"/>
      <c r="I10" s="329"/>
      <c r="K10"/>
      <c r="L10"/>
      <c r="M10"/>
      <c r="N10"/>
      <c r="O10"/>
      <c r="S10" s="115" t="s">
        <v>92</v>
      </c>
      <c r="T10" s="290" t="s">
        <v>93</v>
      </c>
      <c r="U10" s="290"/>
      <c r="V10" s="290"/>
      <c r="W10" s="290"/>
      <c r="X10" s="290"/>
      <c r="Y10" s="290"/>
      <c r="Z10" s="290"/>
      <c r="AA10" s="290"/>
      <c r="AB10" s="115"/>
      <c r="AC10" s="199" t="s">
        <v>125</v>
      </c>
      <c r="AD10" s="115"/>
    </row>
    <row r="11" spans="1:31" x14ac:dyDescent="0.3">
      <c r="A11" s="331"/>
      <c r="B11" s="327"/>
      <c r="C11" s="327"/>
      <c r="D11" s="332"/>
      <c r="E11" s="322"/>
      <c r="F11" s="333"/>
      <c r="G11" s="321"/>
      <c r="H11" s="334"/>
      <c r="I11" s="322"/>
      <c r="J11" s="70"/>
      <c r="K11" s="50"/>
      <c r="L11" s="50"/>
      <c r="S11" s="115" t="s">
        <v>94</v>
      </c>
      <c r="T11" s="290" t="s">
        <v>95</v>
      </c>
      <c r="U11" s="290"/>
      <c r="V11" s="290"/>
      <c r="W11" s="290"/>
      <c r="X11" s="290"/>
      <c r="Y11" s="290"/>
      <c r="Z11" s="289" t="s">
        <v>163</v>
      </c>
      <c r="AA11" s="290"/>
      <c r="AB11" s="115"/>
      <c r="AC11" s="199" t="s">
        <v>127</v>
      </c>
      <c r="AD11" s="115"/>
    </row>
    <row r="12" spans="1:31" x14ac:dyDescent="0.3">
      <c r="A12" s="331"/>
      <c r="B12" s="327"/>
      <c r="C12" s="327"/>
      <c r="D12" s="332"/>
      <c r="E12" s="322"/>
      <c r="F12" s="335"/>
      <c r="G12" s="321"/>
      <c r="H12" s="336"/>
      <c r="I12" s="322"/>
      <c r="J12" s="70"/>
      <c r="K12" s="50"/>
      <c r="L12" s="50"/>
      <c r="S12" s="115" t="s">
        <v>96</v>
      </c>
      <c r="T12" s="290" t="s">
        <v>97</v>
      </c>
      <c r="U12" s="290"/>
      <c r="V12" s="290"/>
      <c r="W12" s="290"/>
      <c r="X12" s="290"/>
      <c r="Y12" s="290"/>
      <c r="Z12" s="290"/>
      <c r="AA12" s="290"/>
      <c r="AB12" s="115"/>
      <c r="AC12" s="116" t="s">
        <v>125</v>
      </c>
      <c r="AD12" s="115"/>
    </row>
    <row r="13" spans="1:31" x14ac:dyDescent="0.3">
      <c r="A13" s="331"/>
      <c r="B13" s="327"/>
      <c r="C13" s="327"/>
      <c r="D13" s="332"/>
      <c r="E13" s="323"/>
      <c r="F13" s="335"/>
      <c r="G13" s="321"/>
      <c r="H13" s="336"/>
      <c r="I13" s="323"/>
      <c r="J13" s="71"/>
      <c r="K13" s="50"/>
      <c r="L13" s="50"/>
      <c r="S13" s="115" t="s">
        <v>98</v>
      </c>
      <c r="T13" s="290" t="s">
        <v>99</v>
      </c>
      <c r="U13" s="290"/>
      <c r="V13" s="290"/>
      <c r="W13" s="290"/>
      <c r="X13" s="290"/>
      <c r="Y13" s="290"/>
      <c r="Z13" s="290"/>
      <c r="AA13" s="290"/>
      <c r="AB13" s="115"/>
      <c r="AC13" s="199" t="s">
        <v>127</v>
      </c>
      <c r="AD13" s="115"/>
    </row>
    <row r="14" spans="1:31" x14ac:dyDescent="0.3">
      <c r="A14" s="331"/>
      <c r="B14" s="327"/>
      <c r="C14" s="327"/>
      <c r="D14" s="332"/>
      <c r="E14" s="324"/>
      <c r="F14" s="337"/>
      <c r="G14" s="321"/>
      <c r="H14" s="338"/>
      <c r="I14" s="324"/>
      <c r="J14" s="106"/>
      <c r="K14" s="50"/>
      <c r="L14" s="50"/>
      <c r="S14" s="115" t="s">
        <v>100</v>
      </c>
      <c r="T14" s="290" t="s">
        <v>101</v>
      </c>
      <c r="U14" s="290"/>
      <c r="V14" s="290"/>
      <c r="W14" s="290"/>
      <c r="X14" s="290"/>
      <c r="Y14" s="290"/>
      <c r="Z14" s="290"/>
      <c r="AA14" s="290"/>
      <c r="AB14" s="115"/>
      <c r="AC14" s="116" t="s">
        <v>125</v>
      </c>
      <c r="AD14" s="115"/>
    </row>
    <row r="15" spans="1:31" x14ac:dyDescent="0.3">
      <c r="A15" s="331"/>
      <c r="B15" s="327"/>
      <c r="C15" s="327"/>
      <c r="D15" s="332"/>
      <c r="E15" s="322"/>
      <c r="F15" s="333"/>
      <c r="G15" s="321"/>
      <c r="H15" s="334"/>
      <c r="I15" s="322"/>
      <c r="J15" s="70"/>
      <c r="K15" s="50"/>
      <c r="L15" s="50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t="s">
        <v>136</v>
      </c>
    </row>
    <row r="16" spans="1:31" x14ac:dyDescent="0.3">
      <c r="A16" s="28"/>
      <c r="B16" s="60"/>
      <c r="C16" s="60"/>
      <c r="D16" s="62"/>
      <c r="E16" s="65"/>
      <c r="F16" s="65"/>
      <c r="G16" s="66"/>
      <c r="H16" s="80"/>
      <c r="I16" s="50"/>
      <c r="J16" s="50"/>
      <c r="K16" s="50"/>
      <c r="L16" s="50"/>
      <c r="S16" s="113" t="s">
        <v>102</v>
      </c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</row>
    <row r="17" spans="1:30" ht="36" customHeight="1" thickBot="1" x14ac:dyDescent="0.35">
      <c r="S17" s="290" t="s">
        <v>104</v>
      </c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</row>
    <row r="18" spans="1:30" ht="15" customHeight="1" x14ac:dyDescent="0.3">
      <c r="A18" s="708" t="s">
        <v>10</v>
      </c>
      <c r="B18" s="710" t="s">
        <v>11</v>
      </c>
      <c r="C18" s="712" t="s">
        <v>12</v>
      </c>
      <c r="D18" s="712" t="s">
        <v>13</v>
      </c>
      <c r="E18" s="712" t="s">
        <v>30</v>
      </c>
      <c r="F18" s="710" t="s">
        <v>31</v>
      </c>
      <c r="G18" s="710" t="s">
        <v>16</v>
      </c>
      <c r="H18" s="287" t="s">
        <v>17</v>
      </c>
      <c r="I18" s="728" t="s">
        <v>18</v>
      </c>
      <c r="J18" s="730" t="s">
        <v>66</v>
      </c>
      <c r="K18" s="702" t="s">
        <v>32</v>
      </c>
      <c r="L18" s="704" t="s">
        <v>33</v>
      </c>
      <c r="M18" s="698" t="s">
        <v>19</v>
      </c>
      <c r="N18" s="719" t="s">
        <v>119</v>
      </c>
      <c r="O18" s="720"/>
      <c r="P18" s="723" t="s">
        <v>20</v>
      </c>
      <c r="Q18" s="724"/>
      <c r="S18" s="290" t="s">
        <v>105</v>
      </c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</row>
    <row r="19" spans="1:30" s="6" customFormat="1" ht="15" thickBot="1" x14ac:dyDescent="0.35">
      <c r="A19" s="709"/>
      <c r="B19" s="711"/>
      <c r="C19" s="713"/>
      <c r="D19" s="713"/>
      <c r="E19" s="713"/>
      <c r="F19" s="711"/>
      <c r="G19" s="711"/>
      <c r="H19" s="294"/>
      <c r="I19" s="729"/>
      <c r="J19" s="731"/>
      <c r="K19" s="703"/>
      <c r="L19" s="705"/>
      <c r="M19" s="699"/>
      <c r="N19" s="721"/>
      <c r="O19" s="722"/>
      <c r="P19" s="295" t="s">
        <v>21</v>
      </c>
      <c r="Q19" s="74" t="s">
        <v>22</v>
      </c>
      <c r="S19" s="115" t="s">
        <v>106</v>
      </c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</row>
    <row r="20" spans="1:30" ht="54.6" customHeight="1" x14ac:dyDescent="0.3">
      <c r="A20" s="586">
        <v>40</v>
      </c>
      <c r="B20" s="725" t="s">
        <v>223</v>
      </c>
      <c r="C20" s="592" t="s">
        <v>12</v>
      </c>
      <c r="D20" s="592">
        <f>150+75+100</f>
        <v>325</v>
      </c>
      <c r="E20" s="36" t="s">
        <v>571</v>
      </c>
      <c r="F20" s="33" t="s">
        <v>9</v>
      </c>
      <c r="G20" s="57" t="s">
        <v>568</v>
      </c>
      <c r="H20" s="39" t="s">
        <v>68</v>
      </c>
      <c r="I20" s="35">
        <v>33.950000000000003</v>
      </c>
      <c r="J20" s="688">
        <f>AVERAGE(I20:I28)</f>
        <v>43.575444444444443</v>
      </c>
      <c r="K20" s="299">
        <f>(J20*30%)+J20</f>
        <v>56.648077777777772</v>
      </c>
      <c r="L20" s="302">
        <f>70%*J20</f>
        <v>30.502811111111107</v>
      </c>
      <c r="M20" s="189" t="str">
        <f>IF(I20&gt;K$20,"EXCESSIVAMENTE ELEVADO",IF(I20&lt;L$20,"INEXEQUÍVEL","VÁLIDO"))</f>
        <v>VÁLIDO</v>
      </c>
      <c r="N20" s="530"/>
      <c r="O20" s="190"/>
      <c r="P20" s="605">
        <f>TRUNC(AVERAGE(I20:I27),2)</f>
        <v>40.28</v>
      </c>
      <c r="Q20" s="609">
        <f>D20*P20</f>
        <v>13091</v>
      </c>
      <c r="S20" s="715" t="s">
        <v>107</v>
      </c>
      <c r="T20" s="715"/>
      <c r="U20" s="715"/>
      <c r="V20" s="715"/>
      <c r="W20" s="715"/>
      <c r="X20" s="715"/>
      <c r="Y20" s="715"/>
      <c r="Z20" s="715"/>
      <c r="AA20" s="715"/>
      <c r="AB20" s="715"/>
      <c r="AC20" s="715"/>
      <c r="AD20" s="115"/>
    </row>
    <row r="21" spans="1:30" ht="127.2" customHeight="1" x14ac:dyDescent="0.3">
      <c r="A21" s="587"/>
      <c r="B21" s="727"/>
      <c r="C21" s="584"/>
      <c r="D21" s="584"/>
      <c r="E21" s="308" t="s">
        <v>574</v>
      </c>
      <c r="F21" s="40" t="s">
        <v>27</v>
      </c>
      <c r="G21" s="47" t="s">
        <v>420</v>
      </c>
      <c r="H21" s="434" t="s">
        <v>123</v>
      </c>
      <c r="I21" s="300">
        <f>(21.99/10)+35.9</f>
        <v>38.098999999999997</v>
      </c>
      <c r="J21" s="663"/>
      <c r="K21" s="300"/>
      <c r="L21" s="303"/>
      <c r="M21" s="189" t="str">
        <f t="shared" ref="M21:M28" si="0">IF(I21&gt;K$20,"EXCESSIVAMENTE ELEVADO",IF(I21&lt;L$20,"INEXEQUÍVEL","VÁLIDO"))</f>
        <v>VÁLIDO</v>
      </c>
      <c r="N21" s="165"/>
      <c r="O21" s="165"/>
      <c r="P21" s="606"/>
      <c r="Q21" s="610"/>
      <c r="S21" s="464"/>
      <c r="T21" s="464"/>
      <c r="U21" s="464"/>
      <c r="V21" s="464"/>
      <c r="W21" s="464"/>
      <c r="X21" s="464"/>
      <c r="Y21" s="464"/>
      <c r="Z21" s="464"/>
      <c r="AA21" s="464"/>
      <c r="AB21" s="464"/>
      <c r="AC21" s="464"/>
      <c r="AD21" s="278"/>
    </row>
    <row r="22" spans="1:30" ht="51" customHeight="1" x14ac:dyDescent="0.3">
      <c r="A22" s="587"/>
      <c r="B22" s="727"/>
      <c r="C22" s="584"/>
      <c r="D22" s="584"/>
      <c r="E22" s="429" t="s">
        <v>575</v>
      </c>
      <c r="F22" s="90" t="s">
        <v>9</v>
      </c>
      <c r="G22" s="57" t="s">
        <v>576</v>
      </c>
      <c r="H22" s="84" t="s">
        <v>68</v>
      </c>
      <c r="I22" s="468">
        <v>39.5</v>
      </c>
      <c r="J22" s="663"/>
      <c r="K22" s="300"/>
      <c r="L22" s="303"/>
      <c r="M22" s="189" t="str">
        <f t="shared" si="0"/>
        <v>VÁLIDO</v>
      </c>
      <c r="N22" s="165"/>
      <c r="O22" s="165"/>
      <c r="P22" s="606"/>
      <c r="Q22" s="610"/>
      <c r="S22" s="464"/>
      <c r="T22" s="464"/>
      <c r="U22" s="464"/>
      <c r="V22" s="464"/>
      <c r="W22" s="464"/>
      <c r="X22" s="464"/>
      <c r="Y22" s="464"/>
      <c r="Z22" s="464"/>
      <c r="AA22" s="464"/>
      <c r="AB22" s="464"/>
      <c r="AC22" s="464"/>
      <c r="AD22" s="278"/>
    </row>
    <row r="23" spans="1:30" ht="48.6" customHeight="1" x14ac:dyDescent="0.3">
      <c r="A23" s="587"/>
      <c r="B23" s="727"/>
      <c r="C23" s="584"/>
      <c r="D23" s="584"/>
      <c r="E23" s="36" t="s">
        <v>572</v>
      </c>
      <c r="F23" s="33" t="s">
        <v>9</v>
      </c>
      <c r="G23" s="34" t="s">
        <v>573</v>
      </c>
      <c r="H23" s="33" t="s">
        <v>68</v>
      </c>
      <c r="I23" s="300">
        <v>40</v>
      </c>
      <c r="J23" s="663"/>
      <c r="K23" s="300"/>
      <c r="L23" s="303"/>
      <c r="M23" s="189" t="str">
        <f t="shared" si="0"/>
        <v>VÁLIDO</v>
      </c>
      <c r="N23" s="165"/>
      <c r="O23" s="165"/>
      <c r="P23" s="606"/>
      <c r="Q23" s="610"/>
      <c r="S23" s="464"/>
      <c r="T23" s="464"/>
      <c r="U23" s="464"/>
      <c r="V23" s="464"/>
      <c r="W23" s="464"/>
      <c r="X23" s="464"/>
      <c r="Y23" s="464"/>
      <c r="Z23" s="464"/>
      <c r="AA23" s="464"/>
      <c r="AB23" s="464"/>
      <c r="AC23" s="464"/>
      <c r="AD23" s="278"/>
    </row>
    <row r="24" spans="1:30" ht="58.8" customHeight="1" x14ac:dyDescent="0.3">
      <c r="A24" s="587"/>
      <c r="B24" s="727"/>
      <c r="C24" s="584"/>
      <c r="D24" s="584"/>
      <c r="E24" s="36" t="s">
        <v>567</v>
      </c>
      <c r="F24" s="33" t="s">
        <v>9</v>
      </c>
      <c r="G24" s="34" t="s">
        <v>568</v>
      </c>
      <c r="H24" s="39" t="s">
        <v>68</v>
      </c>
      <c r="I24" s="35">
        <v>40.590000000000003</v>
      </c>
      <c r="J24" s="663"/>
      <c r="K24" s="300"/>
      <c r="L24" s="303"/>
      <c r="M24" s="189" t="str">
        <f t="shared" si="0"/>
        <v>VÁLIDO</v>
      </c>
      <c r="N24" s="165"/>
      <c r="O24" s="165"/>
      <c r="P24" s="606"/>
      <c r="Q24" s="610"/>
      <c r="S24" s="464"/>
      <c r="T24" s="464"/>
      <c r="U24" s="464"/>
      <c r="V24" s="464"/>
      <c r="W24" s="464"/>
      <c r="X24" s="464"/>
      <c r="Y24" s="464"/>
      <c r="Z24" s="464"/>
      <c r="AA24" s="464"/>
      <c r="AB24" s="464"/>
      <c r="AC24" s="464"/>
      <c r="AD24" s="278"/>
    </row>
    <row r="25" spans="1:30" ht="65.400000000000006" customHeight="1" x14ac:dyDescent="0.3">
      <c r="A25" s="587"/>
      <c r="B25" s="727"/>
      <c r="C25" s="584"/>
      <c r="D25" s="584"/>
      <c r="E25" s="36" t="s">
        <v>570</v>
      </c>
      <c r="F25" s="33" t="s">
        <v>9</v>
      </c>
      <c r="G25" s="57" t="s">
        <v>569</v>
      </c>
      <c r="H25" s="39" t="s">
        <v>68</v>
      </c>
      <c r="I25" s="35">
        <v>41.5</v>
      </c>
      <c r="J25" s="663"/>
      <c r="K25" s="300"/>
      <c r="L25" s="303"/>
      <c r="M25" s="189" t="str">
        <f t="shared" si="0"/>
        <v>VÁLIDO</v>
      </c>
      <c r="N25" s="165"/>
      <c r="O25" s="165"/>
      <c r="P25" s="606"/>
      <c r="Q25" s="610"/>
      <c r="S25" s="464"/>
      <c r="T25" s="464"/>
      <c r="U25" s="464"/>
      <c r="V25" s="464"/>
      <c r="W25" s="464"/>
      <c r="X25" s="464"/>
      <c r="Y25" s="464"/>
      <c r="Z25" s="464"/>
      <c r="AA25" s="464"/>
      <c r="AB25" s="464"/>
      <c r="AC25" s="464"/>
      <c r="AD25" s="278"/>
    </row>
    <row r="26" spans="1:30" ht="56.4" customHeight="1" x14ac:dyDescent="0.3">
      <c r="A26" s="587"/>
      <c r="B26" s="727"/>
      <c r="C26" s="584"/>
      <c r="D26" s="584"/>
      <c r="E26" s="36" t="s">
        <v>577</v>
      </c>
      <c r="F26" s="33" t="s">
        <v>9</v>
      </c>
      <c r="G26" s="34" t="s">
        <v>578</v>
      </c>
      <c r="H26" s="33" t="s">
        <v>68</v>
      </c>
      <c r="I26" s="35">
        <v>43.64</v>
      </c>
      <c r="J26" s="663"/>
      <c r="K26" s="300"/>
      <c r="L26" s="303"/>
      <c r="M26" s="189" t="str">
        <f t="shared" si="0"/>
        <v>VÁLIDO</v>
      </c>
      <c r="N26" s="165"/>
      <c r="O26" s="165"/>
      <c r="P26" s="606"/>
      <c r="Q26" s="610"/>
      <c r="S26" s="464"/>
      <c r="T26" s="464"/>
      <c r="U26" s="464"/>
      <c r="V26" s="464"/>
      <c r="W26" s="464"/>
      <c r="X26" s="464"/>
      <c r="Y26" s="464"/>
      <c r="Z26" s="464"/>
      <c r="AA26" s="464"/>
      <c r="AB26" s="464"/>
      <c r="AC26" s="464"/>
      <c r="AD26" s="278"/>
    </row>
    <row r="27" spans="1:30" ht="42.6" customHeight="1" x14ac:dyDescent="0.3">
      <c r="A27" s="587"/>
      <c r="B27" s="727"/>
      <c r="C27" s="584"/>
      <c r="D27" s="584"/>
      <c r="E27" s="40" t="s">
        <v>227</v>
      </c>
      <c r="F27" s="45" t="s">
        <v>26</v>
      </c>
      <c r="G27" s="41" t="s">
        <v>228</v>
      </c>
      <c r="H27" s="38" t="s">
        <v>65</v>
      </c>
      <c r="I27" s="35">
        <v>45</v>
      </c>
      <c r="J27" s="663"/>
      <c r="K27" s="300"/>
      <c r="L27" s="303"/>
      <c r="M27" s="189" t="str">
        <f t="shared" si="0"/>
        <v>VÁLIDO</v>
      </c>
      <c r="N27" s="165"/>
      <c r="O27" s="165"/>
      <c r="P27" s="606"/>
      <c r="Q27" s="610"/>
      <c r="Y27" s="25"/>
    </row>
    <row r="28" spans="1:30" ht="53.4" customHeight="1" thickBot="1" x14ac:dyDescent="0.35">
      <c r="A28" s="587"/>
      <c r="B28" s="727"/>
      <c r="C28" s="584"/>
      <c r="D28" s="584"/>
      <c r="E28" s="38" t="s">
        <v>254</v>
      </c>
      <c r="F28" s="532" t="s">
        <v>26</v>
      </c>
      <c r="G28" s="41" t="s">
        <v>252</v>
      </c>
      <c r="H28" s="38" t="s">
        <v>65</v>
      </c>
      <c r="I28" s="450">
        <v>69.900000000000006</v>
      </c>
      <c r="J28" s="664"/>
      <c r="K28" s="89"/>
      <c r="L28" s="35"/>
      <c r="M28" s="309" t="str">
        <f t="shared" si="0"/>
        <v>EXCESSIVAMENTE ELEVADO</v>
      </c>
      <c r="N28" s="210">
        <f>(I28-J20)/J20</f>
        <v>0.60411444773942524</v>
      </c>
      <c r="O28" s="213" t="s">
        <v>120</v>
      </c>
      <c r="P28" s="607"/>
      <c r="Q28" s="611"/>
      <c r="Y28" s="25"/>
    </row>
    <row r="29" spans="1:30" ht="24" customHeight="1" thickBot="1" x14ac:dyDescent="0.35">
      <c r="A29" s="653" t="s">
        <v>579</v>
      </c>
      <c r="B29" s="654"/>
      <c r="C29" s="654"/>
      <c r="D29" s="654"/>
      <c r="E29" s="654"/>
      <c r="F29" s="654"/>
      <c r="G29" s="654"/>
      <c r="H29" s="654"/>
      <c r="I29" s="654"/>
      <c r="J29" s="654"/>
      <c r="K29" s="654"/>
      <c r="L29" s="654"/>
      <c r="M29" s="654"/>
      <c r="N29" s="654"/>
      <c r="O29" s="654"/>
      <c r="P29" s="836"/>
      <c r="Q29" s="174">
        <f>SUM(Q20:Q28)</f>
        <v>13091</v>
      </c>
    </row>
    <row r="31" spans="1:30" x14ac:dyDescent="0.3">
      <c r="A31" s="259"/>
    </row>
    <row r="32" spans="1:30" s="13" customFormat="1" x14ac:dyDescent="0.3">
      <c r="A32" s="62"/>
      <c r="B32" s="80"/>
      <c r="C32" s="62"/>
      <c r="D32" s="62"/>
      <c r="E32" s="82"/>
      <c r="F32" s="82"/>
      <c r="G32" s="81"/>
      <c r="H32" s="62"/>
      <c r="I32" s="62"/>
      <c r="J32" s="62"/>
      <c r="P32"/>
      <c r="Q32"/>
      <c r="R32"/>
      <c r="S32"/>
      <c r="T32"/>
      <c r="U32"/>
      <c r="V32"/>
      <c r="W32"/>
      <c r="X32"/>
      <c r="Y32"/>
    </row>
    <row r="33" spans="1:25" s="13" customFormat="1" x14ac:dyDescent="0.3">
      <c r="A33" s="62"/>
      <c r="B33" s="80"/>
      <c r="C33" s="62"/>
      <c r="D33" s="62"/>
      <c r="E33" s="82"/>
      <c r="F33" s="82"/>
      <c r="G33" s="81"/>
      <c r="H33" s="62"/>
      <c r="I33" s="62"/>
      <c r="J33" s="62"/>
      <c r="P33"/>
      <c r="Q33"/>
      <c r="R33"/>
      <c r="S33"/>
      <c r="T33"/>
      <c r="U33"/>
      <c r="V33"/>
      <c r="W33"/>
      <c r="X33"/>
      <c r="Y33"/>
    </row>
    <row r="34" spans="1:25" s="13" customFormat="1" x14ac:dyDescent="0.3">
      <c r="A34" s="62"/>
      <c r="B34" s="80"/>
      <c r="C34" s="62"/>
      <c r="D34" s="62"/>
      <c r="E34" s="82"/>
      <c r="F34" s="82"/>
      <c r="G34" s="81"/>
      <c r="H34" s="62"/>
      <c r="I34" s="62"/>
      <c r="J34" s="62"/>
      <c r="P34"/>
      <c r="Q34"/>
      <c r="R34"/>
      <c r="S34"/>
      <c r="T34"/>
      <c r="U34"/>
      <c r="V34"/>
      <c r="W34"/>
      <c r="X34"/>
      <c r="Y34"/>
    </row>
  </sheetData>
  <mergeCells count="23">
    <mergeCell ref="N18:O19"/>
    <mergeCell ref="S20:AC20"/>
    <mergeCell ref="A29:P29"/>
    <mergeCell ref="P18:Q18"/>
    <mergeCell ref="A20:A28"/>
    <mergeCell ref="B20:B28"/>
    <mergeCell ref="C20:C28"/>
    <mergeCell ref="D20:D28"/>
    <mergeCell ref="J20:J28"/>
    <mergeCell ref="P20:P28"/>
    <mergeCell ref="Q20:Q28"/>
    <mergeCell ref="G18:G19"/>
    <mergeCell ref="I18:I19"/>
    <mergeCell ref="J18:J19"/>
    <mergeCell ref="K18:K19"/>
    <mergeCell ref="L18:L19"/>
    <mergeCell ref="M18:M19"/>
    <mergeCell ref="A18:A19"/>
    <mergeCell ref="B18:B19"/>
    <mergeCell ref="C18:C19"/>
    <mergeCell ref="D18:D19"/>
    <mergeCell ref="E18:E19"/>
    <mergeCell ref="F18:F19"/>
  </mergeCells>
  <conditionalFormatting sqref="M18:M19 M28 M20:O27">
    <cfRule type="containsText" dxfId="24" priority="15" operator="containsText" text="Excessivamente elevado">
      <formula>NOT(ISERROR(SEARCH("Excessivamente elevado",M18)))</formula>
    </cfRule>
  </conditionalFormatting>
  <conditionalFormatting sqref="M28 M20:O27">
    <cfRule type="cellIs" dxfId="23" priority="13" operator="lessThan">
      <formula>"K$25"</formula>
    </cfRule>
    <cfRule type="cellIs" dxfId="22" priority="14" operator="greaterThan">
      <formula>"J$25"</formula>
    </cfRule>
  </conditionalFormatting>
  <conditionalFormatting sqref="M28 M20:O27">
    <cfRule type="cellIs" dxfId="21" priority="11" operator="lessThan">
      <formula>"K$25"</formula>
    </cfRule>
    <cfRule type="cellIs" dxfId="20" priority="12" operator="greaterThan">
      <formula>"J&amp;25"</formula>
    </cfRule>
  </conditionalFormatting>
  <conditionalFormatting sqref="M28 M20:O27">
    <cfRule type="containsText" priority="5145" operator="containsText" text="Excessivamente elevado">
      <formula>NOT(ISERROR(SEARCH("Excessivamente elevado",M20)))</formula>
    </cfRule>
    <cfRule type="containsText" dxfId="19" priority="5146" operator="containsText" text="Válido">
      <formula>NOT(ISERROR(SEARCH("Válido",M20)))</formula>
    </cfRule>
    <cfRule type="containsText" dxfId="18" priority="5147" operator="containsText" text="Inexequível">
      <formula>NOT(ISERROR(SEARCH("Inexequível",M20)))</formula>
    </cfRule>
    <cfRule type="aboveAverage" dxfId="17" priority="5148" aboveAverage="0"/>
  </conditionalFormatting>
  <conditionalFormatting sqref="N18">
    <cfRule type="containsText" dxfId="16" priority="10" operator="containsText" text="Excessivamente elevado">
      <formula>NOT(ISERROR(SEARCH("Excessivamente elevado",N18)))</formula>
    </cfRule>
  </conditionalFormatting>
  <conditionalFormatting sqref="N28">
    <cfRule type="containsText" dxfId="15" priority="5" operator="containsText" text="Excessivamente elevado">
      <formula>NOT(ISERROR(SEARCH("Excessivamente elevado",N28)))</formula>
    </cfRule>
  </conditionalFormatting>
  <conditionalFormatting sqref="N28">
    <cfRule type="cellIs" dxfId="14" priority="3" operator="lessThan">
      <formula>"K$25"</formula>
    </cfRule>
    <cfRule type="cellIs" dxfId="13" priority="4" operator="greaterThan">
      <formula>"J$25"</formula>
    </cfRule>
  </conditionalFormatting>
  <conditionalFormatting sqref="N28">
    <cfRule type="cellIs" dxfId="12" priority="1" operator="lessThan">
      <formula>"K$25"</formula>
    </cfRule>
    <cfRule type="cellIs" dxfId="11" priority="2" operator="greaterThan">
      <formula>"J&amp;25"</formula>
    </cfRule>
  </conditionalFormatting>
  <conditionalFormatting sqref="N28">
    <cfRule type="containsText" priority="6" operator="containsText" text="Excessivamente elevado">
      <formula>NOT(ISERROR(SEARCH("Excessivamente elevado",N28)))</formula>
    </cfRule>
    <cfRule type="containsText" dxfId="10" priority="7" operator="containsText" text="Válido">
      <formula>NOT(ISERROR(SEARCH("Válido",N28)))</formula>
    </cfRule>
    <cfRule type="containsText" dxfId="9" priority="8" operator="containsText" text="Inexequível">
      <formula>NOT(ISERROR(SEARCH("Inexequível",N28)))</formula>
    </cfRule>
    <cfRule type="aboveAverage" dxfId="8" priority="9" aboveAverage="0"/>
  </conditionalFormatting>
  <pageMargins left="0.23622047244094491" right="0.23622047244094491" top="0.74803149606299213" bottom="0.74803149606299213" header="0.31496062992125984" footer="0.31496062992125984"/>
  <pageSetup paperSize="9" scale="65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012BE-509C-467A-B03B-1422FB3BDE3C}">
  <sheetPr>
    <tabColor theme="7" tint="0.39997558519241921"/>
  </sheetPr>
  <dimension ref="A1:AF30"/>
  <sheetViews>
    <sheetView showGridLines="0" zoomScaleNormal="100" workbookViewId="0">
      <selection activeCell="A23" sqref="A23:P23"/>
    </sheetView>
  </sheetViews>
  <sheetFormatPr defaultColWidth="9.109375" defaultRowHeight="14.4" x14ac:dyDescent="0.3"/>
  <cols>
    <col min="1" max="1" width="4.5546875" style="20" customWidth="1"/>
    <col min="2" max="2" width="23.6640625" customWidth="1"/>
    <col min="3" max="3" width="4.77734375" customWidth="1"/>
    <col min="4" max="4" width="4.21875" style="20" customWidth="1"/>
    <col min="5" max="5" width="26" style="13" customWidth="1"/>
    <col min="6" max="6" width="10.6640625" style="13" customWidth="1"/>
    <col min="7" max="7" width="26.5546875" style="13" customWidth="1"/>
    <col min="8" max="8" width="7.33203125" style="13" customWidth="1"/>
    <col min="9" max="9" width="11" style="13" customWidth="1"/>
    <col min="10" max="10" width="10.5546875" style="13" customWidth="1"/>
    <col min="11" max="12" width="10.109375" style="13" hidden="1" customWidth="1"/>
    <col min="13" max="13" width="14.109375" style="13" customWidth="1"/>
    <col min="14" max="14" width="5.33203125" style="13" customWidth="1"/>
    <col min="15" max="15" width="22.5546875" style="13" customWidth="1"/>
    <col min="16" max="16" width="11.88671875" customWidth="1"/>
    <col min="17" max="17" width="12.109375" customWidth="1"/>
  </cols>
  <sheetData>
    <row r="1" spans="1:31" ht="15" thickBot="1" x14ac:dyDescent="0.35">
      <c r="T1" s="260" t="s">
        <v>79</v>
      </c>
      <c r="U1" s="260"/>
      <c r="V1" s="260"/>
      <c r="W1" s="260"/>
      <c r="X1" s="260"/>
      <c r="Y1" s="260"/>
      <c r="Z1" s="260"/>
      <c r="AA1" s="261"/>
      <c r="AB1" s="261"/>
      <c r="AC1" s="261"/>
      <c r="AD1" s="261"/>
      <c r="AE1" s="261"/>
    </row>
    <row r="2" spans="1:31" ht="15.6" thickTop="1" thickBot="1" x14ac:dyDescent="0.35">
      <c r="A2" s="72" t="s">
        <v>609</v>
      </c>
      <c r="B2" s="29"/>
      <c r="C2" s="29"/>
      <c r="D2" s="29"/>
      <c r="E2"/>
      <c r="F2"/>
      <c r="G2" s="107"/>
      <c r="H2" s="99"/>
      <c r="I2" s="97"/>
      <c r="J2"/>
      <c r="K2"/>
      <c r="L2"/>
      <c r="M2"/>
      <c r="N2"/>
      <c r="O2"/>
      <c r="T2" s="260"/>
      <c r="U2" s="260"/>
      <c r="V2" s="260"/>
      <c r="W2" s="260"/>
      <c r="X2" s="260"/>
      <c r="Y2" s="260"/>
      <c r="Z2" s="260"/>
      <c r="AA2" s="261"/>
      <c r="AB2" s="261"/>
      <c r="AC2" s="261"/>
      <c r="AD2" s="261"/>
      <c r="AE2" s="261"/>
    </row>
    <row r="3" spans="1:31" ht="15" thickTop="1" x14ac:dyDescent="0.3">
      <c r="A3" s="59" t="s">
        <v>5</v>
      </c>
      <c r="B3" s="60"/>
      <c r="C3" s="60"/>
      <c r="D3" s="62"/>
      <c r="E3" s="70">
        <f>AVERAGE(I12:I13)</f>
        <v>142.59</v>
      </c>
      <c r="F3" s="61"/>
      <c r="G3" s="59"/>
      <c r="H3" s="59"/>
      <c r="I3" s="70"/>
      <c r="J3" s="70"/>
      <c r="K3" s="60"/>
      <c r="L3"/>
      <c r="M3"/>
      <c r="N3"/>
      <c r="O3"/>
      <c r="R3" s="20"/>
      <c r="T3" s="261"/>
      <c r="U3" s="262"/>
      <c r="V3" s="261"/>
      <c r="W3" s="261"/>
      <c r="X3" s="261"/>
      <c r="Y3" s="261"/>
      <c r="Z3" s="261"/>
      <c r="AA3" s="261"/>
      <c r="AB3" s="261"/>
      <c r="AC3" s="261"/>
      <c r="AD3" s="261"/>
      <c r="AE3" s="261"/>
    </row>
    <row r="4" spans="1:31" x14ac:dyDescent="0.3">
      <c r="A4" s="59" t="s">
        <v>6</v>
      </c>
      <c r="B4" s="60"/>
      <c r="C4" s="60"/>
      <c r="D4" s="62"/>
      <c r="E4" s="70">
        <f>_xlfn.STDEV.S(I12:I13)</f>
        <v>17.946370106514575</v>
      </c>
      <c r="F4" s="63"/>
      <c r="G4" s="59"/>
      <c r="H4" s="59"/>
      <c r="I4" s="70"/>
      <c r="J4" s="70"/>
      <c r="K4" s="60"/>
      <c r="L4"/>
      <c r="M4"/>
      <c r="N4"/>
      <c r="O4"/>
      <c r="R4" s="20"/>
      <c r="T4" s="265" t="s">
        <v>80</v>
      </c>
      <c r="U4" s="265"/>
      <c r="V4" s="265"/>
      <c r="W4" s="265"/>
      <c r="X4" s="265"/>
      <c r="Y4" s="265"/>
      <c r="Z4" s="265"/>
      <c r="AA4" s="265"/>
      <c r="AB4" s="265"/>
      <c r="AC4" s="261"/>
      <c r="AD4" s="262" t="s">
        <v>81</v>
      </c>
      <c r="AE4" s="261"/>
    </row>
    <row r="5" spans="1:31" x14ac:dyDescent="0.3">
      <c r="A5" s="59" t="s">
        <v>74</v>
      </c>
      <c r="B5" s="60"/>
      <c r="C5" s="60"/>
      <c r="D5" s="62"/>
      <c r="E5" s="71">
        <f>(E4/E3)*100</f>
        <v>12.585994884995145</v>
      </c>
      <c r="F5" s="63"/>
      <c r="G5" s="59"/>
      <c r="H5" s="59"/>
      <c r="I5" s="71"/>
      <c r="J5" s="71"/>
      <c r="K5" s="60"/>
      <c r="L5"/>
      <c r="M5"/>
      <c r="N5"/>
      <c r="O5"/>
      <c r="R5" s="20"/>
      <c r="T5" s="261" t="s">
        <v>82</v>
      </c>
      <c r="U5" s="456" t="s">
        <v>83</v>
      </c>
      <c r="V5" s="456"/>
      <c r="W5" s="456"/>
      <c r="X5" s="456"/>
      <c r="Y5" s="456"/>
      <c r="Z5" s="456"/>
      <c r="AA5" s="456"/>
      <c r="AB5" s="456"/>
      <c r="AC5" s="261"/>
      <c r="AD5" s="264" t="s">
        <v>125</v>
      </c>
      <c r="AE5" s="261"/>
    </row>
    <row r="6" spans="1:31" x14ac:dyDescent="0.3">
      <c r="A6" s="59" t="s">
        <v>7</v>
      </c>
      <c r="B6" s="60"/>
      <c r="C6" s="60"/>
      <c r="D6" s="62"/>
      <c r="E6" s="546" t="str">
        <f>IF(E5&gt;25,"Mediana","Média")</f>
        <v>Média</v>
      </c>
      <c r="F6" s="64"/>
      <c r="G6" s="59"/>
      <c r="H6" s="59"/>
      <c r="I6" s="106"/>
      <c r="J6" s="106"/>
      <c r="K6" s="60"/>
      <c r="L6"/>
      <c r="M6"/>
      <c r="N6"/>
      <c r="O6"/>
      <c r="R6" s="20"/>
      <c r="T6" s="261" t="s">
        <v>84</v>
      </c>
      <c r="U6" s="456" t="s">
        <v>85</v>
      </c>
      <c r="V6" s="456"/>
      <c r="W6" s="456"/>
      <c r="X6" s="456"/>
      <c r="Y6" s="456"/>
      <c r="Z6" s="456"/>
      <c r="AA6" s="456"/>
      <c r="AB6" s="456"/>
      <c r="AC6" s="261"/>
      <c r="AD6" s="264" t="s">
        <v>125</v>
      </c>
      <c r="AE6" s="261"/>
    </row>
    <row r="7" spans="1:31" x14ac:dyDescent="0.3">
      <c r="A7" s="59" t="s">
        <v>8</v>
      </c>
      <c r="B7" s="60"/>
      <c r="C7" s="60"/>
      <c r="D7" s="62"/>
      <c r="E7" s="70">
        <f>MIN(I12:I13)</f>
        <v>129.9</v>
      </c>
      <c r="F7" s="61"/>
      <c r="G7" s="59"/>
      <c r="H7" s="59"/>
      <c r="I7" s="70"/>
      <c r="J7" s="70"/>
      <c r="K7" s="60"/>
      <c r="L7"/>
      <c r="M7"/>
      <c r="N7"/>
      <c r="O7"/>
      <c r="R7" s="20"/>
      <c r="T7" s="261" t="s">
        <v>86</v>
      </c>
      <c r="U7" s="456" t="s">
        <v>87</v>
      </c>
      <c r="V7" s="456"/>
      <c r="W7" s="456"/>
      <c r="X7" s="456"/>
      <c r="Y7" s="456"/>
      <c r="Z7" s="456"/>
      <c r="AA7" s="456"/>
      <c r="AB7" s="456"/>
      <c r="AC7" s="261"/>
      <c r="AD7" s="264" t="s">
        <v>125</v>
      </c>
      <c r="AE7" s="261"/>
    </row>
    <row r="8" spans="1:31" x14ac:dyDescent="0.3">
      <c r="A8" s="59"/>
      <c r="B8" s="60"/>
      <c r="C8" s="60"/>
      <c r="D8" s="62"/>
      <c r="E8" s="65"/>
      <c r="F8" s="65"/>
      <c r="G8" s="66"/>
      <c r="H8" s="66"/>
      <c r="I8" s="50"/>
      <c r="J8" s="50"/>
      <c r="K8" s="50"/>
      <c r="T8" s="261" t="s">
        <v>88</v>
      </c>
      <c r="U8" s="456" t="s">
        <v>89</v>
      </c>
      <c r="V8" s="456"/>
      <c r="W8" s="456"/>
      <c r="X8" s="456"/>
      <c r="Y8" s="456"/>
      <c r="Z8" s="456"/>
      <c r="AA8" s="456"/>
      <c r="AB8" s="456"/>
      <c r="AC8" s="261"/>
      <c r="AD8" s="264" t="s">
        <v>125</v>
      </c>
      <c r="AE8" s="261"/>
    </row>
    <row r="9" spans="1:31" ht="36" customHeight="1" x14ac:dyDescent="0.3">
      <c r="T9" s="261" t="s">
        <v>90</v>
      </c>
      <c r="U9" s="456" t="s">
        <v>156</v>
      </c>
      <c r="V9" s="456"/>
      <c r="W9" s="456"/>
      <c r="X9" s="456"/>
      <c r="Y9" s="456"/>
      <c r="Z9" s="456"/>
      <c r="AA9" s="456"/>
      <c r="AB9" s="456"/>
      <c r="AC9" s="261"/>
      <c r="AD9" s="264" t="s">
        <v>127</v>
      </c>
      <c r="AE9" s="261"/>
    </row>
    <row r="10" spans="1:31" ht="15" customHeight="1" x14ac:dyDescent="0.3">
      <c r="A10" s="844" t="s">
        <v>10</v>
      </c>
      <c r="B10" s="845" t="s">
        <v>11</v>
      </c>
      <c r="C10" s="845" t="s">
        <v>12</v>
      </c>
      <c r="D10" s="845" t="s">
        <v>13</v>
      </c>
      <c r="E10" s="845" t="s">
        <v>30</v>
      </c>
      <c r="F10" s="845" t="s">
        <v>31</v>
      </c>
      <c r="G10" s="845" t="s">
        <v>16</v>
      </c>
      <c r="H10" s="159" t="s">
        <v>17</v>
      </c>
      <c r="I10" s="846" t="s">
        <v>18</v>
      </c>
      <c r="J10" s="846" t="s">
        <v>66</v>
      </c>
      <c r="K10" s="848" t="s">
        <v>32</v>
      </c>
      <c r="L10" s="848" t="s">
        <v>33</v>
      </c>
      <c r="M10" s="849" t="s">
        <v>19</v>
      </c>
      <c r="N10" s="643" t="s">
        <v>119</v>
      </c>
      <c r="O10" s="644"/>
      <c r="P10" s="846" t="s">
        <v>20</v>
      </c>
      <c r="Q10" s="846"/>
      <c r="T10" s="261" t="s">
        <v>92</v>
      </c>
      <c r="U10" s="456" t="s">
        <v>157</v>
      </c>
      <c r="V10" s="456"/>
      <c r="W10" s="456"/>
      <c r="X10" s="456"/>
      <c r="Y10" s="456"/>
      <c r="Z10" s="456"/>
      <c r="AB10" s="456"/>
      <c r="AC10" s="261"/>
      <c r="AD10" s="264" t="s">
        <v>127</v>
      </c>
      <c r="AE10" s="261"/>
    </row>
    <row r="11" spans="1:31" s="6" customFormat="1" x14ac:dyDescent="0.3">
      <c r="A11" s="844"/>
      <c r="B11" s="845"/>
      <c r="C11" s="845"/>
      <c r="D11" s="845"/>
      <c r="E11" s="845"/>
      <c r="F11" s="845"/>
      <c r="G11" s="845"/>
      <c r="H11" s="159"/>
      <c r="I11" s="846"/>
      <c r="J11" s="846"/>
      <c r="K11" s="848"/>
      <c r="L11" s="848"/>
      <c r="M11" s="850"/>
      <c r="N11" s="645"/>
      <c r="O11" s="646"/>
      <c r="P11" s="160" t="s">
        <v>21</v>
      </c>
      <c r="Q11" s="160" t="s">
        <v>22</v>
      </c>
      <c r="T11" s="261" t="s">
        <v>94</v>
      </c>
      <c r="U11" s="456" t="s">
        <v>599</v>
      </c>
      <c r="V11" s="456"/>
      <c r="W11" s="456"/>
      <c r="X11" s="456"/>
      <c r="Y11" s="456"/>
      <c r="AA11" s="456"/>
      <c r="AB11" s="456"/>
      <c r="AC11" s="261"/>
      <c r="AD11" s="264" t="s">
        <v>127</v>
      </c>
      <c r="AE11" s="261"/>
    </row>
    <row r="12" spans="1:31" ht="42.6" customHeight="1" x14ac:dyDescent="0.3">
      <c r="A12" s="621">
        <v>41</v>
      </c>
      <c r="B12" s="735" t="s">
        <v>224</v>
      </c>
      <c r="C12" s="621" t="s">
        <v>12</v>
      </c>
      <c r="D12" s="621">
        <f>10+5+10</f>
        <v>25</v>
      </c>
      <c r="E12" s="38" t="s">
        <v>254</v>
      </c>
      <c r="F12" s="532" t="s">
        <v>26</v>
      </c>
      <c r="G12" s="41" t="s">
        <v>252</v>
      </c>
      <c r="H12" s="38" t="s">
        <v>65</v>
      </c>
      <c r="I12" s="450">
        <v>129.9</v>
      </c>
      <c r="J12" s="663">
        <f>AVERAGE(I12:I22)</f>
        <v>226.00757575757578</v>
      </c>
      <c r="K12" s="87">
        <f>(J12*30%)+J12</f>
        <v>293.80984848484854</v>
      </c>
      <c r="L12" s="87">
        <f>70%*J12</f>
        <v>158.20530303030304</v>
      </c>
      <c r="M12" s="151" t="str">
        <f t="shared" ref="M12:M21" si="0">IF(I12&gt;K$12,"EXCESSIVAMENTE ELEVADO",IF(I12&lt;L$12,"INEXEQUÍVEL","VÁLIDO"))</f>
        <v>INEXEQUÍVEL</v>
      </c>
      <c r="N12" s="202">
        <f>I12/$J$12</f>
        <v>0.57475949451949182</v>
      </c>
      <c r="O12" s="253" t="s">
        <v>468</v>
      </c>
      <c r="P12" s="796">
        <f>TRUNC(AVERAGE(I14:I19),P113)</f>
        <v>205</v>
      </c>
      <c r="Q12" s="847">
        <f>D12*P12</f>
        <v>5125</v>
      </c>
      <c r="T12" s="261" t="s">
        <v>96</v>
      </c>
      <c r="U12" s="456" t="s">
        <v>97</v>
      </c>
      <c r="V12" s="456"/>
      <c r="W12" s="456"/>
      <c r="X12" s="456"/>
      <c r="Y12" s="456"/>
      <c r="Z12" s="456"/>
      <c r="AA12" s="456"/>
      <c r="AB12" s="456"/>
      <c r="AC12" s="261"/>
      <c r="AD12" s="264" t="s">
        <v>125</v>
      </c>
      <c r="AE12" s="261"/>
    </row>
    <row r="13" spans="1:31" ht="53.4" customHeight="1" x14ac:dyDescent="0.3">
      <c r="A13" s="621"/>
      <c r="B13" s="735"/>
      <c r="C13" s="621"/>
      <c r="D13" s="621"/>
      <c r="E13" s="161" t="s">
        <v>582</v>
      </c>
      <c r="F13" s="33" t="s">
        <v>24</v>
      </c>
      <c r="G13" s="47" t="s">
        <v>583</v>
      </c>
      <c r="H13" s="47" t="s">
        <v>65</v>
      </c>
      <c r="I13" s="300">
        <v>155.28</v>
      </c>
      <c r="J13" s="663"/>
      <c r="K13" s="96"/>
      <c r="L13" s="96"/>
      <c r="M13" s="189" t="str">
        <f t="shared" si="0"/>
        <v>INEXEQUÍVEL</v>
      </c>
      <c r="N13" s="202">
        <f>I13/$J$12</f>
        <v>0.68705661515771121</v>
      </c>
      <c r="O13" s="253" t="s">
        <v>468</v>
      </c>
      <c r="P13" s="847"/>
      <c r="Q13" s="847"/>
      <c r="T13" s="261" t="s">
        <v>98</v>
      </c>
      <c r="U13" s="456" t="s">
        <v>99</v>
      </c>
      <c r="V13" s="456"/>
      <c r="W13" s="456"/>
      <c r="X13" s="456"/>
      <c r="Y13" s="456"/>
      <c r="Z13" s="456"/>
      <c r="AA13" s="456"/>
      <c r="AB13" s="456"/>
      <c r="AC13" s="261"/>
      <c r="AD13" s="264" t="s">
        <v>127</v>
      </c>
      <c r="AE13" s="261"/>
    </row>
    <row r="14" spans="1:31" ht="52.2" customHeight="1" x14ac:dyDescent="0.3">
      <c r="A14" s="621"/>
      <c r="B14" s="735"/>
      <c r="C14" s="621"/>
      <c r="D14" s="621"/>
      <c r="E14" s="161" t="s">
        <v>590</v>
      </c>
      <c r="F14" s="33" t="s">
        <v>24</v>
      </c>
      <c r="G14" s="47" t="s">
        <v>591</v>
      </c>
      <c r="H14" s="47" t="s">
        <v>68</v>
      </c>
      <c r="I14" s="35">
        <v>192.47</v>
      </c>
      <c r="J14" s="663"/>
      <c r="K14" s="300"/>
      <c r="L14" s="300"/>
      <c r="M14" s="189" t="str">
        <f t="shared" si="0"/>
        <v>VÁLIDO</v>
      </c>
      <c r="N14" s="202"/>
      <c r="O14" s="253"/>
      <c r="P14" s="847"/>
      <c r="Q14" s="847"/>
      <c r="T14" s="261" t="s">
        <v>100</v>
      </c>
      <c r="U14" s="456" t="s">
        <v>101</v>
      </c>
      <c r="V14" s="456"/>
      <c r="W14" s="456"/>
      <c r="X14" s="456"/>
      <c r="Y14" s="456"/>
      <c r="Z14" s="456"/>
      <c r="AA14" s="456"/>
      <c r="AB14" s="456"/>
      <c r="AC14" s="261"/>
      <c r="AD14" s="264" t="s">
        <v>125</v>
      </c>
      <c r="AE14" s="261"/>
    </row>
    <row r="15" spans="1:31" ht="60.6" customHeight="1" x14ac:dyDescent="0.3">
      <c r="A15" s="621"/>
      <c r="B15" s="735"/>
      <c r="C15" s="621"/>
      <c r="D15" s="621"/>
      <c r="E15" s="161" t="s">
        <v>588</v>
      </c>
      <c r="F15" s="33" t="s">
        <v>24</v>
      </c>
      <c r="G15" s="47" t="s">
        <v>589</v>
      </c>
      <c r="H15" s="47" t="s">
        <v>68</v>
      </c>
      <c r="I15" s="446">
        <v>200</v>
      </c>
      <c r="J15" s="663"/>
      <c r="K15" s="300"/>
      <c r="L15" s="300"/>
      <c r="M15" s="189" t="str">
        <f t="shared" si="0"/>
        <v>VÁLIDO</v>
      </c>
      <c r="N15" s="202"/>
      <c r="O15" s="253"/>
      <c r="P15" s="847"/>
      <c r="Q15" s="847"/>
      <c r="T15" s="261" t="s">
        <v>150</v>
      </c>
      <c r="U15" s="261" t="s">
        <v>151</v>
      </c>
      <c r="V15" s="261"/>
      <c r="W15" s="261"/>
      <c r="X15" s="261"/>
      <c r="Y15" s="261"/>
      <c r="Z15" s="261"/>
      <c r="AA15" s="261"/>
      <c r="AB15" s="261"/>
      <c r="AC15" s="261"/>
      <c r="AD15" s="264" t="s">
        <v>127</v>
      </c>
      <c r="AE15" s="261"/>
    </row>
    <row r="16" spans="1:31" ht="96.6" customHeight="1" x14ac:dyDescent="0.3">
      <c r="A16" s="621"/>
      <c r="B16" s="735"/>
      <c r="C16" s="621"/>
      <c r="D16" s="621"/>
      <c r="E16" s="308" t="s">
        <v>581</v>
      </c>
      <c r="F16" s="507" t="s">
        <v>27</v>
      </c>
      <c r="G16" s="34" t="s">
        <v>276</v>
      </c>
      <c r="H16" s="179" t="s">
        <v>123</v>
      </c>
      <c r="I16" s="446">
        <f>(529.9/3)+29.9</f>
        <v>206.53333333333333</v>
      </c>
      <c r="J16" s="663"/>
      <c r="K16" s="300"/>
      <c r="L16" s="300"/>
      <c r="M16" s="189" t="str">
        <f t="shared" si="0"/>
        <v>VÁLIDO</v>
      </c>
      <c r="N16" s="202"/>
      <c r="O16" s="253"/>
      <c r="P16" s="847"/>
      <c r="Q16" s="847"/>
      <c r="T16" s="841" t="s">
        <v>598</v>
      </c>
      <c r="U16" s="841"/>
      <c r="V16" s="841"/>
      <c r="W16" s="841"/>
      <c r="X16" s="841"/>
      <c r="Y16" s="841"/>
      <c r="Z16" s="841"/>
      <c r="AA16" s="841"/>
      <c r="AB16" s="841"/>
      <c r="AC16" s="841"/>
      <c r="AD16" s="841"/>
      <c r="AE16" s="841"/>
    </row>
    <row r="17" spans="1:32" ht="56.4" customHeight="1" x14ac:dyDescent="0.3">
      <c r="A17" s="621"/>
      <c r="B17" s="735"/>
      <c r="C17" s="621"/>
      <c r="D17" s="621"/>
      <c r="E17" s="36" t="s">
        <v>592</v>
      </c>
      <c r="F17" s="503" t="s">
        <v>9</v>
      </c>
      <c r="G17" s="41" t="s">
        <v>447</v>
      </c>
      <c r="H17" s="38" t="s">
        <v>65</v>
      </c>
      <c r="I17" s="446">
        <v>207</v>
      </c>
      <c r="J17" s="663"/>
      <c r="K17" s="300"/>
      <c r="L17" s="300"/>
      <c r="M17" s="189" t="str">
        <f t="shared" si="0"/>
        <v>VÁLIDO</v>
      </c>
      <c r="N17" s="202"/>
      <c r="O17" s="253"/>
      <c r="P17" s="847"/>
      <c r="Q17" s="847"/>
      <c r="T17" s="536"/>
      <c r="U17" s="537"/>
      <c r="V17" s="537"/>
      <c r="W17" s="537"/>
      <c r="X17" s="537"/>
      <c r="Y17" s="537"/>
      <c r="Z17" s="537"/>
      <c r="AA17" s="537"/>
      <c r="AB17" s="537"/>
      <c r="AC17" s="537"/>
      <c r="AD17" s="537"/>
      <c r="AE17" s="537"/>
    </row>
    <row r="18" spans="1:32" ht="45.6" customHeight="1" x14ac:dyDescent="0.3">
      <c r="A18" s="621"/>
      <c r="B18" s="735"/>
      <c r="C18" s="621"/>
      <c r="D18" s="621"/>
      <c r="E18" s="161" t="s">
        <v>587</v>
      </c>
      <c r="F18" s="33" t="s">
        <v>24</v>
      </c>
      <c r="G18" s="47" t="s">
        <v>586</v>
      </c>
      <c r="H18" s="47" t="s">
        <v>65</v>
      </c>
      <c r="I18" s="446">
        <v>209.9</v>
      </c>
      <c r="J18" s="663"/>
      <c r="K18" s="300"/>
      <c r="L18" s="300"/>
      <c r="M18" s="189" t="str">
        <f t="shared" si="0"/>
        <v>VÁLIDO</v>
      </c>
      <c r="N18" s="202"/>
      <c r="O18" s="253"/>
      <c r="P18" s="847"/>
      <c r="Q18" s="847"/>
      <c r="T18" s="538"/>
      <c r="U18" s="536"/>
      <c r="V18" s="536"/>
      <c r="W18" s="536"/>
      <c r="X18" s="536"/>
      <c r="Y18" s="536"/>
      <c r="Z18" s="536"/>
      <c r="AA18" s="536"/>
      <c r="AB18" s="536"/>
      <c r="AC18" s="536"/>
      <c r="AD18" s="536"/>
      <c r="AE18" s="536"/>
    </row>
    <row r="19" spans="1:32" ht="138" customHeight="1" thickBot="1" x14ac:dyDescent="0.35">
      <c r="A19" s="621"/>
      <c r="B19" s="735"/>
      <c r="C19" s="621"/>
      <c r="D19" s="621"/>
      <c r="E19" s="308" t="s">
        <v>580</v>
      </c>
      <c r="F19" s="507" t="s">
        <v>27</v>
      </c>
      <c r="G19" s="34" t="s">
        <v>233</v>
      </c>
      <c r="H19" s="179" t="s">
        <v>139</v>
      </c>
      <c r="I19" s="446">
        <f>24.9+(194.1)</f>
        <v>219</v>
      </c>
      <c r="J19" s="663"/>
      <c r="K19" s="87"/>
      <c r="L19" s="87"/>
      <c r="M19" s="189" t="str">
        <f>IF(I19&gt;K$12,"EXCESSIVAMENTE ELEVADO",IF(I19&lt;L$12,"INEXEQUÍVEL","VÁLIDO"))</f>
        <v>VÁLIDO</v>
      </c>
      <c r="N19" s="202"/>
      <c r="O19" s="253"/>
      <c r="P19" s="847"/>
      <c r="Q19" s="847"/>
      <c r="T19" s="539"/>
      <c r="U19" s="537"/>
      <c r="V19" s="537"/>
      <c r="W19" s="537"/>
      <c r="X19" s="537"/>
      <c r="Y19" s="537"/>
      <c r="Z19" s="537"/>
      <c r="AA19" s="537"/>
      <c r="AB19" s="537"/>
      <c r="AC19" s="537"/>
      <c r="AD19" s="537"/>
      <c r="AE19" s="537"/>
    </row>
    <row r="20" spans="1:32" ht="67.2" customHeight="1" x14ac:dyDescent="0.3">
      <c r="A20" s="621"/>
      <c r="B20" s="735"/>
      <c r="C20" s="621"/>
      <c r="D20" s="621"/>
      <c r="E20" s="161" t="s">
        <v>584</v>
      </c>
      <c r="F20" s="33" t="s">
        <v>24</v>
      </c>
      <c r="G20" s="47" t="s">
        <v>585</v>
      </c>
      <c r="H20" s="47" t="s">
        <v>65</v>
      </c>
      <c r="I20" s="95">
        <v>296</v>
      </c>
      <c r="J20" s="663"/>
      <c r="K20" s="300"/>
      <c r="L20" s="300"/>
      <c r="M20" s="282" t="str">
        <f>IF(I20&gt;K$12,"EXCESSIVAMENTE ELEVADO",IF(I20&lt;L$12,"INEXEQUÍVEL","VÁLIDO"))</f>
        <v>EXCESSIVAMENTE ELEVADO</v>
      </c>
      <c r="N20" s="202">
        <f>(I20-J12)/J12</f>
        <v>0.30969061106827994</v>
      </c>
      <c r="O20" s="253" t="s">
        <v>120</v>
      </c>
      <c r="P20" s="847"/>
      <c r="Q20" s="847"/>
      <c r="T20" s="842"/>
      <c r="U20" s="842"/>
      <c r="V20" s="842"/>
      <c r="W20" s="842"/>
      <c r="X20" s="842"/>
      <c r="Y20" s="842"/>
      <c r="Z20" s="842"/>
      <c r="AA20" s="842"/>
      <c r="AB20" s="842"/>
      <c r="AC20" s="842"/>
      <c r="AD20" s="842"/>
      <c r="AE20" s="537"/>
    </row>
    <row r="21" spans="1:32" ht="41.4" customHeight="1" x14ac:dyDescent="0.3">
      <c r="A21" s="621"/>
      <c r="B21" s="735"/>
      <c r="C21" s="621"/>
      <c r="D21" s="621"/>
      <c r="E21" s="40" t="s">
        <v>227</v>
      </c>
      <c r="F21" s="45" t="s">
        <v>26</v>
      </c>
      <c r="G21" s="41" t="s">
        <v>228</v>
      </c>
      <c r="H21" s="38" t="s">
        <v>65</v>
      </c>
      <c r="I21" s="35">
        <v>300</v>
      </c>
      <c r="J21" s="663"/>
      <c r="K21" s="300"/>
      <c r="L21" s="300"/>
      <c r="M21" s="282" t="str">
        <f t="shared" si="0"/>
        <v>EXCESSIVAMENTE ELEVADO</v>
      </c>
      <c r="N21" s="202">
        <f>(I21-J12)/J12</f>
        <v>0.32738913283947296</v>
      </c>
      <c r="O21" s="253" t="s">
        <v>120</v>
      </c>
      <c r="P21" s="847"/>
      <c r="Q21" s="847"/>
      <c r="T21" s="843"/>
      <c r="U21" s="843"/>
      <c r="V21" s="843"/>
      <c r="W21" s="843"/>
      <c r="X21" s="843"/>
      <c r="Y21" s="843"/>
      <c r="Z21" s="843"/>
      <c r="AA21" s="843"/>
      <c r="AB21" s="843"/>
      <c r="AC21" s="843"/>
      <c r="AD21" s="843"/>
      <c r="AE21" s="537"/>
      <c r="AF21" s="97"/>
    </row>
    <row r="22" spans="1:32" s="233" customFormat="1" ht="70.95" customHeight="1" thickBot="1" x14ac:dyDescent="0.35">
      <c r="A22" s="621"/>
      <c r="B22" s="735"/>
      <c r="C22" s="621"/>
      <c r="D22" s="621"/>
      <c r="E22" s="161" t="s">
        <v>593</v>
      </c>
      <c r="F22" s="33" t="s">
        <v>24</v>
      </c>
      <c r="G22" s="47" t="s">
        <v>594</v>
      </c>
      <c r="H22" s="47" t="s">
        <v>68</v>
      </c>
      <c r="I22" s="35">
        <v>370</v>
      </c>
      <c r="J22" s="663"/>
      <c r="K22" s="232"/>
      <c r="L22" s="232"/>
      <c r="M22" s="282" t="str">
        <f>IF(I22&gt;K$12,"EXCESSIVAMENTE ELEVADO",IF(I22&lt;L$12,"INEXEQUÍVEL","VÁLIDO"))</f>
        <v>EXCESSIVAMENTE ELEVADO</v>
      </c>
      <c r="N22" s="202">
        <f>(I22-J12)/J12</f>
        <v>0.63711326383534994</v>
      </c>
      <c r="O22" s="253" t="s">
        <v>120</v>
      </c>
      <c r="P22" s="847"/>
      <c r="Q22" s="847"/>
      <c r="T22" s="842"/>
      <c r="U22" s="842"/>
      <c r="V22" s="842"/>
      <c r="W22" s="842"/>
      <c r="X22" s="842"/>
      <c r="Y22" s="842"/>
      <c r="Z22" s="842"/>
      <c r="AA22" s="842"/>
      <c r="AB22" s="842"/>
      <c r="AC22" s="842"/>
      <c r="AD22" s="842"/>
      <c r="AE22" s="537"/>
      <c r="AF22" s="540"/>
    </row>
    <row r="23" spans="1:32" ht="27" customHeight="1" thickBot="1" x14ac:dyDescent="0.35">
      <c r="A23" s="653" t="s">
        <v>595</v>
      </c>
      <c r="B23" s="654"/>
      <c r="C23" s="654"/>
      <c r="D23" s="654"/>
      <c r="E23" s="654"/>
      <c r="F23" s="654"/>
      <c r="G23" s="654"/>
      <c r="H23" s="654"/>
      <c r="I23" s="654"/>
      <c r="J23" s="654"/>
      <c r="K23" s="654"/>
      <c r="L23" s="654"/>
      <c r="M23" s="654"/>
      <c r="N23" s="654"/>
      <c r="O23" s="654"/>
      <c r="P23" s="836"/>
      <c r="Q23" s="174">
        <f>SUM(Q9:Q22)</f>
        <v>5125</v>
      </c>
      <c r="T23" s="843"/>
      <c r="U23" s="843"/>
      <c r="V23" s="843"/>
      <c r="W23" s="843"/>
      <c r="X23" s="843"/>
      <c r="Y23" s="843"/>
      <c r="Z23" s="843"/>
      <c r="AA23" s="843"/>
      <c r="AB23" s="843"/>
      <c r="AC23" s="843"/>
      <c r="AD23" s="843"/>
      <c r="AE23" s="537"/>
      <c r="AF23" s="97"/>
    </row>
    <row r="27" spans="1:32" s="13" customFormat="1" x14ac:dyDescent="0.3">
      <c r="A27" s="62"/>
      <c r="B27" s="80"/>
      <c r="C27" s="62"/>
      <c r="D27" s="62"/>
      <c r="E27" s="82"/>
      <c r="F27" s="82"/>
      <c r="G27" s="81"/>
      <c r="H27" s="81"/>
      <c r="I27" s="62"/>
      <c r="J27" s="62"/>
      <c r="P27"/>
      <c r="Q27"/>
      <c r="R27"/>
    </row>
    <row r="28" spans="1:32" s="13" customFormat="1" x14ac:dyDescent="0.3">
      <c r="A28" s="62"/>
      <c r="B28" s="80"/>
      <c r="C28" s="62"/>
      <c r="D28" s="62"/>
      <c r="E28" s="82"/>
      <c r="F28" s="82"/>
      <c r="G28" s="81"/>
      <c r="H28" s="81"/>
      <c r="I28" s="62"/>
      <c r="J28" s="62"/>
      <c r="P28"/>
      <c r="Q28"/>
      <c r="R28"/>
    </row>
    <row r="29" spans="1:32" s="13" customFormat="1" x14ac:dyDescent="0.3">
      <c r="A29" s="62"/>
      <c r="B29" s="80"/>
      <c r="C29" s="62"/>
      <c r="D29" s="62"/>
      <c r="E29" s="82"/>
      <c r="F29" s="82"/>
      <c r="G29" s="81"/>
      <c r="H29" s="81"/>
      <c r="I29" s="62"/>
      <c r="J29" s="62"/>
      <c r="P29"/>
      <c r="Q29"/>
      <c r="R29"/>
    </row>
    <row r="30" spans="1:32" s="13" customFormat="1" x14ac:dyDescent="0.3">
      <c r="A30" s="62"/>
      <c r="B30" s="80"/>
      <c r="C30" s="62"/>
      <c r="D30" s="62"/>
      <c r="E30" s="82"/>
      <c r="F30" s="82"/>
      <c r="G30" s="81"/>
      <c r="H30" s="81"/>
      <c r="I30" s="62"/>
      <c r="J30" s="62"/>
      <c r="P30"/>
      <c r="Q30"/>
      <c r="R30"/>
    </row>
  </sheetData>
  <mergeCells count="27">
    <mergeCell ref="P10:Q10"/>
    <mergeCell ref="Q12:Q22"/>
    <mergeCell ref="F10:F11"/>
    <mergeCell ref="G10:G11"/>
    <mergeCell ref="I10:I11"/>
    <mergeCell ref="K10:K11"/>
    <mergeCell ref="L10:L11"/>
    <mergeCell ref="M10:M11"/>
    <mergeCell ref="N10:O11"/>
    <mergeCell ref="P12:P22"/>
    <mergeCell ref="J10:J11"/>
    <mergeCell ref="J12:J22"/>
    <mergeCell ref="A10:A11"/>
    <mergeCell ref="B10:B11"/>
    <mergeCell ref="C10:C11"/>
    <mergeCell ref="D10:D11"/>
    <mergeCell ref="E10:E11"/>
    <mergeCell ref="T16:AE16"/>
    <mergeCell ref="A23:P23"/>
    <mergeCell ref="T20:AD20"/>
    <mergeCell ref="T21:AD21"/>
    <mergeCell ref="T22:AD22"/>
    <mergeCell ref="T23:AD23"/>
    <mergeCell ref="A12:A22"/>
    <mergeCell ref="B12:B22"/>
    <mergeCell ref="C12:C22"/>
    <mergeCell ref="D12:D22"/>
  </mergeCells>
  <conditionalFormatting sqref="M10:N10 M11 M12:N22">
    <cfRule type="containsText" dxfId="7" priority="6" operator="containsText" text="Excessivamente elevado">
      <formula>NOT(ISERROR(SEARCH("Excessivamente elevado",M10)))</formula>
    </cfRule>
  </conditionalFormatting>
  <conditionalFormatting sqref="M12:N22">
    <cfRule type="cellIs" dxfId="6" priority="4" operator="lessThan">
      <formula>"K$25"</formula>
    </cfRule>
    <cfRule type="cellIs" dxfId="5" priority="5" operator="greaterThan">
      <formula>"J$25"</formula>
    </cfRule>
  </conditionalFormatting>
  <conditionalFormatting sqref="M12:N22">
    <cfRule type="cellIs" dxfId="4" priority="2" operator="lessThan">
      <formula>"K$25"</formula>
    </cfRule>
    <cfRule type="cellIs" dxfId="3" priority="3" operator="greaterThan">
      <formula>"J&amp;25"</formula>
    </cfRule>
  </conditionalFormatting>
  <conditionalFormatting sqref="M12:N22">
    <cfRule type="containsText" priority="5173" operator="containsText" text="Excessivamente elevado">
      <formula>NOT(ISERROR(SEARCH("Excessivamente elevado",M12)))</formula>
    </cfRule>
    <cfRule type="containsText" dxfId="2" priority="5174" operator="containsText" text="Válido">
      <formula>NOT(ISERROR(SEARCH("Válido",M12)))</formula>
    </cfRule>
    <cfRule type="containsText" dxfId="1" priority="5175" operator="containsText" text="Inexequível">
      <formula>NOT(ISERROR(SEARCH("Inexequível",M12)))</formula>
    </cfRule>
    <cfRule type="aboveAverage" dxfId="0" priority="5176" aboveAverage="0"/>
  </conditionalFormatting>
  <pageMargins left="0.23622047244094491" right="0.23622047244094491" top="0.74803149606299213" bottom="0.74803149606299213" header="0.31496062992125984" footer="0.31496062992125984"/>
  <pageSetup paperSize="9" scale="6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1">
    <tabColor theme="8" tint="-0.249977111117893"/>
    <pageSetUpPr fitToPage="1"/>
  </sheetPr>
  <dimension ref="A1:N23"/>
  <sheetViews>
    <sheetView tabSelected="1" workbookViewId="0">
      <pane ySplit="2" topLeftCell="A3" activePane="bottomLeft" state="frozen"/>
      <selection pane="bottomLeft" activeCell="A19" sqref="A19:N19"/>
    </sheetView>
  </sheetViews>
  <sheetFormatPr defaultRowHeight="14.4" x14ac:dyDescent="0.3"/>
  <cols>
    <col min="1" max="1" width="12.6640625" style="23" customWidth="1"/>
    <col min="2" max="2" width="17.33203125" style="24" customWidth="1"/>
    <col min="3" max="3" width="20.109375" style="24" customWidth="1"/>
    <col min="4" max="4" width="18.44140625" customWidth="1"/>
  </cols>
  <sheetData>
    <row r="1" spans="1:4" x14ac:dyDescent="0.3">
      <c r="A1"/>
      <c r="B1"/>
      <c r="C1"/>
    </row>
    <row r="2" spans="1:4" x14ac:dyDescent="0.3">
      <c r="A2"/>
      <c r="B2" s="229" t="s">
        <v>60</v>
      </c>
      <c r="C2" s="229"/>
      <c r="D2" s="225"/>
    </row>
    <row r="3" spans="1:4" x14ac:dyDescent="0.3">
      <c r="B3" s="27" t="s">
        <v>61</v>
      </c>
      <c r="C3" s="27" t="s">
        <v>62</v>
      </c>
      <c r="D3" s="226"/>
    </row>
    <row r="4" spans="1:4" x14ac:dyDescent="0.3">
      <c r="B4" s="22" t="s">
        <v>63</v>
      </c>
      <c r="C4" s="231">
        <f>'Grupo 1 '!Q151</f>
        <v>10536.5</v>
      </c>
      <c r="D4" s="227"/>
    </row>
    <row r="5" spans="1:4" x14ac:dyDescent="0.3">
      <c r="B5" s="22" t="s">
        <v>64</v>
      </c>
      <c r="C5" s="224">
        <f>'Grupo 2'!Q64</f>
        <v>27463.800000000003</v>
      </c>
      <c r="D5" s="227"/>
    </row>
    <row r="6" spans="1:4" x14ac:dyDescent="0.3">
      <c r="B6" s="22" t="s">
        <v>146</v>
      </c>
      <c r="C6" s="224">
        <f>'Grupo 3 '!Q115</f>
        <v>19544.55</v>
      </c>
      <c r="D6" s="227"/>
    </row>
    <row r="7" spans="1:4" x14ac:dyDescent="0.3">
      <c r="B7" s="22" t="s">
        <v>147</v>
      </c>
      <c r="C7" s="224">
        <f>'Grupo 4 '!Q42</f>
        <v>10750</v>
      </c>
      <c r="D7" s="227"/>
    </row>
    <row r="8" spans="1:4" x14ac:dyDescent="0.3">
      <c r="B8" s="22" t="s">
        <v>148</v>
      </c>
      <c r="C8" s="224">
        <f>'Grupo 5'!Q86</f>
        <v>21416.159999999996</v>
      </c>
      <c r="D8" s="227"/>
    </row>
    <row r="9" spans="1:4" x14ac:dyDescent="0.3">
      <c r="B9" s="22" t="s">
        <v>168</v>
      </c>
      <c r="C9" s="224">
        <f>'ITEM 35 - Resma papel'!P27</f>
        <v>40292</v>
      </c>
      <c r="D9" s="227"/>
    </row>
    <row r="10" spans="1:4" x14ac:dyDescent="0.3">
      <c r="B10" s="22" t="s">
        <v>169</v>
      </c>
      <c r="C10" s="224">
        <f>'ITEM 36- Tesoura'!Q29</f>
        <v>1600</v>
      </c>
      <c r="D10" s="227"/>
    </row>
    <row r="11" spans="1:4" x14ac:dyDescent="0.3">
      <c r="B11" s="22" t="s">
        <v>170</v>
      </c>
      <c r="C11" s="224">
        <f>'ITEM 37'!Q28</f>
        <v>692.5</v>
      </c>
      <c r="D11" s="227"/>
    </row>
    <row r="12" spans="1:4" x14ac:dyDescent="0.3">
      <c r="B12" s="22" t="s">
        <v>171</v>
      </c>
      <c r="C12" s="224">
        <f>'ITEM 38'!Q28</f>
        <v>1934.1</v>
      </c>
      <c r="D12" s="227"/>
    </row>
    <row r="13" spans="1:4" x14ac:dyDescent="0.3">
      <c r="B13" s="22" t="s">
        <v>172</v>
      </c>
      <c r="C13" s="224">
        <f>'ITEM 39'!Q33</f>
        <v>1299</v>
      </c>
      <c r="D13" s="227"/>
    </row>
    <row r="14" spans="1:4" x14ac:dyDescent="0.3">
      <c r="B14" s="22" t="s">
        <v>173</v>
      </c>
      <c r="C14" s="224">
        <f>'ITEM 40'!Q29</f>
        <v>13091</v>
      </c>
      <c r="D14" s="227"/>
    </row>
    <row r="15" spans="1:4" x14ac:dyDescent="0.3">
      <c r="B15" s="22" t="s">
        <v>174</v>
      </c>
      <c r="C15" s="224">
        <f>'ITEM 41'!Q23</f>
        <v>5125</v>
      </c>
      <c r="D15" s="227"/>
    </row>
    <row r="16" spans="1:4" ht="23.4" customHeight="1" x14ac:dyDescent="0.3">
      <c r="B16" s="230" t="s">
        <v>175</v>
      </c>
      <c r="C16" s="26">
        <f>SUM(C4:C15)</f>
        <v>153744.61000000002</v>
      </c>
      <c r="D16" s="228"/>
    </row>
    <row r="17" spans="1:14" ht="18.600000000000001" customHeight="1" x14ac:dyDescent="0.3"/>
    <row r="18" spans="1:14" ht="16.95" customHeight="1" x14ac:dyDescent="0.3"/>
    <row r="19" spans="1:14" ht="142.19999999999999" customHeight="1" x14ac:dyDescent="0.3">
      <c r="A19" s="851" t="s">
        <v>639</v>
      </c>
      <c r="B19" s="852"/>
      <c r="C19" s="852"/>
      <c r="D19" s="852"/>
      <c r="E19" s="852"/>
      <c r="F19" s="852"/>
      <c r="G19" s="852"/>
      <c r="H19" s="852"/>
      <c r="I19" s="852"/>
      <c r="J19" s="852"/>
      <c r="K19" s="852"/>
      <c r="L19" s="852"/>
      <c r="M19" s="852"/>
      <c r="N19" s="853"/>
    </row>
    <row r="21" spans="1:14" x14ac:dyDescent="0.3">
      <c r="D21" s="854" t="s">
        <v>597</v>
      </c>
      <c r="E21" s="854"/>
      <c r="F21" s="854"/>
    </row>
    <row r="22" spans="1:14" x14ac:dyDescent="0.3">
      <c r="D22" s="854" t="s">
        <v>149</v>
      </c>
      <c r="E22" s="854"/>
      <c r="F22" s="854"/>
    </row>
    <row r="23" spans="1:14" ht="27" customHeight="1" x14ac:dyDescent="0.3">
      <c r="D23" s="855" t="s">
        <v>596</v>
      </c>
      <c r="E23" s="855"/>
      <c r="F23" s="855"/>
      <c r="G23" s="257"/>
    </row>
  </sheetData>
  <mergeCells count="4">
    <mergeCell ref="A19:N19"/>
    <mergeCell ref="D21:F21"/>
    <mergeCell ref="D22:F22"/>
    <mergeCell ref="D23:F23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86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0">
    <tabColor rgb="FF00B0F0"/>
  </sheetPr>
  <dimension ref="A1:I6"/>
  <sheetViews>
    <sheetView showGridLines="0" workbookViewId="0">
      <pane ySplit="2" topLeftCell="A3" activePane="bottomLeft" state="frozen"/>
      <selection pane="bottomLeft" sqref="A1:H1"/>
    </sheetView>
  </sheetViews>
  <sheetFormatPr defaultRowHeight="14.4" x14ac:dyDescent="0.3"/>
  <cols>
    <col min="3" max="3" width="44.33203125" customWidth="1"/>
    <col min="6" max="6" width="10" bestFit="1" customWidth="1"/>
    <col min="7" max="7" width="13.33203125" bestFit="1" customWidth="1"/>
    <col min="8" max="8" width="29" customWidth="1"/>
    <col min="9" max="9" width="255.6640625" hidden="1" customWidth="1"/>
  </cols>
  <sheetData>
    <row r="1" spans="1:9" ht="41.25" customHeight="1" x14ac:dyDescent="0.3">
      <c r="A1" s="856" t="s">
        <v>44</v>
      </c>
      <c r="B1" s="857"/>
      <c r="C1" s="857"/>
      <c r="D1" s="857"/>
      <c r="E1" s="857"/>
      <c r="F1" s="857"/>
      <c r="G1" s="857"/>
      <c r="H1" s="857"/>
    </row>
    <row r="2" spans="1:9" s="6" customFormat="1" ht="28.8" x14ac:dyDescent="0.3">
      <c r="A2" s="9" t="s">
        <v>10</v>
      </c>
      <c r="B2" s="9" t="s">
        <v>45</v>
      </c>
      <c r="C2" s="11" t="s">
        <v>46</v>
      </c>
      <c r="D2" s="10" t="s">
        <v>47</v>
      </c>
      <c r="E2" s="10" t="s">
        <v>48</v>
      </c>
      <c r="F2" s="12" t="s">
        <v>18</v>
      </c>
      <c r="G2" s="12" t="s">
        <v>49</v>
      </c>
      <c r="H2" s="9" t="s">
        <v>50</v>
      </c>
      <c r="I2" s="2" t="s">
        <v>51</v>
      </c>
    </row>
    <row r="3" spans="1:9" ht="129.6" x14ac:dyDescent="0.3">
      <c r="A3" s="8">
        <v>122</v>
      </c>
      <c r="B3" s="7">
        <v>4016</v>
      </c>
      <c r="C3" s="21" t="s">
        <v>52</v>
      </c>
      <c r="D3" s="18" t="s">
        <v>53</v>
      </c>
      <c r="E3" s="5">
        <v>20</v>
      </c>
      <c r="F3" s="16">
        <v>27.49</v>
      </c>
      <c r="G3" s="14">
        <f>F3*E3</f>
        <v>549.79999999999995</v>
      </c>
      <c r="H3" s="4"/>
      <c r="I3" s="3"/>
    </row>
    <row r="4" spans="1:9" ht="115.2" x14ac:dyDescent="0.3">
      <c r="A4" s="8">
        <v>123</v>
      </c>
      <c r="B4" s="7"/>
      <c r="C4" s="21" t="s">
        <v>54</v>
      </c>
      <c r="D4" s="18" t="s">
        <v>55</v>
      </c>
      <c r="E4" s="1">
        <v>1</v>
      </c>
      <c r="F4" s="16">
        <v>194.93</v>
      </c>
      <c r="G4" s="15">
        <f>F4*E4</f>
        <v>194.93</v>
      </c>
      <c r="H4" s="19"/>
      <c r="I4" s="3" t="s">
        <v>56</v>
      </c>
    </row>
    <row r="5" spans="1:9" ht="100.8" x14ac:dyDescent="0.3">
      <c r="A5" s="8">
        <v>124</v>
      </c>
      <c r="B5" s="7"/>
      <c r="C5" s="21" t="s">
        <v>57</v>
      </c>
      <c r="D5" s="18" t="s">
        <v>58</v>
      </c>
      <c r="E5" s="1">
        <v>2</v>
      </c>
      <c r="F5" s="16">
        <v>116.59</v>
      </c>
      <c r="G5" s="15">
        <f>F5*E5</f>
        <v>233.18</v>
      </c>
      <c r="H5" s="19"/>
      <c r="I5" s="3" t="s">
        <v>59</v>
      </c>
    </row>
    <row r="6" spans="1:9" x14ac:dyDescent="0.3">
      <c r="C6" s="858" t="s">
        <v>28</v>
      </c>
      <c r="D6" s="858"/>
      <c r="E6" s="858"/>
      <c r="F6" s="858"/>
      <c r="G6" s="17">
        <f>SUM(G3:G5)</f>
        <v>977.91000000000008</v>
      </c>
    </row>
  </sheetData>
  <mergeCells count="2">
    <mergeCell ref="A1:H1"/>
    <mergeCell ref="C6:F6"/>
  </mergeCells>
  <hyperlinks>
    <hyperlink ref="I4" r:id="rId1" xr:uid="{00000000-0004-0000-0900-000000000000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4C6AC-53FC-4DA0-9015-64A23909A5F1}">
  <sheetPr>
    <tabColor theme="7" tint="0.39997558519241921"/>
  </sheetPr>
  <dimension ref="A1:AD65"/>
  <sheetViews>
    <sheetView showGridLines="0" zoomScaleNormal="100" workbookViewId="0">
      <selection activeCell="Y63" sqref="Y63"/>
    </sheetView>
  </sheetViews>
  <sheetFormatPr defaultColWidth="9.109375" defaultRowHeight="14.4" x14ac:dyDescent="0.3"/>
  <cols>
    <col min="1" max="1" width="4.5546875" style="20" customWidth="1"/>
    <col min="2" max="2" width="23.6640625" customWidth="1"/>
    <col min="3" max="3" width="6.33203125" customWidth="1"/>
    <col min="4" max="4" width="5.33203125" style="20" customWidth="1"/>
    <col min="5" max="5" width="26.88671875" style="13" customWidth="1"/>
    <col min="6" max="6" width="12.44140625" style="13" customWidth="1"/>
    <col min="7" max="7" width="26.5546875" style="13" customWidth="1"/>
    <col min="8" max="8" width="6.5546875" style="13" customWidth="1"/>
    <col min="9" max="9" width="16" style="13" customWidth="1"/>
    <col min="10" max="10" width="9.5546875" style="13" customWidth="1"/>
    <col min="11" max="11" width="12.44140625" style="13" customWidth="1"/>
    <col min="12" max="12" width="9.33203125" style="13" customWidth="1"/>
    <col min="13" max="13" width="13.109375" style="13" customWidth="1"/>
    <col min="14" max="14" width="7.77734375" style="13" customWidth="1"/>
    <col min="15" max="15" width="22.5546875" style="13" customWidth="1"/>
    <col min="16" max="16" width="12" customWidth="1"/>
    <col min="17" max="17" width="13.33203125" customWidth="1"/>
    <col min="19" max="19" width="13.44140625" customWidth="1"/>
    <col min="22" max="22" width="12.5546875" bestFit="1" customWidth="1"/>
    <col min="25" max="25" width="10.5546875" bestFit="1" customWidth="1"/>
  </cols>
  <sheetData>
    <row r="1" spans="1:30" ht="18" thickBot="1" x14ac:dyDescent="0.4">
      <c r="A1" s="714" t="s">
        <v>608</v>
      </c>
      <c r="B1" s="714"/>
      <c r="C1" s="714"/>
      <c r="D1" s="714"/>
      <c r="S1" s="114" t="s">
        <v>79</v>
      </c>
      <c r="T1" s="114"/>
      <c r="U1" s="114"/>
      <c r="V1" s="114"/>
      <c r="W1" s="114"/>
      <c r="X1" s="114"/>
      <c r="Y1" s="114"/>
      <c r="Z1" s="115"/>
      <c r="AA1" s="115"/>
      <c r="AB1" s="115"/>
      <c r="AC1" s="115"/>
      <c r="AD1" s="115"/>
    </row>
    <row r="2" spans="1:30" ht="15.6" thickTop="1" thickBot="1" x14ac:dyDescent="0.35">
      <c r="M2" s="72" t="s">
        <v>209</v>
      </c>
      <c r="N2" s="273"/>
      <c r="O2"/>
      <c r="S2" s="114"/>
      <c r="T2" s="114"/>
      <c r="U2" s="114"/>
      <c r="V2" s="114"/>
      <c r="W2" s="114"/>
      <c r="X2" s="114"/>
      <c r="Y2" s="114"/>
      <c r="Z2" s="115"/>
      <c r="AA2" s="115"/>
      <c r="AB2" s="115"/>
      <c r="AC2" s="115"/>
      <c r="AD2" s="115"/>
    </row>
    <row r="3" spans="1:30" ht="15" thickTop="1" x14ac:dyDescent="0.3">
      <c r="A3" s="72" t="s">
        <v>34</v>
      </c>
      <c r="B3" s="29"/>
      <c r="C3" s="29"/>
      <c r="D3" s="29"/>
      <c r="E3"/>
      <c r="F3"/>
      <c r="G3" s="72" t="s">
        <v>35</v>
      </c>
      <c r="H3" s="273"/>
      <c r="I3"/>
      <c r="J3"/>
      <c r="K3"/>
      <c r="L3"/>
      <c r="M3" s="59" t="s">
        <v>5</v>
      </c>
      <c r="N3" s="67"/>
      <c r="O3" s="70">
        <f>AVERAGE($I52:$I57)</f>
        <v>10.344083333333334</v>
      </c>
      <c r="S3" s="291" t="s">
        <v>80</v>
      </c>
      <c r="T3" s="291"/>
      <c r="U3" s="291"/>
      <c r="V3" s="291"/>
      <c r="W3" s="291"/>
      <c r="X3" s="291"/>
      <c r="Y3" s="291"/>
      <c r="Z3" s="291"/>
      <c r="AA3" s="291"/>
      <c r="AB3" s="115"/>
      <c r="AC3" s="113" t="s">
        <v>81</v>
      </c>
      <c r="AD3" s="115"/>
    </row>
    <row r="4" spans="1:30" x14ac:dyDescent="0.3">
      <c r="A4" s="59" t="s">
        <v>5</v>
      </c>
      <c r="B4" s="60"/>
      <c r="C4" s="60"/>
      <c r="D4" s="62"/>
      <c r="E4" s="70">
        <f>AVERAGE(I21:I26)</f>
        <v>22.591999999999999</v>
      </c>
      <c r="F4" s="61"/>
      <c r="G4" s="59" t="s">
        <v>5</v>
      </c>
      <c r="H4" s="62"/>
      <c r="I4" s="70">
        <f>AVERAGE(I35:I43)</f>
        <v>39.704333333333338</v>
      </c>
      <c r="J4" s="70"/>
      <c r="K4" s="60"/>
      <c r="L4"/>
      <c r="M4" s="59" t="s">
        <v>6</v>
      </c>
      <c r="N4" s="68"/>
      <c r="O4" s="70">
        <f>_xlfn.STDEV.S($I52:$I57)</f>
        <v>3.7685267733779808</v>
      </c>
      <c r="R4" s="20"/>
      <c r="S4" s="115" t="s">
        <v>82</v>
      </c>
      <c r="T4" s="290" t="s">
        <v>83</v>
      </c>
      <c r="U4" s="290"/>
      <c r="V4" s="290"/>
      <c r="W4" s="290"/>
      <c r="X4" s="290"/>
      <c r="Y4" s="290"/>
      <c r="Z4" s="290"/>
      <c r="AA4" s="290"/>
      <c r="AB4" s="115"/>
      <c r="AC4" s="116" t="s">
        <v>125</v>
      </c>
      <c r="AD4" s="115"/>
    </row>
    <row r="5" spans="1:30" x14ac:dyDescent="0.3">
      <c r="A5" s="59" t="s">
        <v>6</v>
      </c>
      <c r="B5" s="60"/>
      <c r="C5" s="60"/>
      <c r="D5" s="62"/>
      <c r="E5" s="70">
        <f>_xlfn.STDEV.S(I21:I26)</f>
        <v>5.7110470843795342</v>
      </c>
      <c r="F5" s="63"/>
      <c r="G5" s="59" t="s">
        <v>6</v>
      </c>
      <c r="H5" s="62"/>
      <c r="I5" s="70">
        <f>_xlfn.STDEV.S(I35:I43)</f>
        <v>10.172901822980471</v>
      </c>
      <c r="J5" s="70"/>
      <c r="K5" s="60"/>
      <c r="L5"/>
      <c r="M5" s="59" t="s">
        <v>29</v>
      </c>
      <c r="N5" s="68"/>
      <c r="O5" s="71">
        <f>(O4/O3)*100</f>
        <v>36.431713202020291</v>
      </c>
      <c r="R5" s="20"/>
      <c r="S5" s="115" t="s">
        <v>84</v>
      </c>
      <c r="T5" s="290" t="s">
        <v>85</v>
      </c>
      <c r="U5" s="290"/>
      <c r="V5" s="290"/>
      <c r="W5" s="290"/>
      <c r="X5" s="290"/>
      <c r="Y5" s="290"/>
      <c r="Z5" s="290"/>
      <c r="AA5" s="290"/>
      <c r="AB5" s="115"/>
      <c r="AC5" s="116" t="s">
        <v>125</v>
      </c>
      <c r="AD5" s="115"/>
    </row>
    <row r="6" spans="1:30" x14ac:dyDescent="0.3">
      <c r="A6" s="59" t="s">
        <v>29</v>
      </c>
      <c r="B6" s="60"/>
      <c r="C6" s="60"/>
      <c r="D6" s="62"/>
      <c r="E6" s="71">
        <f>(E5/E4)*100</f>
        <v>25.279068185107711</v>
      </c>
      <c r="F6" s="63"/>
      <c r="G6" s="59" t="s">
        <v>29</v>
      </c>
      <c r="H6" s="62"/>
      <c r="I6" s="71">
        <f>(I5/I4)*100</f>
        <v>25.62164118857002</v>
      </c>
      <c r="J6" s="71"/>
      <c r="K6" s="60"/>
      <c r="L6"/>
      <c r="M6" s="59" t="s">
        <v>7</v>
      </c>
      <c r="N6" s="69"/>
      <c r="O6" s="131" t="str">
        <f>IF(O5&gt;25,"Mediana","Média")</f>
        <v>Mediana</v>
      </c>
      <c r="R6" s="20"/>
      <c r="S6" s="115" t="s">
        <v>86</v>
      </c>
      <c r="T6" s="290" t="s">
        <v>87</v>
      </c>
      <c r="U6" s="290"/>
      <c r="V6" s="290"/>
      <c r="W6" s="290"/>
      <c r="X6" s="290"/>
      <c r="Y6" s="290"/>
      <c r="Z6" s="290"/>
      <c r="AA6" s="290"/>
      <c r="AB6" s="115"/>
      <c r="AC6" s="116" t="s">
        <v>125</v>
      </c>
      <c r="AD6" s="115"/>
    </row>
    <row r="7" spans="1:30" x14ac:dyDescent="0.3">
      <c r="A7" s="59" t="s">
        <v>7</v>
      </c>
      <c r="B7" s="60"/>
      <c r="C7" s="60"/>
      <c r="D7" s="62"/>
      <c r="E7" s="131" t="str">
        <f>IF(E6&gt;25,"Mediana","Média")</f>
        <v>Mediana</v>
      </c>
      <c r="F7" s="64"/>
      <c r="G7" s="59" t="s">
        <v>7</v>
      </c>
      <c r="H7" s="62"/>
      <c r="I7" s="131" t="str">
        <f>IF(I6&gt;25,"Mediana","Média")</f>
        <v>Mediana</v>
      </c>
      <c r="J7" s="106"/>
      <c r="K7" s="60"/>
      <c r="L7"/>
      <c r="M7" s="59" t="s">
        <v>8</v>
      </c>
      <c r="N7" s="67"/>
      <c r="O7" s="70">
        <f>MIN($I52:$I57)</f>
        <v>4.5</v>
      </c>
      <c r="R7" s="20"/>
      <c r="S7" s="115" t="s">
        <v>88</v>
      </c>
      <c r="T7" s="290" t="s">
        <v>89</v>
      </c>
      <c r="U7" s="290"/>
      <c r="V7" s="290"/>
      <c r="W7" s="290"/>
      <c r="X7" s="290"/>
      <c r="Y7" s="290"/>
      <c r="Z7" s="290"/>
      <c r="AA7" s="290"/>
      <c r="AB7" s="115"/>
      <c r="AC7" s="116" t="s">
        <v>125</v>
      </c>
      <c r="AD7" s="115"/>
    </row>
    <row r="8" spans="1:30" x14ac:dyDescent="0.3">
      <c r="A8" s="59" t="s">
        <v>8</v>
      </c>
      <c r="B8" s="60"/>
      <c r="C8" s="60"/>
      <c r="D8" s="62"/>
      <c r="E8" s="70">
        <f>MIN($I21:$I26)</f>
        <v>15.83</v>
      </c>
      <c r="F8" s="61"/>
      <c r="G8" s="59" t="s">
        <v>8</v>
      </c>
      <c r="H8" s="62"/>
      <c r="I8" s="70">
        <f>MIN(I35:I43)</f>
        <v>25.6</v>
      </c>
      <c r="J8" s="102"/>
      <c r="K8" s="60"/>
      <c r="L8"/>
      <c r="M8"/>
      <c r="N8"/>
      <c r="O8"/>
      <c r="R8" s="20"/>
      <c r="S8" s="115" t="s">
        <v>90</v>
      </c>
      <c r="T8" s="290" t="s">
        <v>91</v>
      </c>
      <c r="U8" s="290"/>
      <c r="V8" s="290"/>
      <c r="W8" s="290"/>
      <c r="X8" s="290"/>
      <c r="Y8" s="290"/>
      <c r="Z8" s="290"/>
      <c r="AA8" s="290"/>
      <c r="AB8" s="115"/>
      <c r="AC8" s="199" t="s">
        <v>127</v>
      </c>
      <c r="AD8" s="115"/>
    </row>
    <row r="9" spans="1:30" x14ac:dyDescent="0.3">
      <c r="A9" s="59"/>
      <c r="B9" s="60"/>
      <c r="C9" s="60"/>
      <c r="D9" s="62"/>
      <c r="E9" s="65"/>
      <c r="F9" s="65"/>
      <c r="G9" s="66"/>
      <c r="H9" s="66"/>
      <c r="I9" s="50"/>
      <c r="J9" s="207"/>
      <c r="K9" s="50"/>
      <c r="S9" s="115" t="s">
        <v>92</v>
      </c>
      <c r="T9" s="290" t="s">
        <v>93</v>
      </c>
      <c r="U9" s="290"/>
      <c r="V9" s="290"/>
      <c r="W9" s="290"/>
      <c r="X9" s="290"/>
      <c r="Y9" s="290"/>
      <c r="Z9" s="290"/>
      <c r="AA9" s="290"/>
      <c r="AB9" s="115"/>
      <c r="AC9" s="199" t="s">
        <v>125</v>
      </c>
      <c r="AD9" s="115"/>
    </row>
    <row r="10" spans="1:30" x14ac:dyDescent="0.3">
      <c r="J10" s="98"/>
      <c r="S10" s="115" t="s">
        <v>94</v>
      </c>
      <c r="T10" s="290" t="s">
        <v>95</v>
      </c>
      <c r="U10" s="290"/>
      <c r="V10" s="290"/>
      <c r="W10" s="290"/>
      <c r="X10" s="290"/>
      <c r="Y10" s="290"/>
      <c r="Z10" s="290"/>
      <c r="AA10" s="290"/>
      <c r="AB10" s="115"/>
      <c r="AC10" s="199" t="s">
        <v>125</v>
      </c>
      <c r="AD10" s="208" t="s">
        <v>138</v>
      </c>
    </row>
    <row r="11" spans="1:30" x14ac:dyDescent="0.3">
      <c r="A11" s="72" t="s">
        <v>36</v>
      </c>
      <c r="B11" s="29"/>
      <c r="C11" s="29"/>
      <c r="D11" s="29"/>
      <c r="E11"/>
      <c r="F11"/>
      <c r="G11" s="72" t="s">
        <v>37</v>
      </c>
      <c r="H11" s="273"/>
      <c r="I11"/>
      <c r="J11" s="97"/>
      <c r="K11"/>
      <c r="L11"/>
      <c r="M11" s="72" t="s">
        <v>210</v>
      </c>
      <c r="N11" s="273"/>
      <c r="O11"/>
      <c r="S11" s="115" t="s">
        <v>96</v>
      </c>
      <c r="T11" s="290" t="s">
        <v>97</v>
      </c>
      <c r="U11" s="290"/>
      <c r="V11" s="290"/>
      <c r="W11" s="290"/>
      <c r="X11" s="290"/>
      <c r="Y11" s="290"/>
      <c r="Z11" s="290"/>
      <c r="AA11" s="290"/>
      <c r="AB11" s="115"/>
      <c r="AC11" s="199" t="s">
        <v>125</v>
      </c>
      <c r="AD11" s="115"/>
    </row>
    <row r="12" spans="1:30" x14ac:dyDescent="0.3">
      <c r="A12" s="28" t="s">
        <v>5</v>
      </c>
      <c r="B12" s="60"/>
      <c r="C12" s="60"/>
      <c r="D12" s="62"/>
      <c r="E12" s="70">
        <f>AVERAGE($I27:$I34)</f>
        <v>9.2706874999999993</v>
      </c>
      <c r="F12" s="61"/>
      <c r="G12" s="59" t="s">
        <v>5</v>
      </c>
      <c r="H12" s="67"/>
      <c r="I12" s="70">
        <f>AVERAGE($I44:$I51)</f>
        <v>10.694062499999999</v>
      </c>
      <c r="J12" s="102"/>
      <c r="K12" s="50"/>
      <c r="L12" s="50"/>
      <c r="M12" s="59" t="s">
        <v>5</v>
      </c>
      <c r="N12" s="67"/>
      <c r="O12" s="70">
        <f>AVERAGE($I58:$I63)</f>
        <v>30.821333333333332</v>
      </c>
      <c r="S12" s="115" t="s">
        <v>98</v>
      </c>
      <c r="T12" s="290" t="s">
        <v>99</v>
      </c>
      <c r="U12" s="290"/>
      <c r="V12" s="290"/>
      <c r="W12" s="290"/>
      <c r="X12" s="290"/>
      <c r="Y12" s="290"/>
      <c r="Z12" s="290"/>
      <c r="AA12" s="290"/>
      <c r="AB12" s="115"/>
      <c r="AC12" s="199" t="s">
        <v>127</v>
      </c>
      <c r="AD12" s="208" t="s">
        <v>137</v>
      </c>
    </row>
    <row r="13" spans="1:30" x14ac:dyDescent="0.3">
      <c r="A13" s="28" t="s">
        <v>6</v>
      </c>
      <c r="B13" s="60"/>
      <c r="C13" s="60"/>
      <c r="D13" s="62"/>
      <c r="E13" s="70">
        <f>_xlfn.STDEV.S($I27:$I34)</f>
        <v>2.3960350125259025</v>
      </c>
      <c r="F13" s="63"/>
      <c r="G13" s="59" t="s">
        <v>6</v>
      </c>
      <c r="H13" s="68"/>
      <c r="I13" s="70">
        <f>_xlfn.STDEV.S($I44:$I51)</f>
        <v>6.4358074664750289</v>
      </c>
      <c r="J13" s="102"/>
      <c r="K13" s="50"/>
      <c r="L13" s="50"/>
      <c r="M13" s="59" t="s">
        <v>6</v>
      </c>
      <c r="N13" s="68"/>
      <c r="O13" s="70">
        <f>_xlfn.STDEV.S($I58:$I63)</f>
        <v>10.552512225373947</v>
      </c>
      <c r="S13" s="115" t="s">
        <v>100</v>
      </c>
      <c r="T13" s="715" t="s">
        <v>101</v>
      </c>
      <c r="U13" s="715"/>
      <c r="V13" s="715"/>
      <c r="W13" s="715"/>
      <c r="X13" s="715"/>
      <c r="Y13" s="715"/>
      <c r="Z13" s="715"/>
      <c r="AA13" s="715"/>
      <c r="AB13" s="115"/>
      <c r="AC13" s="116" t="s">
        <v>125</v>
      </c>
      <c r="AD13" s="115"/>
    </row>
    <row r="14" spans="1:30" x14ac:dyDescent="0.3">
      <c r="A14" s="28" t="s">
        <v>29</v>
      </c>
      <c r="B14" s="60"/>
      <c r="C14" s="60"/>
      <c r="D14" s="62"/>
      <c r="E14" s="71">
        <f>(E13/E12)*100</f>
        <v>25.845278600167493</v>
      </c>
      <c r="F14" s="63"/>
      <c r="G14" s="59" t="s">
        <v>29</v>
      </c>
      <c r="H14" s="68"/>
      <c r="I14" s="71">
        <f>(I13/I12)*100</f>
        <v>60.181128233307312</v>
      </c>
      <c r="J14" s="104"/>
      <c r="K14" s="50"/>
      <c r="L14" s="50"/>
      <c r="M14" s="59" t="s">
        <v>29</v>
      </c>
      <c r="N14" s="68"/>
      <c r="O14" s="71">
        <f>(O13/O12)*100</f>
        <v>34.237688912573375</v>
      </c>
      <c r="S14" s="716" t="s">
        <v>150</v>
      </c>
      <c r="T14" s="717" t="s">
        <v>151</v>
      </c>
      <c r="U14" s="717"/>
      <c r="V14" s="717"/>
      <c r="W14" s="717"/>
      <c r="X14" s="717"/>
      <c r="Y14" s="717"/>
      <c r="Z14" s="717"/>
      <c r="AA14" s="717"/>
      <c r="AB14" s="717"/>
      <c r="AC14" s="199" t="s">
        <v>127</v>
      </c>
      <c r="AD14" s="115"/>
    </row>
    <row r="15" spans="1:30" x14ac:dyDescent="0.3">
      <c r="A15" s="28" t="s">
        <v>7</v>
      </c>
      <c r="B15" s="60"/>
      <c r="C15" s="60"/>
      <c r="D15" s="62"/>
      <c r="E15" s="131" t="str">
        <f>IF(E14&gt;25,"Mediana","Média")</f>
        <v>Mediana</v>
      </c>
      <c r="F15" s="64"/>
      <c r="G15" s="59" t="s">
        <v>7</v>
      </c>
      <c r="H15" s="69"/>
      <c r="I15" s="131" t="str">
        <f>IF(I14&gt;25,"Mediana","Média")</f>
        <v>Mediana</v>
      </c>
      <c r="J15" s="106"/>
      <c r="K15" s="50"/>
      <c r="L15" s="50"/>
      <c r="M15" s="59" t="s">
        <v>7</v>
      </c>
      <c r="N15" s="69"/>
      <c r="O15" s="131" t="str">
        <f>IF(O14&gt;25,"Mediana","Média")</f>
        <v>Mediana</v>
      </c>
      <c r="S15" s="716"/>
      <c r="T15" s="717"/>
      <c r="U15" s="717"/>
      <c r="V15" s="717"/>
      <c r="W15" s="717"/>
      <c r="X15" s="717"/>
      <c r="Y15" s="717"/>
      <c r="Z15" s="717"/>
      <c r="AA15" s="717"/>
      <c r="AB15" s="717"/>
      <c r="AC15" s="115"/>
      <c r="AD15" s="115"/>
    </row>
    <row r="16" spans="1:30" x14ac:dyDescent="0.3">
      <c r="A16" s="28" t="s">
        <v>8</v>
      </c>
      <c r="B16" s="60"/>
      <c r="C16" s="60"/>
      <c r="D16" s="62"/>
      <c r="E16" s="70">
        <f>MIN($I27:$I34)</f>
        <v>6</v>
      </c>
      <c r="F16" s="61"/>
      <c r="G16" s="59" t="s">
        <v>8</v>
      </c>
      <c r="H16" s="67"/>
      <c r="I16" s="70">
        <f>MIN($I44:$I51)</f>
        <v>4</v>
      </c>
      <c r="J16" s="70"/>
      <c r="K16" s="50"/>
      <c r="L16" s="50"/>
      <c r="M16" s="59" t="s">
        <v>8</v>
      </c>
      <c r="N16" s="67"/>
      <c r="O16" s="70">
        <f>MIN($I58:$I63)</f>
        <v>16.739999999999998</v>
      </c>
      <c r="S16" s="113" t="s">
        <v>102</v>
      </c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</row>
    <row r="17" spans="1:30" x14ac:dyDescent="0.3">
      <c r="A17" s="28"/>
      <c r="B17" s="60"/>
      <c r="C17" s="60"/>
      <c r="D17" s="62"/>
      <c r="E17" s="65"/>
      <c r="F17" s="65"/>
      <c r="G17" s="66"/>
      <c r="H17" s="66"/>
      <c r="I17" s="50"/>
      <c r="J17" s="50"/>
      <c r="K17" s="50"/>
      <c r="L17" s="50"/>
      <c r="S17" s="290" t="s">
        <v>104</v>
      </c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</row>
    <row r="18" spans="1:30" ht="36" customHeight="1" thickBot="1" x14ac:dyDescent="0.35">
      <c r="S18" s="718" t="s">
        <v>162</v>
      </c>
      <c r="T18" s="718"/>
      <c r="U18" s="718"/>
      <c r="V18" s="718"/>
      <c r="W18" s="718"/>
      <c r="X18" s="718"/>
      <c r="Y18" s="718"/>
      <c r="Z18" s="718"/>
      <c r="AA18" s="718"/>
      <c r="AB18" s="718"/>
      <c r="AC18" s="718"/>
      <c r="AD18" s="718"/>
    </row>
    <row r="19" spans="1:30" ht="15" customHeight="1" x14ac:dyDescent="0.3">
      <c r="A19" s="708" t="s">
        <v>10</v>
      </c>
      <c r="B19" s="710" t="s">
        <v>11</v>
      </c>
      <c r="C19" s="712" t="s">
        <v>12</v>
      </c>
      <c r="D19" s="712" t="s">
        <v>13</v>
      </c>
      <c r="E19" s="712" t="s">
        <v>30</v>
      </c>
      <c r="F19" s="710" t="s">
        <v>31</v>
      </c>
      <c r="G19" s="710" t="s">
        <v>16</v>
      </c>
      <c r="H19" s="287" t="s">
        <v>17</v>
      </c>
      <c r="I19" s="728" t="s">
        <v>18</v>
      </c>
      <c r="J19" s="730" t="s">
        <v>66</v>
      </c>
      <c r="K19" s="702" t="s">
        <v>32</v>
      </c>
      <c r="L19" s="704" t="s">
        <v>33</v>
      </c>
      <c r="M19" s="698" t="s">
        <v>19</v>
      </c>
      <c r="N19" s="719" t="s">
        <v>119</v>
      </c>
      <c r="O19" s="720"/>
      <c r="P19" s="723" t="s">
        <v>20</v>
      </c>
      <c r="Q19" s="724"/>
      <c r="S19" s="275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</row>
    <row r="20" spans="1:30" s="6" customFormat="1" ht="15" thickBot="1" x14ac:dyDescent="0.35">
      <c r="A20" s="709"/>
      <c r="B20" s="711"/>
      <c r="C20" s="713"/>
      <c r="D20" s="713"/>
      <c r="E20" s="713"/>
      <c r="F20" s="711"/>
      <c r="G20" s="711"/>
      <c r="H20" s="465"/>
      <c r="I20" s="729"/>
      <c r="J20" s="731"/>
      <c r="K20" s="703"/>
      <c r="L20" s="705"/>
      <c r="M20" s="699"/>
      <c r="N20" s="721"/>
      <c r="O20" s="722"/>
      <c r="P20" s="295" t="s">
        <v>21</v>
      </c>
      <c r="Q20" s="74" t="s">
        <v>22</v>
      </c>
      <c r="S20" s="297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</row>
    <row r="21" spans="1:30" ht="40.200000000000003" customHeight="1" x14ac:dyDescent="0.3">
      <c r="A21" s="586">
        <v>11</v>
      </c>
      <c r="B21" s="725" t="s">
        <v>203</v>
      </c>
      <c r="C21" s="592" t="s">
        <v>12</v>
      </c>
      <c r="D21" s="592">
        <f>60+100</f>
        <v>160</v>
      </c>
      <c r="E21" s="183" t="s">
        <v>458</v>
      </c>
      <c r="F21" s="85" t="s">
        <v>9</v>
      </c>
      <c r="G21" s="313" t="s">
        <v>459</v>
      </c>
      <c r="H21" s="163"/>
      <c r="I21" s="467">
        <v>15.83</v>
      </c>
      <c r="J21" s="688">
        <f>AVERAGE(I21:I26)</f>
        <v>22.591999999999999</v>
      </c>
      <c r="K21" s="476">
        <f>(J21*30%)+J21</f>
        <v>29.369599999999998</v>
      </c>
      <c r="L21" s="477">
        <f>70%*J21</f>
        <v>15.814399999999997</v>
      </c>
      <c r="M21" s="218" t="str">
        <f>IF(I21&gt;K$21,"EXCESSIVAMENTE ELEVADO",IF(I21&lt;L$21,"INEXEQUÍVEL","VÁLIDO"))</f>
        <v>VÁLIDO</v>
      </c>
      <c r="N21" s="201"/>
      <c r="O21" s="360"/>
      <c r="P21" s="605">
        <f>TRUNC(MEDIAN(I21:I26),2)</f>
        <v>22.19</v>
      </c>
      <c r="Q21" s="609">
        <f>D21*P21</f>
        <v>3550.4</v>
      </c>
      <c r="S21" s="732"/>
      <c r="T21" s="732"/>
      <c r="U21" s="732"/>
      <c r="V21" s="732"/>
      <c r="W21" s="732"/>
      <c r="X21" s="732"/>
      <c r="Y21" s="732"/>
      <c r="Z21" s="732"/>
      <c r="AA21" s="732"/>
      <c r="AB21" s="732"/>
      <c r="AC21" s="732"/>
      <c r="AD21" s="732"/>
    </row>
    <row r="22" spans="1:30" ht="138" customHeight="1" x14ac:dyDescent="0.3">
      <c r="A22" s="587"/>
      <c r="B22" s="726"/>
      <c r="C22" s="584"/>
      <c r="D22" s="584"/>
      <c r="E22" s="307" t="s">
        <v>460</v>
      </c>
      <c r="F22" s="33" t="s">
        <v>9</v>
      </c>
      <c r="G22" s="33" t="s">
        <v>443</v>
      </c>
      <c r="H22" s="47"/>
      <c r="I22" s="35">
        <f>((37.96/5)*2+(27.4/10))</f>
        <v>17.923999999999999</v>
      </c>
      <c r="J22" s="663"/>
      <c r="K22" s="93"/>
      <c r="L22" s="478"/>
      <c r="M22" s="185" t="str">
        <f>IF(I22&gt;K$21,"EXCESSIVAMENTE ELEVADO",IF(I22&lt;L$21,"INEXEQUÍVEL","VÁLIDO"))</f>
        <v>VÁLIDO</v>
      </c>
      <c r="N22" s="223"/>
      <c r="O22" s="349"/>
      <c r="P22" s="687"/>
      <c r="Q22" s="681"/>
      <c r="S22" s="462"/>
      <c r="T22" s="462"/>
      <c r="U22" s="462"/>
      <c r="V22" s="462"/>
      <c r="W22" s="462"/>
      <c r="X22" s="462"/>
      <c r="Y22" s="462"/>
      <c r="Z22" s="462"/>
      <c r="AA22" s="462"/>
      <c r="AB22" s="462"/>
      <c r="AC22" s="462"/>
      <c r="AD22" s="462"/>
    </row>
    <row r="23" spans="1:30" ht="39.6" customHeight="1" x14ac:dyDescent="0.3">
      <c r="A23" s="587"/>
      <c r="B23" s="727"/>
      <c r="C23" s="584"/>
      <c r="D23" s="584"/>
      <c r="E23" s="54" t="s">
        <v>462</v>
      </c>
      <c r="F23" s="33" t="s">
        <v>9</v>
      </c>
      <c r="G23" s="312" t="s">
        <v>457</v>
      </c>
      <c r="H23" s="56"/>
      <c r="I23" s="35">
        <v>19</v>
      </c>
      <c r="J23" s="663"/>
      <c r="K23" s="89"/>
      <c r="L23" s="35"/>
      <c r="M23" s="177" t="str">
        <f>IF(I23&gt;K$21,"EXCESSIVAMENTE ELEVADO",IF(I23&lt;L$21,"Inexequível","VÁLIDO"))</f>
        <v>VÁLIDO</v>
      </c>
      <c r="N23" s="202"/>
      <c r="O23" s="212"/>
      <c r="P23" s="606"/>
      <c r="Q23" s="610"/>
      <c r="S23" s="732"/>
      <c r="T23" s="732"/>
      <c r="U23" s="732"/>
      <c r="V23" s="732"/>
      <c r="W23" s="732"/>
      <c r="X23" s="732"/>
      <c r="Y23" s="732"/>
      <c r="Z23" s="732"/>
      <c r="AA23" s="732"/>
      <c r="AB23" s="732"/>
      <c r="AC23" s="732"/>
      <c r="AD23" s="732"/>
    </row>
    <row r="24" spans="1:30" ht="94.8" customHeight="1" x14ac:dyDescent="0.3">
      <c r="A24" s="587"/>
      <c r="B24" s="727"/>
      <c r="C24" s="584"/>
      <c r="D24" s="584"/>
      <c r="E24" s="307" t="s">
        <v>566</v>
      </c>
      <c r="F24" s="45" t="s">
        <v>27</v>
      </c>
      <c r="G24" s="51" t="s">
        <v>420</v>
      </c>
      <c r="H24" s="432" t="s">
        <v>123</v>
      </c>
      <c r="I24" s="35">
        <f>(24.99/10)+22.9</f>
        <v>25.398999999999997</v>
      </c>
      <c r="J24" s="664"/>
      <c r="K24" s="89"/>
      <c r="L24" s="35"/>
      <c r="M24" s="177" t="str">
        <f>IF(I24&gt;K$21,"EXCESSIVAMENTE ELEVADO",IF(I24&lt;L$21,"Inexequível","VÁLIDO"))</f>
        <v>VÁLIDO</v>
      </c>
      <c r="N24" s="210"/>
      <c r="O24" s="221"/>
      <c r="P24" s="607"/>
      <c r="Q24" s="611"/>
      <c r="S24" s="462"/>
      <c r="T24" s="462"/>
      <c r="U24" s="462"/>
      <c r="V24" s="462"/>
      <c r="W24" s="462"/>
      <c r="X24" s="462"/>
      <c r="Y24" s="462"/>
      <c r="Z24" s="462"/>
      <c r="AA24" s="462"/>
      <c r="AB24" s="462"/>
      <c r="AC24" s="462"/>
      <c r="AD24" s="462"/>
    </row>
    <row r="25" spans="1:30" ht="78" customHeight="1" x14ac:dyDescent="0.3">
      <c r="A25" s="587"/>
      <c r="B25" s="727"/>
      <c r="C25" s="584"/>
      <c r="D25" s="584"/>
      <c r="E25" s="307" t="s">
        <v>421</v>
      </c>
      <c r="F25" s="45" t="s">
        <v>27</v>
      </c>
      <c r="G25" s="51" t="s">
        <v>233</v>
      </c>
      <c r="H25" s="432" t="s">
        <v>123</v>
      </c>
      <c r="I25" s="35">
        <f>(24.99/10)+25.9</f>
        <v>28.398999999999997</v>
      </c>
      <c r="J25" s="664"/>
      <c r="K25" s="89"/>
      <c r="L25" s="35"/>
      <c r="M25" s="177" t="str">
        <f>IF(I25&gt;K$21,"EXCESSIVAMENTE ELEVADO",IF(I25&lt;L$21,"Inexequível","VÁLIDO"))</f>
        <v>VÁLIDO</v>
      </c>
      <c r="N25" s="210"/>
      <c r="O25" s="221"/>
      <c r="P25" s="607"/>
      <c r="Q25" s="611"/>
      <c r="S25" s="415"/>
      <c r="T25" s="415"/>
      <c r="U25" s="415"/>
      <c r="V25" s="415"/>
      <c r="W25" s="415"/>
      <c r="X25" s="415"/>
      <c r="Y25" s="415"/>
      <c r="Z25" s="415"/>
      <c r="AA25" s="415"/>
      <c r="AB25" s="415"/>
      <c r="AC25" s="415"/>
      <c r="AD25" s="415"/>
    </row>
    <row r="26" spans="1:30" ht="43.8" customHeight="1" thickBot="1" x14ac:dyDescent="0.35">
      <c r="A26" s="587"/>
      <c r="B26" s="727"/>
      <c r="C26" s="584"/>
      <c r="D26" s="584"/>
      <c r="E26" s="40" t="s">
        <v>227</v>
      </c>
      <c r="F26" s="45" t="s">
        <v>26</v>
      </c>
      <c r="G26" s="41" t="s">
        <v>228</v>
      </c>
      <c r="H26" s="33" t="s">
        <v>65</v>
      </c>
      <c r="I26" s="35">
        <v>29</v>
      </c>
      <c r="J26" s="664"/>
      <c r="K26" s="89"/>
      <c r="L26" s="35"/>
      <c r="M26" s="177" t="str">
        <f>IF(I26&gt;K$21,"EXCESSIVAMENTE ELEVADO",IF(I26&lt;L$21,"Inexequível","VÁLIDO"))</f>
        <v>VÁLIDO</v>
      </c>
      <c r="N26" s="210"/>
      <c r="O26" s="221"/>
      <c r="P26" s="607"/>
      <c r="Q26" s="611"/>
      <c r="S26" s="415"/>
      <c r="T26" s="415"/>
      <c r="U26" s="415"/>
      <c r="V26" s="415"/>
      <c r="W26" s="415"/>
      <c r="X26" s="415"/>
      <c r="Y26" s="415"/>
      <c r="Z26" s="415"/>
      <c r="AA26" s="415"/>
      <c r="AB26" s="415"/>
      <c r="AC26" s="415"/>
      <c r="AD26" s="415"/>
    </row>
    <row r="27" spans="1:30" ht="41.4" customHeight="1" x14ac:dyDescent="0.3">
      <c r="A27" s="665">
        <v>12</v>
      </c>
      <c r="B27" s="733" t="s">
        <v>204</v>
      </c>
      <c r="C27" s="649" t="s">
        <v>12</v>
      </c>
      <c r="D27" s="649">
        <f>100+100</f>
        <v>200</v>
      </c>
      <c r="E27" s="310" t="s">
        <v>227</v>
      </c>
      <c r="F27" s="197" t="s">
        <v>26</v>
      </c>
      <c r="G27" s="198" t="s">
        <v>228</v>
      </c>
      <c r="H27" s="85" t="s">
        <v>65</v>
      </c>
      <c r="I27" s="467">
        <v>6</v>
      </c>
      <c r="J27" s="688">
        <f>AVERAGE(I27:I33)</f>
        <v>8.7453571428571433</v>
      </c>
      <c r="K27" s="299">
        <f>(J27*30%)+J27</f>
        <v>11.368964285714286</v>
      </c>
      <c r="L27" s="302">
        <f>70%*J27</f>
        <v>6.1217499999999996</v>
      </c>
      <c r="M27" s="218" t="str">
        <f t="shared" ref="M27:M34" si="0">IF(I27&gt;K$27,"EXCESSIVAMENTE ELEVADO",IF(I27&lt;L$27,"INEXEQUÍVEL","VÁLIDO"))</f>
        <v>INEXEQUÍVEL</v>
      </c>
      <c r="N27" s="201">
        <f>I27/$J27</f>
        <v>0.68607832727569729</v>
      </c>
      <c r="O27" s="241" t="s">
        <v>468</v>
      </c>
      <c r="P27" s="599">
        <f>TRUNC(MEDIAN(I28:I32),2)</f>
        <v>8</v>
      </c>
      <c r="Q27" s="602">
        <f>P27*D27</f>
        <v>1600</v>
      </c>
      <c r="Y27" s="25"/>
    </row>
    <row r="28" spans="1:30" ht="42" customHeight="1" x14ac:dyDescent="0.3">
      <c r="A28" s="669"/>
      <c r="B28" s="734"/>
      <c r="C28" s="620"/>
      <c r="D28" s="620"/>
      <c r="E28" s="347" t="s">
        <v>471</v>
      </c>
      <c r="F28" s="33" t="s">
        <v>9</v>
      </c>
      <c r="G28" s="41" t="s">
        <v>469</v>
      </c>
      <c r="H28" s="33" t="s">
        <v>65</v>
      </c>
      <c r="I28" s="35">
        <v>7.5</v>
      </c>
      <c r="J28" s="662"/>
      <c r="K28" s="91"/>
      <c r="L28" s="94"/>
      <c r="M28" s="185" t="str">
        <f t="shared" si="0"/>
        <v>VÁLIDO</v>
      </c>
      <c r="N28" s="202">
        <f>I28/$J$27</f>
        <v>0.85759790909462164</v>
      </c>
      <c r="O28" s="566" t="s">
        <v>135</v>
      </c>
      <c r="P28" s="600"/>
      <c r="Q28" s="603"/>
      <c r="Y28" s="25"/>
    </row>
    <row r="29" spans="1:30" ht="60" customHeight="1" x14ac:dyDescent="0.3">
      <c r="A29" s="669"/>
      <c r="B29" s="734"/>
      <c r="C29" s="620"/>
      <c r="D29" s="620"/>
      <c r="E29" s="347" t="s">
        <v>473</v>
      </c>
      <c r="F29" s="33" t="s">
        <v>9</v>
      </c>
      <c r="G29" s="41" t="s">
        <v>474</v>
      </c>
      <c r="H29" s="33" t="s">
        <v>68</v>
      </c>
      <c r="I29" s="35">
        <v>7.6</v>
      </c>
      <c r="J29" s="662"/>
      <c r="K29" s="91"/>
      <c r="L29" s="94"/>
      <c r="M29" s="185" t="str">
        <f t="shared" si="0"/>
        <v>VÁLIDO</v>
      </c>
      <c r="N29" s="202"/>
      <c r="O29" s="566"/>
      <c r="P29" s="600"/>
      <c r="Q29" s="603"/>
      <c r="Y29" s="25"/>
    </row>
    <row r="30" spans="1:30" ht="46.8" customHeight="1" x14ac:dyDescent="0.3">
      <c r="A30" s="669"/>
      <c r="B30" s="734"/>
      <c r="C30" s="620"/>
      <c r="D30" s="620"/>
      <c r="E30" s="347" t="s">
        <v>470</v>
      </c>
      <c r="F30" s="33" t="s">
        <v>9</v>
      </c>
      <c r="G30" s="41" t="s">
        <v>466</v>
      </c>
      <c r="H30" s="33"/>
      <c r="I30" s="35">
        <v>8</v>
      </c>
      <c r="J30" s="662"/>
      <c r="K30" s="91"/>
      <c r="L30" s="94"/>
      <c r="M30" s="185" t="str">
        <f t="shared" si="0"/>
        <v>VÁLIDO</v>
      </c>
      <c r="N30" s="202"/>
      <c r="O30" s="566"/>
      <c r="P30" s="600"/>
      <c r="Q30" s="603"/>
      <c r="Y30" s="25"/>
    </row>
    <row r="31" spans="1:30" ht="41.4" customHeight="1" x14ac:dyDescent="0.3">
      <c r="A31" s="669"/>
      <c r="B31" s="734"/>
      <c r="C31" s="620"/>
      <c r="D31" s="620"/>
      <c r="E31" s="347" t="s">
        <v>472</v>
      </c>
      <c r="F31" s="33" t="s">
        <v>9</v>
      </c>
      <c r="G31" s="475" t="s">
        <v>463</v>
      </c>
      <c r="H31" s="47" t="s">
        <v>65</v>
      </c>
      <c r="I31" s="446">
        <v>9.5</v>
      </c>
      <c r="J31" s="662"/>
      <c r="K31" s="91"/>
      <c r="L31" s="94"/>
      <c r="M31" s="185" t="str">
        <f t="shared" si="0"/>
        <v>VÁLIDO</v>
      </c>
      <c r="N31" s="202"/>
      <c r="O31" s="566"/>
      <c r="P31" s="600"/>
      <c r="Q31" s="603"/>
      <c r="Y31" s="25"/>
    </row>
    <row r="32" spans="1:30" ht="75" customHeight="1" x14ac:dyDescent="0.3">
      <c r="A32" s="666"/>
      <c r="B32" s="735"/>
      <c r="C32" s="621"/>
      <c r="D32" s="621"/>
      <c r="E32" s="45" t="s">
        <v>465</v>
      </c>
      <c r="F32" s="45" t="s">
        <v>27</v>
      </c>
      <c r="G32" s="51" t="s">
        <v>276</v>
      </c>
      <c r="H32" s="83" t="s">
        <v>65</v>
      </c>
      <c r="I32" s="450">
        <f>(25/10)+(34.51/4)</f>
        <v>11.1275</v>
      </c>
      <c r="J32" s="663"/>
      <c r="K32" s="300"/>
      <c r="L32" s="303"/>
      <c r="M32" s="185" t="str">
        <f t="shared" si="0"/>
        <v>VÁLIDO</v>
      </c>
      <c r="N32" s="202"/>
      <c r="O32" s="566"/>
      <c r="P32" s="600"/>
      <c r="Q32" s="603"/>
      <c r="Y32" s="25"/>
    </row>
    <row r="33" spans="1:25" ht="45.6" customHeight="1" x14ac:dyDescent="0.3">
      <c r="A33" s="666"/>
      <c r="B33" s="735"/>
      <c r="C33" s="621"/>
      <c r="D33" s="621"/>
      <c r="E33" s="54" t="s">
        <v>462</v>
      </c>
      <c r="F33" s="33" t="s">
        <v>9</v>
      </c>
      <c r="G33" s="312" t="s">
        <v>461</v>
      </c>
      <c r="H33" s="56"/>
      <c r="I33" s="35">
        <v>11.49</v>
      </c>
      <c r="J33" s="663"/>
      <c r="K33" s="300"/>
      <c r="L33" s="303"/>
      <c r="M33" s="250" t="str">
        <f t="shared" si="0"/>
        <v>EXCESSIVAMENTE ELEVADO</v>
      </c>
      <c r="N33" s="202">
        <f>(I33-J27)/J27</f>
        <v>0.31383999673296031</v>
      </c>
      <c r="O33" s="567" t="s">
        <v>467</v>
      </c>
      <c r="P33" s="600"/>
      <c r="Q33" s="603"/>
      <c r="Y33" s="25"/>
    </row>
    <row r="34" spans="1:25" ht="70.8" customHeight="1" thickBot="1" x14ac:dyDescent="0.35">
      <c r="A34" s="668"/>
      <c r="B34" s="736"/>
      <c r="C34" s="650"/>
      <c r="D34" s="650"/>
      <c r="E34" s="132" t="s">
        <v>464</v>
      </c>
      <c r="F34" s="132" t="s">
        <v>27</v>
      </c>
      <c r="G34" s="164" t="s">
        <v>233</v>
      </c>
      <c r="H34" s="42" t="s">
        <v>65</v>
      </c>
      <c r="I34" s="447">
        <f>(24.9/50)+(24.9/2)</f>
        <v>12.947999999999999</v>
      </c>
      <c r="J34" s="689"/>
      <c r="K34" s="301"/>
      <c r="L34" s="304"/>
      <c r="M34" s="251" t="str">
        <f t="shared" si="0"/>
        <v>EXCESSIVAMENTE ELEVADO</v>
      </c>
      <c r="N34" s="248">
        <f>(I34-J27)/J27</f>
        <v>0.48055703026095459</v>
      </c>
      <c r="O34" s="568" t="s">
        <v>467</v>
      </c>
      <c r="P34" s="601"/>
      <c r="Q34" s="604"/>
      <c r="U34" s="528"/>
      <c r="Y34" s="25"/>
    </row>
    <row r="35" spans="1:25" ht="34.799999999999997" customHeight="1" x14ac:dyDescent="0.3">
      <c r="A35" s="586">
        <v>13</v>
      </c>
      <c r="B35" s="745" t="s">
        <v>205</v>
      </c>
      <c r="C35" s="592" t="s">
        <v>12</v>
      </c>
      <c r="D35" s="592">
        <f>50+50</f>
        <v>100</v>
      </c>
      <c r="E35" s="36" t="s">
        <v>477</v>
      </c>
      <c r="F35" s="255" t="s">
        <v>24</v>
      </c>
      <c r="G35" s="33" t="s">
        <v>478</v>
      </c>
      <c r="H35" s="274" t="s">
        <v>65</v>
      </c>
      <c r="I35" s="544">
        <v>25.6</v>
      </c>
      <c r="J35" s="596">
        <f>AVERAGE(I35:I43)</f>
        <v>39.704333333333338</v>
      </c>
      <c r="K35" s="302">
        <f>(J35*30%)+J35</f>
        <v>51.615633333333335</v>
      </c>
      <c r="L35" s="302">
        <f>70%*J35</f>
        <v>27.793033333333334</v>
      </c>
      <c r="M35" s="204" t="str">
        <f>IF(I35&gt;K$35,"EXCESSIVAMENTE ELEVADO",IF(I35&lt;L$35,"INEXEQUÍVEL","VÁLIDO"))</f>
        <v>INEXEQUÍVEL</v>
      </c>
      <c r="N35" s="201">
        <f>I35/$J$35</f>
        <v>0.64476589457070177</v>
      </c>
      <c r="O35" s="205" t="s">
        <v>468</v>
      </c>
      <c r="P35" s="599">
        <f>TRUNC(MEDIAN(I36:I42),2)</f>
        <v>40</v>
      </c>
      <c r="Q35" s="602">
        <f>P35*D35</f>
        <v>4000</v>
      </c>
      <c r="S35" t="s">
        <v>71</v>
      </c>
      <c r="Y35" s="25"/>
    </row>
    <row r="36" spans="1:25" ht="58.2" customHeight="1" x14ac:dyDescent="0.3">
      <c r="A36" s="587"/>
      <c r="B36" s="746"/>
      <c r="C36" s="584"/>
      <c r="D36" s="584"/>
      <c r="E36" s="347" t="s">
        <v>475</v>
      </c>
      <c r="F36" s="33" t="s">
        <v>9</v>
      </c>
      <c r="G36" s="41" t="s">
        <v>476</v>
      </c>
      <c r="H36" s="33" t="s">
        <v>65</v>
      </c>
      <c r="I36" s="450">
        <v>29.7</v>
      </c>
      <c r="J36" s="597"/>
      <c r="K36" s="300"/>
      <c r="L36" s="303"/>
      <c r="M36" s="185" t="str">
        <f t="shared" ref="M36:M43" si="1">IF(I36&gt;K$35,"EXCESSIVAMENTE ELEVADO",IF(I36&lt;L$35,"INEXEQUÍVEL","VÁLIDO"))</f>
        <v>VÁLIDO</v>
      </c>
      <c r="N36" s="202"/>
      <c r="O36" s="206"/>
      <c r="P36" s="600"/>
      <c r="Q36" s="603"/>
      <c r="Y36" s="25"/>
    </row>
    <row r="37" spans="1:25" ht="45" customHeight="1" x14ac:dyDescent="0.3">
      <c r="A37" s="587"/>
      <c r="B37" s="746"/>
      <c r="C37" s="584"/>
      <c r="D37" s="584"/>
      <c r="E37" s="347" t="s">
        <v>479</v>
      </c>
      <c r="F37" s="33" t="s">
        <v>9</v>
      </c>
      <c r="G37" s="41" t="s">
        <v>480</v>
      </c>
      <c r="H37" s="33" t="s">
        <v>65</v>
      </c>
      <c r="I37" s="450">
        <v>30</v>
      </c>
      <c r="J37" s="597"/>
      <c r="K37" s="89"/>
      <c r="L37" s="35"/>
      <c r="M37" s="185" t="str">
        <f t="shared" si="1"/>
        <v>VÁLIDO</v>
      </c>
      <c r="N37" s="202"/>
      <c r="O37" s="212"/>
      <c r="P37" s="600"/>
      <c r="Q37" s="603"/>
      <c r="Y37" s="25"/>
    </row>
    <row r="38" spans="1:25" ht="41.4" customHeight="1" x14ac:dyDescent="0.3">
      <c r="A38" s="587"/>
      <c r="B38" s="746"/>
      <c r="C38" s="584"/>
      <c r="D38" s="584"/>
      <c r="E38" s="347" t="s">
        <v>481</v>
      </c>
      <c r="F38" s="33" t="s">
        <v>9</v>
      </c>
      <c r="G38" s="41" t="s">
        <v>482</v>
      </c>
      <c r="H38" s="33" t="s">
        <v>65</v>
      </c>
      <c r="I38" s="450">
        <v>35.630000000000003</v>
      </c>
      <c r="J38" s="597"/>
      <c r="K38" s="89"/>
      <c r="L38" s="35"/>
      <c r="M38" s="185" t="str">
        <f t="shared" si="1"/>
        <v>VÁLIDO</v>
      </c>
      <c r="N38" s="210"/>
      <c r="O38" s="221"/>
      <c r="P38" s="600"/>
      <c r="Q38" s="603"/>
      <c r="Y38" s="25"/>
    </row>
    <row r="39" spans="1:25" ht="58.2" customHeight="1" x14ac:dyDescent="0.3">
      <c r="A39" s="587"/>
      <c r="B39" s="746"/>
      <c r="C39" s="584"/>
      <c r="D39" s="584"/>
      <c r="E39" s="347" t="s">
        <v>484</v>
      </c>
      <c r="F39" s="33" t="s">
        <v>9</v>
      </c>
      <c r="G39" s="41" t="s">
        <v>482</v>
      </c>
      <c r="H39" s="33" t="s">
        <v>65</v>
      </c>
      <c r="I39" s="450">
        <v>40</v>
      </c>
      <c r="J39" s="597"/>
      <c r="K39" s="89"/>
      <c r="L39" s="35"/>
      <c r="M39" s="185" t="str">
        <f t="shared" si="1"/>
        <v>VÁLIDO</v>
      </c>
      <c r="N39" s="210"/>
      <c r="O39" s="221"/>
      <c r="P39" s="600"/>
      <c r="Q39" s="603"/>
      <c r="Y39" s="25"/>
    </row>
    <row r="40" spans="1:25" ht="53.4" customHeight="1" x14ac:dyDescent="0.3">
      <c r="A40" s="587"/>
      <c r="B40" s="746"/>
      <c r="C40" s="584"/>
      <c r="D40" s="584"/>
      <c r="E40" s="347" t="s">
        <v>483</v>
      </c>
      <c r="F40" s="33" t="s">
        <v>9</v>
      </c>
      <c r="G40" s="41" t="s">
        <v>448</v>
      </c>
      <c r="H40" s="33" t="s">
        <v>65</v>
      </c>
      <c r="I40" s="450">
        <v>44.92</v>
      </c>
      <c r="J40" s="597"/>
      <c r="K40" s="89"/>
      <c r="L40" s="35"/>
      <c r="M40" s="185" t="str">
        <f t="shared" si="1"/>
        <v>VÁLIDO</v>
      </c>
      <c r="N40" s="210"/>
      <c r="O40" s="221"/>
      <c r="P40" s="600"/>
      <c r="Q40" s="603"/>
      <c r="Y40" s="25"/>
    </row>
    <row r="41" spans="1:25" ht="124.2" customHeight="1" x14ac:dyDescent="0.3">
      <c r="A41" s="587"/>
      <c r="B41" s="746"/>
      <c r="C41" s="584"/>
      <c r="D41" s="584"/>
      <c r="E41" s="307" t="s">
        <v>428</v>
      </c>
      <c r="F41" s="45" t="s">
        <v>27</v>
      </c>
      <c r="G41" s="51" t="s">
        <v>429</v>
      </c>
      <c r="H41" s="432" t="s">
        <v>123</v>
      </c>
      <c r="I41" s="450">
        <v>45.9</v>
      </c>
      <c r="J41" s="597"/>
      <c r="K41" s="89"/>
      <c r="L41" s="35"/>
      <c r="M41" s="185" t="str">
        <f t="shared" si="1"/>
        <v>VÁLIDO</v>
      </c>
      <c r="N41" s="210"/>
      <c r="O41" s="221"/>
      <c r="P41" s="600"/>
      <c r="Q41" s="603"/>
      <c r="Y41" s="25"/>
    </row>
    <row r="42" spans="1:25" ht="124.2" x14ac:dyDescent="0.3">
      <c r="A42" s="587"/>
      <c r="B42" s="746"/>
      <c r="C42" s="584"/>
      <c r="D42" s="584"/>
      <c r="E42" s="307" t="s">
        <v>600</v>
      </c>
      <c r="F42" s="45" t="s">
        <v>27</v>
      </c>
      <c r="G42" s="51" t="s">
        <v>420</v>
      </c>
      <c r="H42" s="432" t="s">
        <v>123</v>
      </c>
      <c r="I42" s="450">
        <f>(15.99/10)+48.99</f>
        <v>50.588999999999999</v>
      </c>
      <c r="J42" s="597"/>
      <c r="K42" s="89"/>
      <c r="L42" s="35"/>
      <c r="M42" s="185" t="str">
        <f t="shared" si="1"/>
        <v>VÁLIDO</v>
      </c>
      <c r="N42" s="210"/>
      <c r="O42" s="221"/>
      <c r="P42" s="600"/>
      <c r="Q42" s="603"/>
      <c r="Y42" s="25"/>
    </row>
    <row r="43" spans="1:25" ht="47.25" customHeight="1" thickBot="1" x14ac:dyDescent="0.35">
      <c r="A43" s="587"/>
      <c r="B43" s="746"/>
      <c r="C43" s="584"/>
      <c r="D43" s="584"/>
      <c r="E43" s="45" t="s">
        <v>227</v>
      </c>
      <c r="F43" s="45" t="s">
        <v>26</v>
      </c>
      <c r="G43" s="41" t="s">
        <v>228</v>
      </c>
      <c r="H43" s="38" t="s">
        <v>65</v>
      </c>
      <c r="I43" s="409">
        <v>55</v>
      </c>
      <c r="J43" s="597"/>
      <c r="K43" s="89"/>
      <c r="L43" s="35"/>
      <c r="M43" s="254" t="str">
        <f t="shared" si="1"/>
        <v>EXCESSIVAMENTE ELEVADO</v>
      </c>
      <c r="N43" s="210">
        <f>(I43-J35)/J35</f>
        <v>0.38523922661674193</v>
      </c>
      <c r="O43" s="213" t="s">
        <v>635</v>
      </c>
      <c r="P43" s="600"/>
      <c r="Q43" s="603"/>
      <c r="Y43" s="25"/>
    </row>
    <row r="44" spans="1:25" ht="52.8" customHeight="1" x14ac:dyDescent="0.3">
      <c r="A44" s="670">
        <v>14</v>
      </c>
      <c r="B44" s="747" t="s">
        <v>206</v>
      </c>
      <c r="C44" s="649" t="s">
        <v>207</v>
      </c>
      <c r="D44" s="649">
        <f>500+200+100</f>
        <v>800</v>
      </c>
      <c r="E44" s="162" t="s">
        <v>433</v>
      </c>
      <c r="F44" s="85" t="s">
        <v>9</v>
      </c>
      <c r="G44" s="92" t="s">
        <v>425</v>
      </c>
      <c r="H44" s="92" t="s">
        <v>65</v>
      </c>
      <c r="I44" s="410">
        <f>2*2</f>
        <v>4</v>
      </c>
      <c r="J44" s="596">
        <f>AVERAGE(I44:I51)</f>
        <v>10.694062499999999</v>
      </c>
      <c r="K44" s="302">
        <f>(J44*30%)+J44</f>
        <v>13.90228125</v>
      </c>
      <c r="L44" s="302">
        <f>70%*J44</f>
        <v>7.485843749999999</v>
      </c>
      <c r="M44" s="218" t="str">
        <f t="shared" ref="M44:M51" si="2">IF(I44&gt;K$44,"EXCESSIVAMENTE ELEVADO",IF(I44&lt;L$44,"INEXEQUÍVEL","VÁLIDO"))</f>
        <v>INEXEQUÍVEL</v>
      </c>
      <c r="N44" s="209">
        <f>I44/$J$44</f>
        <v>0.37403933257356597</v>
      </c>
      <c r="O44" s="279" t="s">
        <v>468</v>
      </c>
      <c r="P44" s="599">
        <f>TRUNC(MEDIAN(I46:I49),2)</f>
        <v>9.85</v>
      </c>
      <c r="Q44" s="602">
        <f>P44*D44</f>
        <v>7880</v>
      </c>
      <c r="Y44" s="25"/>
    </row>
    <row r="45" spans="1:25" ht="40.799999999999997" customHeight="1" x14ac:dyDescent="0.3">
      <c r="A45" s="671"/>
      <c r="B45" s="748"/>
      <c r="C45" s="620"/>
      <c r="D45" s="620"/>
      <c r="E45" s="36" t="s">
        <v>434</v>
      </c>
      <c r="F45" s="33" t="s">
        <v>9</v>
      </c>
      <c r="G45" s="47" t="s">
        <v>435</v>
      </c>
      <c r="H45" s="47"/>
      <c r="I45" s="412">
        <v>4.1399999999999997</v>
      </c>
      <c r="J45" s="597"/>
      <c r="K45" s="94"/>
      <c r="L45" s="94"/>
      <c r="M45" s="189" t="str">
        <f t="shared" si="2"/>
        <v>INEXEQUÍVEL</v>
      </c>
      <c r="N45" s="202">
        <f>I45/$J$44</f>
        <v>0.38713070921364073</v>
      </c>
      <c r="O45" s="243" t="s">
        <v>468</v>
      </c>
      <c r="P45" s="600"/>
      <c r="Q45" s="603"/>
      <c r="Y45" s="25"/>
    </row>
    <row r="46" spans="1:25" ht="40.799999999999997" customHeight="1" x14ac:dyDescent="0.3">
      <c r="A46" s="671"/>
      <c r="B46" s="748"/>
      <c r="C46" s="620"/>
      <c r="D46" s="620"/>
      <c r="E46" s="36" t="s">
        <v>270</v>
      </c>
      <c r="F46" s="45" t="s">
        <v>24</v>
      </c>
      <c r="G46" s="41" t="s">
        <v>272</v>
      </c>
      <c r="H46" s="33" t="s">
        <v>68</v>
      </c>
      <c r="I46" s="412">
        <v>8</v>
      </c>
      <c r="J46" s="597"/>
      <c r="K46" s="94"/>
      <c r="L46" s="94"/>
      <c r="M46" s="189" t="str">
        <f t="shared" si="2"/>
        <v>VÁLIDO</v>
      </c>
      <c r="N46" s="222"/>
      <c r="O46" s="425"/>
      <c r="P46" s="600"/>
      <c r="Q46" s="603"/>
      <c r="Y46" s="25"/>
    </row>
    <row r="47" spans="1:25" ht="41.4" x14ac:dyDescent="0.3">
      <c r="A47" s="672"/>
      <c r="B47" s="749"/>
      <c r="C47" s="621"/>
      <c r="D47" s="621"/>
      <c r="E47" s="36" t="s">
        <v>426</v>
      </c>
      <c r="F47" s="33" t="s">
        <v>9</v>
      </c>
      <c r="G47" s="47" t="s">
        <v>436</v>
      </c>
      <c r="H47" s="33"/>
      <c r="I47" s="413">
        <v>9.5</v>
      </c>
      <c r="J47" s="597"/>
      <c r="K47" s="300"/>
      <c r="L47" s="303"/>
      <c r="M47" s="189" t="str">
        <f t="shared" si="2"/>
        <v>VÁLIDO</v>
      </c>
      <c r="N47" s="222"/>
      <c r="O47" s="425"/>
      <c r="P47" s="600"/>
      <c r="Q47" s="603"/>
      <c r="S47" t="s">
        <v>424</v>
      </c>
      <c r="Y47" s="25"/>
    </row>
    <row r="48" spans="1:25" ht="70.8" customHeight="1" x14ac:dyDescent="0.3">
      <c r="A48" s="672"/>
      <c r="B48" s="749"/>
      <c r="C48" s="621"/>
      <c r="D48" s="621"/>
      <c r="E48" s="307" t="s">
        <v>432</v>
      </c>
      <c r="F48" s="45" t="s">
        <v>27</v>
      </c>
      <c r="G48" s="51" t="s">
        <v>233</v>
      </c>
      <c r="H48" s="432" t="s">
        <v>123</v>
      </c>
      <c r="I48" s="413">
        <f>(25.9/10)+((60.9/16)*2)</f>
        <v>10.202500000000001</v>
      </c>
      <c r="J48" s="597"/>
      <c r="K48" s="300"/>
      <c r="L48" s="300"/>
      <c r="M48" s="151" t="str">
        <f t="shared" si="2"/>
        <v>VÁLIDO</v>
      </c>
      <c r="N48" s="210"/>
      <c r="O48" s="245"/>
      <c r="P48" s="600"/>
      <c r="Q48" s="603"/>
      <c r="Y48" s="25"/>
    </row>
    <row r="49" spans="1:25" ht="53.4" customHeight="1" x14ac:dyDescent="0.3">
      <c r="A49" s="673"/>
      <c r="B49" s="750"/>
      <c r="C49" s="622"/>
      <c r="D49" s="622"/>
      <c r="E49" s="36" t="s">
        <v>427</v>
      </c>
      <c r="F49" s="33" t="s">
        <v>9</v>
      </c>
      <c r="G49" s="47" t="s">
        <v>423</v>
      </c>
      <c r="H49" s="47" t="s">
        <v>65</v>
      </c>
      <c r="I49" s="450">
        <f>5.77*2</f>
        <v>11.54</v>
      </c>
      <c r="J49" s="597"/>
      <c r="K49" s="89"/>
      <c r="L49" s="89"/>
      <c r="M49" s="480" t="str">
        <f t="shared" si="2"/>
        <v>VÁLIDO</v>
      </c>
      <c r="N49" s="210"/>
      <c r="O49" s="569"/>
      <c r="P49" s="600"/>
      <c r="Q49" s="603"/>
      <c r="Y49" s="25"/>
    </row>
    <row r="50" spans="1:25" ht="48" customHeight="1" x14ac:dyDescent="0.3">
      <c r="A50" s="673"/>
      <c r="B50" s="750"/>
      <c r="C50" s="622"/>
      <c r="D50" s="622"/>
      <c r="E50" s="40" t="s">
        <v>227</v>
      </c>
      <c r="F50" s="40" t="s">
        <v>26</v>
      </c>
      <c r="G50" s="34" t="s">
        <v>228</v>
      </c>
      <c r="H50" s="33" t="s">
        <v>65</v>
      </c>
      <c r="I50" s="446">
        <v>14</v>
      </c>
      <c r="J50" s="597"/>
      <c r="K50" s="89"/>
      <c r="L50" s="89"/>
      <c r="M50" s="433" t="str">
        <f t="shared" ref="M50" si="3">IF(I50&gt;K$44,"EXCESSIVAMENTE ELEVADO",IF(I50&lt;L$44,"INEXEQUÍVEL","VÁLIDO"))</f>
        <v>EXCESSIVAMENTE ELEVADO</v>
      </c>
      <c r="N50" s="202">
        <f>(I50-J44)/J44</f>
        <v>0.30913766400748088</v>
      </c>
      <c r="O50" s="570" t="s">
        <v>635</v>
      </c>
      <c r="P50" s="600"/>
      <c r="Q50" s="603"/>
      <c r="Y50" s="25"/>
    </row>
    <row r="51" spans="1:25" ht="82.8" customHeight="1" thickBot="1" x14ac:dyDescent="0.35">
      <c r="A51" s="673"/>
      <c r="B51" s="751"/>
      <c r="C51" s="650"/>
      <c r="D51" s="650"/>
      <c r="E51" s="305" t="s">
        <v>485</v>
      </c>
      <c r="F51" s="196" t="s">
        <v>27</v>
      </c>
      <c r="G51" s="43" t="s">
        <v>420</v>
      </c>
      <c r="H51" s="481" t="s">
        <v>123</v>
      </c>
      <c r="I51" s="448">
        <f>(25.9/10)+21.58</f>
        <v>24.169999999999998</v>
      </c>
      <c r="J51" s="598"/>
      <c r="K51" s="301"/>
      <c r="L51" s="301"/>
      <c r="M51" s="482" t="str">
        <f t="shared" si="2"/>
        <v>EXCESSIVAMENTE ELEVADO</v>
      </c>
      <c r="N51" s="248">
        <f>(I51-J44)/J44</f>
        <v>1.2601326670757722</v>
      </c>
      <c r="O51" s="571" t="s">
        <v>636</v>
      </c>
      <c r="P51" s="601"/>
      <c r="Q51" s="604"/>
      <c r="Y51" s="25"/>
    </row>
    <row r="52" spans="1:25" ht="45.6" customHeight="1" x14ac:dyDescent="0.3">
      <c r="A52" s="737">
        <v>15</v>
      </c>
      <c r="B52" s="741" t="s">
        <v>208</v>
      </c>
      <c r="C52" s="649" t="s">
        <v>207</v>
      </c>
      <c r="D52" s="649">
        <f>500+200+100</f>
        <v>800</v>
      </c>
      <c r="E52" s="162" t="s">
        <v>422</v>
      </c>
      <c r="F52" s="85" t="s">
        <v>9</v>
      </c>
      <c r="G52" s="92" t="s">
        <v>423</v>
      </c>
      <c r="H52" s="92" t="s">
        <v>65</v>
      </c>
      <c r="I52" s="410">
        <v>4.5</v>
      </c>
      <c r="J52" s="596">
        <f>AVERAGE(I52:I57)</f>
        <v>10.344083333333334</v>
      </c>
      <c r="K52" s="302">
        <f>(J52*30%)+J52</f>
        <v>13.447308333333334</v>
      </c>
      <c r="L52" s="302">
        <f>70%*J52</f>
        <v>7.2408583333333327</v>
      </c>
      <c r="M52" s="176" t="str">
        <f t="shared" ref="M52:M57" si="4">IF(I52&gt;K$52,"EXCESSIVAMENTE ELEVADO",IF(I52&lt;L$52,"INEXEQUÍVEL","VÁLIDO"))</f>
        <v>INEXEQUÍVEL</v>
      </c>
      <c r="N52" s="209">
        <f>I52/$J$52</f>
        <v>0.43503129808505664</v>
      </c>
      <c r="O52" s="216" t="s">
        <v>121</v>
      </c>
      <c r="P52" s="752">
        <f>TRUNC(MEDIAN(I53:I55),2)</f>
        <v>10.199999999999999</v>
      </c>
      <c r="Q52" s="755">
        <f>P52*D52</f>
        <v>8159.9999999999991</v>
      </c>
      <c r="Y52" s="25"/>
    </row>
    <row r="53" spans="1:25" ht="54" customHeight="1" x14ac:dyDescent="0.3">
      <c r="A53" s="738"/>
      <c r="B53" s="742"/>
      <c r="C53" s="621"/>
      <c r="D53" s="621"/>
      <c r="E53" s="36" t="s">
        <v>431</v>
      </c>
      <c r="F53" s="33" t="s">
        <v>9</v>
      </c>
      <c r="G53" s="33" t="s">
        <v>425</v>
      </c>
      <c r="H53" s="47" t="s">
        <v>65</v>
      </c>
      <c r="I53" s="412">
        <f>4.17*2</f>
        <v>8.34</v>
      </c>
      <c r="J53" s="597"/>
      <c r="K53" s="300"/>
      <c r="L53" s="303"/>
      <c r="M53" s="177" t="str">
        <f t="shared" si="4"/>
        <v>VÁLIDO</v>
      </c>
      <c r="N53" s="202"/>
      <c r="O53" s="361"/>
      <c r="P53" s="753"/>
      <c r="Q53" s="756"/>
      <c r="Y53" s="25"/>
    </row>
    <row r="54" spans="1:25" ht="57.6" customHeight="1" x14ac:dyDescent="0.3">
      <c r="A54" s="738"/>
      <c r="B54" s="742"/>
      <c r="C54" s="621"/>
      <c r="D54" s="621"/>
      <c r="E54" s="307" t="s">
        <v>432</v>
      </c>
      <c r="F54" s="45" t="s">
        <v>27</v>
      </c>
      <c r="G54" s="51" t="s">
        <v>233</v>
      </c>
      <c r="H54" s="432" t="s">
        <v>123</v>
      </c>
      <c r="I54" s="413">
        <f>(25.9/10)+((60.9/16)*2)</f>
        <v>10.202500000000001</v>
      </c>
      <c r="J54" s="597"/>
      <c r="K54" s="300"/>
      <c r="L54" s="303"/>
      <c r="M54" s="185" t="str">
        <f t="shared" si="4"/>
        <v>VÁLIDO</v>
      </c>
      <c r="N54" s="202"/>
      <c r="O54" s="361"/>
      <c r="P54" s="753"/>
      <c r="Q54" s="756"/>
      <c r="Y54" s="25"/>
    </row>
    <row r="55" spans="1:25" ht="55.8" customHeight="1" x14ac:dyDescent="0.3">
      <c r="A55" s="738"/>
      <c r="B55" s="742"/>
      <c r="C55" s="621"/>
      <c r="D55" s="621"/>
      <c r="E55" s="36" t="s">
        <v>438</v>
      </c>
      <c r="F55" s="33" t="s">
        <v>9</v>
      </c>
      <c r="G55" s="33" t="s">
        <v>430</v>
      </c>
      <c r="H55" s="47"/>
      <c r="I55" s="412">
        <v>10.34</v>
      </c>
      <c r="J55" s="597"/>
      <c r="K55" s="300"/>
      <c r="L55" s="303"/>
      <c r="M55" s="185" t="str">
        <f t="shared" si="4"/>
        <v>VÁLIDO</v>
      </c>
      <c r="N55" s="202"/>
      <c r="O55" s="361"/>
      <c r="P55" s="753"/>
      <c r="Q55" s="756"/>
      <c r="Y55" s="25"/>
    </row>
    <row r="56" spans="1:25" ht="70.2" customHeight="1" x14ac:dyDescent="0.3">
      <c r="A56" s="739"/>
      <c r="B56" s="743"/>
      <c r="C56" s="622"/>
      <c r="D56" s="622"/>
      <c r="E56" s="307" t="s">
        <v>486</v>
      </c>
      <c r="F56" s="45" t="s">
        <v>27</v>
      </c>
      <c r="G56" s="51" t="s">
        <v>276</v>
      </c>
      <c r="H56" s="179" t="s">
        <v>123</v>
      </c>
      <c r="I56" s="446">
        <f>(16.92/10)+11.99</f>
        <v>13.682</v>
      </c>
      <c r="J56" s="597"/>
      <c r="K56" s="89"/>
      <c r="L56" s="35"/>
      <c r="M56" s="250" t="str">
        <f t="shared" si="4"/>
        <v>EXCESSIVAMENTE ELEVADO</v>
      </c>
      <c r="N56" s="202">
        <f>(I56-J52)/J52</f>
        <v>0.32268849342216566</v>
      </c>
      <c r="O56" s="437" t="s">
        <v>120</v>
      </c>
      <c r="P56" s="753"/>
      <c r="Q56" s="756"/>
      <c r="Y56" s="25"/>
    </row>
    <row r="57" spans="1:25" ht="47.4" customHeight="1" thickBot="1" x14ac:dyDescent="0.35">
      <c r="A57" s="740"/>
      <c r="B57" s="744"/>
      <c r="C57" s="650"/>
      <c r="D57" s="650"/>
      <c r="E57" s="132" t="s">
        <v>227</v>
      </c>
      <c r="F57" s="132" t="s">
        <v>26</v>
      </c>
      <c r="G57" s="53" t="s">
        <v>228</v>
      </c>
      <c r="H57" s="42" t="s">
        <v>65</v>
      </c>
      <c r="I57" s="424">
        <v>15</v>
      </c>
      <c r="J57" s="598"/>
      <c r="K57" s="301"/>
      <c r="L57" s="304"/>
      <c r="M57" s="251" t="str">
        <f t="shared" si="4"/>
        <v>EXCESSIVAMENTE ELEVADO</v>
      </c>
      <c r="N57" s="248">
        <f>(I57-J52)/J52</f>
        <v>0.45010432695018887</v>
      </c>
      <c r="O57" s="483" t="s">
        <v>120</v>
      </c>
      <c r="P57" s="754"/>
      <c r="Q57" s="757"/>
      <c r="Y57" s="25"/>
    </row>
    <row r="58" spans="1:25" ht="41.4" x14ac:dyDescent="0.3">
      <c r="A58" s="758">
        <v>16</v>
      </c>
      <c r="B58" s="759" t="s">
        <v>419</v>
      </c>
      <c r="C58" s="584" t="s">
        <v>207</v>
      </c>
      <c r="D58" s="584">
        <f>10+30+20</f>
        <v>60</v>
      </c>
      <c r="E58" s="36" t="s">
        <v>488</v>
      </c>
      <c r="F58" s="33" t="s">
        <v>9</v>
      </c>
      <c r="G58" s="33" t="s">
        <v>439</v>
      </c>
      <c r="H58" s="47" t="s">
        <v>68</v>
      </c>
      <c r="I58" s="412">
        <v>16.739999999999998</v>
      </c>
      <c r="J58" s="597">
        <f>AVERAGE(I58:I63)</f>
        <v>30.821333333333332</v>
      </c>
      <c r="K58" s="416">
        <f>(J$58*30%)+J$58</f>
        <v>40.067733333333329</v>
      </c>
      <c r="L58" s="94">
        <f>70%*J$58</f>
        <v>21.57493333333333</v>
      </c>
      <c r="M58" s="193" t="str">
        <f>IF(I58&gt;K$58,"EXCESSIVAMENTE ELEVADO",IF(I58&lt;L$58,"INEXEQUÍVEL","VÁLIDO"))</f>
        <v>INEXEQUÍVEL</v>
      </c>
      <c r="N58" s="438">
        <f>I58/$J$58</f>
        <v>0.54313029935975077</v>
      </c>
      <c r="O58" s="349" t="s">
        <v>121</v>
      </c>
      <c r="P58" s="760">
        <f>TRUNC(MEDIAN(I60:I62),2)</f>
        <v>37.89</v>
      </c>
      <c r="Q58" s="603">
        <f>P58*D58</f>
        <v>2273.4</v>
      </c>
    </row>
    <row r="59" spans="1:25" ht="49.2" customHeight="1" x14ac:dyDescent="0.3">
      <c r="A59" s="758"/>
      <c r="B59" s="759"/>
      <c r="C59" s="584"/>
      <c r="D59" s="584"/>
      <c r="E59" s="36" t="s">
        <v>440</v>
      </c>
      <c r="F59" s="33" t="s">
        <v>9</v>
      </c>
      <c r="G59" s="33" t="s">
        <v>441</v>
      </c>
      <c r="H59" s="56"/>
      <c r="I59" s="412">
        <v>19</v>
      </c>
      <c r="J59" s="597"/>
      <c r="K59" s="111"/>
      <c r="L59" s="35"/>
      <c r="M59" s="193" t="str">
        <f>IF(I58&gt;K$58,"EXCESSIVAMENTE ELEVADO",IF(I58&lt;L$58,"INEXEQUÍVEL","VÁLIDO"))</f>
        <v>INEXEQUÍVEL</v>
      </c>
      <c r="N59" s="435">
        <f>I59/$J$58</f>
        <v>0.61645613427928714</v>
      </c>
      <c r="O59" s="437" t="s">
        <v>121</v>
      </c>
      <c r="P59" s="760"/>
      <c r="Q59" s="603"/>
    </row>
    <row r="60" spans="1:25" ht="127.2" customHeight="1" x14ac:dyDescent="0.3">
      <c r="A60" s="758"/>
      <c r="B60" s="759"/>
      <c r="C60" s="584"/>
      <c r="D60" s="584"/>
      <c r="E60" s="307" t="s">
        <v>437</v>
      </c>
      <c r="F60" s="45" t="s">
        <v>27</v>
      </c>
      <c r="G60" s="51" t="s">
        <v>420</v>
      </c>
      <c r="H60" s="432" t="s">
        <v>123</v>
      </c>
      <c r="I60" s="446">
        <f>(24.99/10)+28.9</f>
        <v>31.398999999999997</v>
      </c>
      <c r="J60" s="597"/>
      <c r="K60" s="111"/>
      <c r="L60" s="35"/>
      <c r="M60" s="193" t="str">
        <f>IF(I60&gt;K$58,"EXCESSIVAMENTE ELEVADO",IF(I60&lt;L$58,"INEXEQUÍVEL","VÁLIDO"))</f>
        <v>VÁLIDO</v>
      </c>
      <c r="N60" s="436"/>
      <c r="O60" s="377"/>
      <c r="P60" s="760"/>
      <c r="Q60" s="603"/>
    </row>
    <row r="61" spans="1:25" ht="69.599999999999994" customHeight="1" x14ac:dyDescent="0.3">
      <c r="A61" s="758"/>
      <c r="B61" s="759"/>
      <c r="C61" s="584"/>
      <c r="D61" s="584"/>
      <c r="E61" s="308" t="s">
        <v>442</v>
      </c>
      <c r="F61" s="40" t="s">
        <v>27</v>
      </c>
      <c r="G61" s="47" t="s">
        <v>443</v>
      </c>
      <c r="H61" s="434" t="s">
        <v>123</v>
      </c>
      <c r="I61" s="446">
        <f>(29.9/10)+34.9</f>
        <v>37.89</v>
      </c>
      <c r="J61" s="597"/>
      <c r="K61" s="111"/>
      <c r="L61" s="35"/>
      <c r="M61" s="193" t="str">
        <f>IF(I60&gt;K$58,"EXCESSIVAMENTE ELEVADO",IF(I60&lt;L$58,"INEXEQUÍVEL","VÁLIDO"))</f>
        <v>VÁLIDO</v>
      </c>
      <c r="N61" s="376"/>
      <c r="O61" s="219"/>
      <c r="P61" s="760"/>
      <c r="Q61" s="603"/>
    </row>
    <row r="62" spans="1:25" ht="39.6" customHeight="1" x14ac:dyDescent="0.3">
      <c r="A62" s="758"/>
      <c r="B62" s="759"/>
      <c r="C62" s="584"/>
      <c r="D62" s="584"/>
      <c r="E62" s="45" t="s">
        <v>227</v>
      </c>
      <c r="F62" s="45" t="s">
        <v>26</v>
      </c>
      <c r="G62" s="41" t="s">
        <v>228</v>
      </c>
      <c r="H62" s="38" t="s">
        <v>65</v>
      </c>
      <c r="I62" s="413">
        <v>39</v>
      </c>
      <c r="J62" s="597"/>
      <c r="K62" s="111"/>
      <c r="L62" s="35"/>
      <c r="M62" s="427" t="str">
        <f>IF(I61&gt;K$58,"EXCESSIVAMENTE ELEVADO",IF(I61&lt;L$58,"INEXEQUÍVEL","VÁLIDO"))</f>
        <v>VÁLIDO</v>
      </c>
      <c r="N62" s="435">
        <f>(I61-J58)/J58</f>
        <v>0.22934331199169414</v>
      </c>
      <c r="O62" s="437"/>
      <c r="P62" s="760"/>
      <c r="Q62" s="603"/>
    </row>
    <row r="63" spans="1:25" ht="109.8" customHeight="1" thickBot="1" x14ac:dyDescent="0.35">
      <c r="A63" s="758"/>
      <c r="B63" s="759"/>
      <c r="C63" s="584"/>
      <c r="D63" s="584"/>
      <c r="E63" s="307" t="s">
        <v>601</v>
      </c>
      <c r="F63" s="45" t="s">
        <v>27</v>
      </c>
      <c r="G63" s="51" t="s">
        <v>420</v>
      </c>
      <c r="H63" s="572" t="s">
        <v>123</v>
      </c>
      <c r="I63" s="557">
        <f>(24.99/10)+38.4</f>
        <v>40.899000000000001</v>
      </c>
      <c r="J63" s="597"/>
      <c r="K63" s="111"/>
      <c r="L63" s="35"/>
      <c r="M63" s="244" t="str">
        <f>IF(I63&gt;K$58,"EXCESSIVAMENTE ELEVADO",IF(I63&lt;L$58,"INEXEQUÍVEL","VÁLIDO"))</f>
        <v>EXCESSIVAMENTE ELEVADO</v>
      </c>
      <c r="N63" s="573">
        <f>(I62-J63)/J58</f>
        <v>1.2653573282574841</v>
      </c>
      <c r="O63" s="256" t="s">
        <v>487</v>
      </c>
      <c r="P63" s="760"/>
      <c r="Q63" s="603"/>
    </row>
    <row r="64" spans="1:25" ht="20.399999999999999" customHeight="1" thickBot="1" x14ac:dyDescent="0.35">
      <c r="A64" s="653"/>
      <c r="B64" s="654"/>
      <c r="C64" s="654"/>
      <c r="D64" s="654"/>
      <c r="E64" s="654"/>
      <c r="F64" s="654"/>
      <c r="G64" s="654"/>
      <c r="H64" s="654"/>
      <c r="I64" s="654"/>
      <c r="J64" s="654"/>
      <c r="K64" s="654"/>
      <c r="L64" s="654"/>
      <c r="M64" s="654"/>
      <c r="N64" s="654"/>
      <c r="O64" s="654"/>
      <c r="P64" s="654"/>
      <c r="Q64" s="174">
        <f>SUM(Q21:Q63)</f>
        <v>27463.800000000003</v>
      </c>
    </row>
    <row r="65" ht="63.6" customHeight="1" x14ac:dyDescent="0.3"/>
  </sheetData>
  <mergeCells count="64">
    <mergeCell ref="Q58:Q63"/>
    <mergeCell ref="A64:P64"/>
    <mergeCell ref="A58:A63"/>
    <mergeCell ref="B58:B63"/>
    <mergeCell ref="C58:C63"/>
    <mergeCell ref="D58:D63"/>
    <mergeCell ref="J58:J63"/>
    <mergeCell ref="P58:P63"/>
    <mergeCell ref="J52:J57"/>
    <mergeCell ref="P44:P51"/>
    <mergeCell ref="Q44:Q51"/>
    <mergeCell ref="P52:P57"/>
    <mergeCell ref="Q52:Q57"/>
    <mergeCell ref="Q35:Q43"/>
    <mergeCell ref="A44:A51"/>
    <mergeCell ref="B44:B51"/>
    <mergeCell ref="C44:C51"/>
    <mergeCell ref="D44:D51"/>
    <mergeCell ref="J35:J43"/>
    <mergeCell ref="P35:P43"/>
    <mergeCell ref="J44:J51"/>
    <mergeCell ref="A52:A57"/>
    <mergeCell ref="B52:B57"/>
    <mergeCell ref="C52:C57"/>
    <mergeCell ref="D52:D57"/>
    <mergeCell ref="A35:A43"/>
    <mergeCell ref="B35:B43"/>
    <mergeCell ref="C35:C43"/>
    <mergeCell ref="D35:D43"/>
    <mergeCell ref="S21:AD21"/>
    <mergeCell ref="S23:AD23"/>
    <mergeCell ref="A27:A34"/>
    <mergeCell ref="B27:B34"/>
    <mergeCell ref="C27:C34"/>
    <mergeCell ref="D27:D34"/>
    <mergeCell ref="J27:J34"/>
    <mergeCell ref="P27:P34"/>
    <mergeCell ref="Q27:Q34"/>
    <mergeCell ref="M19:M20"/>
    <mergeCell ref="N19:O20"/>
    <mergeCell ref="P19:Q19"/>
    <mergeCell ref="A21:A26"/>
    <mergeCell ref="B21:B26"/>
    <mergeCell ref="C21:C26"/>
    <mergeCell ref="D21:D26"/>
    <mergeCell ref="J21:J26"/>
    <mergeCell ref="P21:P26"/>
    <mergeCell ref="Q21:Q26"/>
    <mergeCell ref="F19:F20"/>
    <mergeCell ref="G19:G20"/>
    <mergeCell ref="I19:I20"/>
    <mergeCell ref="J19:J20"/>
    <mergeCell ref="K19:K20"/>
    <mergeCell ref="L19:L20"/>
    <mergeCell ref="A1:D1"/>
    <mergeCell ref="T13:AA13"/>
    <mergeCell ref="S14:S15"/>
    <mergeCell ref="T14:AB15"/>
    <mergeCell ref="S18:AD18"/>
    <mergeCell ref="A19:A20"/>
    <mergeCell ref="B19:B20"/>
    <mergeCell ref="C19:C20"/>
    <mergeCell ref="D19:D20"/>
    <mergeCell ref="E19:E20"/>
  </mergeCells>
  <conditionalFormatting sqref="M61:O61 N48:N49 M62:M63 N27:N32 N51 M50:N50 N53:N58 N60 M51:M60 N37:N43 M19:M49">
    <cfRule type="containsText" dxfId="763" priority="168" operator="containsText" text="Excessivamente elevado">
      <formula>NOT(ISERROR(SEARCH("Excessivamente elevado",M19)))</formula>
    </cfRule>
  </conditionalFormatting>
  <conditionalFormatting sqref="M61:O61 N48:N49 M62:M63 N27:N32 N51 M50:N50 N53:N58 N60 M51:M60 N37:N43 M21:M49">
    <cfRule type="cellIs" dxfId="762" priority="166" operator="lessThan">
      <formula>"K$25"</formula>
    </cfRule>
    <cfRule type="cellIs" dxfId="761" priority="167" operator="greaterThan">
      <formula>"J$25"</formula>
    </cfRule>
  </conditionalFormatting>
  <conditionalFormatting sqref="M61:O61 N48:N49 M62:M63 N27:N32 N51 M50:N50 N53:N58 N60 M51:M60 N37:N43 M21:M49">
    <cfRule type="cellIs" dxfId="760" priority="164" operator="lessThan">
      <formula>"K$25"</formula>
    </cfRule>
    <cfRule type="cellIs" dxfId="759" priority="165" operator="greaterThan">
      <formula>"J&amp;25"</formula>
    </cfRule>
  </conditionalFormatting>
  <conditionalFormatting sqref="N19">
    <cfRule type="containsText" dxfId="758" priority="163" operator="containsText" text="Excessivamente elevado">
      <formula>NOT(ISERROR(SEARCH("Excessivamente elevado",N19)))</formula>
    </cfRule>
  </conditionalFormatting>
  <conditionalFormatting sqref="N22">
    <cfRule type="containsText" dxfId="757" priority="158" operator="containsText" text="Excessivamente elevado">
      <formula>NOT(ISERROR(SEARCH("Excessivamente elevado",N22)))</formula>
    </cfRule>
  </conditionalFormatting>
  <conditionalFormatting sqref="N22">
    <cfRule type="cellIs" dxfId="756" priority="156" operator="lessThan">
      <formula>"K$25"</formula>
    </cfRule>
    <cfRule type="cellIs" dxfId="755" priority="157" operator="greaterThan">
      <formula>"J$25"</formula>
    </cfRule>
  </conditionalFormatting>
  <conditionalFormatting sqref="N22">
    <cfRule type="cellIs" dxfId="754" priority="154" operator="lessThan">
      <formula>"K$25"</formula>
    </cfRule>
    <cfRule type="cellIs" dxfId="753" priority="155" operator="greaterThan">
      <formula>"J&amp;25"</formula>
    </cfRule>
  </conditionalFormatting>
  <conditionalFormatting sqref="N22">
    <cfRule type="containsText" priority="159" operator="containsText" text="Excessivamente elevado">
      <formula>NOT(ISERROR(SEARCH("Excessivamente elevado",N22)))</formula>
    </cfRule>
    <cfRule type="containsText" dxfId="752" priority="160" operator="containsText" text="Válido">
      <formula>NOT(ISERROR(SEARCH("Válido",N22)))</formula>
    </cfRule>
    <cfRule type="containsText" dxfId="751" priority="161" operator="containsText" text="Inexequível">
      <formula>NOT(ISERROR(SEARCH("Inexequível",N22)))</formula>
    </cfRule>
    <cfRule type="aboveAverage" dxfId="750" priority="162" aboveAverage="0"/>
  </conditionalFormatting>
  <conditionalFormatting sqref="N23:N26">
    <cfRule type="containsText" dxfId="749" priority="149" operator="containsText" text="Excessivamente elevado">
      <formula>NOT(ISERROR(SEARCH("Excessivamente elevado",N23)))</formula>
    </cfRule>
  </conditionalFormatting>
  <conditionalFormatting sqref="N23:N26">
    <cfRule type="cellIs" dxfId="748" priority="147" operator="lessThan">
      <formula>"K$25"</formula>
    </cfRule>
    <cfRule type="cellIs" dxfId="747" priority="148" operator="greaterThan">
      <formula>"J$25"</formula>
    </cfRule>
  </conditionalFormatting>
  <conditionalFormatting sqref="N23:N26">
    <cfRule type="cellIs" dxfId="746" priority="145" operator="lessThan">
      <formula>"K$25"</formula>
    </cfRule>
    <cfRule type="cellIs" dxfId="745" priority="146" operator="greaterThan">
      <formula>"J&amp;25"</formula>
    </cfRule>
  </conditionalFormatting>
  <conditionalFormatting sqref="N35">
    <cfRule type="containsText" dxfId="744" priority="104" operator="containsText" text="Excessivamente elevado">
      <formula>NOT(ISERROR(SEARCH("Excessivamente elevado",N35)))</formula>
    </cfRule>
  </conditionalFormatting>
  <conditionalFormatting sqref="N35">
    <cfRule type="cellIs" dxfId="743" priority="102" operator="lessThan">
      <formula>"K$25"</formula>
    </cfRule>
    <cfRule type="cellIs" dxfId="742" priority="103" operator="greaterThan">
      <formula>"J$25"</formula>
    </cfRule>
  </conditionalFormatting>
  <conditionalFormatting sqref="N35">
    <cfRule type="cellIs" dxfId="741" priority="100" operator="lessThan">
      <formula>"K$25"</formula>
    </cfRule>
    <cfRule type="cellIs" dxfId="740" priority="101" operator="greaterThan">
      <formula>"J&amp;25"</formula>
    </cfRule>
  </conditionalFormatting>
  <conditionalFormatting sqref="N35">
    <cfRule type="containsText" priority="105" operator="containsText" text="Excessivamente elevado">
      <formula>NOT(ISERROR(SEARCH("Excessivamente elevado",N35)))</formula>
    </cfRule>
    <cfRule type="containsText" dxfId="739" priority="106" operator="containsText" text="Válido">
      <formula>NOT(ISERROR(SEARCH("Válido",N35)))</formula>
    </cfRule>
    <cfRule type="containsText" dxfId="738" priority="107" operator="containsText" text="Inexequível">
      <formula>NOT(ISERROR(SEARCH("Inexequível",N35)))</formula>
    </cfRule>
    <cfRule type="aboveAverage" dxfId="737" priority="108" aboveAverage="0"/>
  </conditionalFormatting>
  <conditionalFormatting sqref="N36">
    <cfRule type="containsText" dxfId="736" priority="95" operator="containsText" text="Excessivamente elevado">
      <formula>NOT(ISERROR(SEARCH("Excessivamente elevado",N36)))</formula>
    </cfRule>
  </conditionalFormatting>
  <conditionalFormatting sqref="N36">
    <cfRule type="cellIs" dxfId="735" priority="93" operator="lessThan">
      <formula>"K$25"</formula>
    </cfRule>
    <cfRule type="cellIs" dxfId="734" priority="94" operator="greaterThan">
      <formula>"J$25"</formula>
    </cfRule>
  </conditionalFormatting>
  <conditionalFormatting sqref="N36">
    <cfRule type="cellIs" dxfId="733" priority="91" operator="lessThan">
      <formula>"K$25"</formula>
    </cfRule>
    <cfRule type="cellIs" dxfId="732" priority="92" operator="greaterThan">
      <formula>"J&amp;25"</formula>
    </cfRule>
  </conditionalFormatting>
  <conditionalFormatting sqref="N36">
    <cfRule type="containsText" priority="96" operator="containsText" text="Excessivamente elevado">
      <formula>NOT(ISERROR(SEARCH("Excessivamente elevado",N36)))</formula>
    </cfRule>
    <cfRule type="containsText" dxfId="731" priority="97" operator="containsText" text="Válido">
      <formula>NOT(ISERROR(SEARCH("Válido",N36)))</formula>
    </cfRule>
    <cfRule type="containsText" dxfId="730" priority="98" operator="containsText" text="Inexequível">
      <formula>NOT(ISERROR(SEARCH("Inexequível",N36)))</formula>
    </cfRule>
    <cfRule type="aboveAverage" dxfId="729" priority="99" aboveAverage="0"/>
  </conditionalFormatting>
  <conditionalFormatting sqref="N62:N63">
    <cfRule type="containsText" dxfId="728" priority="59" operator="containsText" text="Excessivamente elevado">
      <formula>NOT(ISERROR(SEARCH("Excessivamente elevado",N62)))</formula>
    </cfRule>
  </conditionalFormatting>
  <conditionalFormatting sqref="N62:N63">
    <cfRule type="cellIs" dxfId="727" priority="57" operator="lessThan">
      <formula>"K$25"</formula>
    </cfRule>
    <cfRule type="cellIs" dxfId="726" priority="58" operator="greaterThan">
      <formula>"J$25"</formula>
    </cfRule>
  </conditionalFormatting>
  <conditionalFormatting sqref="N62:N63">
    <cfRule type="cellIs" dxfId="725" priority="55" operator="lessThan">
      <formula>"K$25"</formula>
    </cfRule>
    <cfRule type="cellIs" dxfId="724" priority="56" operator="greaterThan">
      <formula>"J&amp;25"</formula>
    </cfRule>
  </conditionalFormatting>
  <conditionalFormatting sqref="N44:N47">
    <cfRule type="containsText" dxfId="723" priority="50" operator="containsText" text="Excessivamente elevado">
      <formula>NOT(ISERROR(SEARCH("Excessivamente elevado",N44)))</formula>
    </cfRule>
  </conditionalFormatting>
  <conditionalFormatting sqref="N44:N47">
    <cfRule type="cellIs" dxfId="722" priority="48" operator="lessThan">
      <formula>"K$25"</formula>
    </cfRule>
    <cfRule type="cellIs" dxfId="721" priority="49" operator="greaterThan">
      <formula>"J$25"</formula>
    </cfRule>
  </conditionalFormatting>
  <conditionalFormatting sqref="N44:N47">
    <cfRule type="cellIs" dxfId="720" priority="46" operator="lessThan">
      <formula>"K$25"</formula>
    </cfRule>
    <cfRule type="cellIs" dxfId="719" priority="47" operator="greaterThan">
      <formula>"J&amp;25"</formula>
    </cfRule>
  </conditionalFormatting>
  <conditionalFormatting sqref="N44:N47">
    <cfRule type="containsText" priority="51" operator="containsText" text="Excessivamente elevado">
      <formula>NOT(ISERROR(SEARCH("Excessivamente elevado",N44)))</formula>
    </cfRule>
    <cfRule type="containsText" dxfId="718" priority="52" operator="containsText" text="Válido">
      <formula>NOT(ISERROR(SEARCH("Válido",N44)))</formula>
    </cfRule>
    <cfRule type="containsText" dxfId="717" priority="53" operator="containsText" text="Inexequível">
      <formula>NOT(ISERROR(SEARCH("Inexequível",N44)))</formula>
    </cfRule>
    <cfRule type="aboveAverage" dxfId="716" priority="54" aboveAverage="0"/>
  </conditionalFormatting>
  <conditionalFormatting sqref="N52">
    <cfRule type="containsText" dxfId="715" priority="41" operator="containsText" text="Excessivamente elevado">
      <formula>NOT(ISERROR(SEARCH("Excessivamente elevado",N52)))</formula>
    </cfRule>
  </conditionalFormatting>
  <conditionalFormatting sqref="N52">
    <cfRule type="cellIs" dxfId="714" priority="39" operator="lessThan">
      <formula>"K$25"</formula>
    </cfRule>
    <cfRule type="cellIs" dxfId="713" priority="40" operator="greaterThan">
      <formula>"J$25"</formula>
    </cfRule>
  </conditionalFormatting>
  <conditionalFormatting sqref="N52">
    <cfRule type="cellIs" dxfId="712" priority="37" operator="lessThan">
      <formula>"K$25"</formula>
    </cfRule>
    <cfRule type="cellIs" dxfId="711" priority="38" operator="greaterThan">
      <formula>"J&amp;25"</formula>
    </cfRule>
  </conditionalFormatting>
  <conditionalFormatting sqref="N52">
    <cfRule type="containsText" priority="42" operator="containsText" text="Excessivamente elevado">
      <formula>NOT(ISERROR(SEARCH("Excessivamente elevado",N52)))</formula>
    </cfRule>
    <cfRule type="containsText" dxfId="710" priority="43" operator="containsText" text="Válido">
      <formula>NOT(ISERROR(SEARCH("Válido",N52)))</formula>
    </cfRule>
    <cfRule type="containsText" dxfId="709" priority="44" operator="containsText" text="Inexequível">
      <formula>NOT(ISERROR(SEARCH("Inexequível",N52)))</formula>
    </cfRule>
    <cfRule type="aboveAverage" dxfId="708" priority="45" aboveAverage="0"/>
  </conditionalFormatting>
  <conditionalFormatting sqref="N60 N58">
    <cfRule type="containsText" priority="4519" operator="containsText" text="Excessivamente elevado">
      <formula>NOT(ISERROR(SEARCH("Excessivamente elevado",N58)))</formula>
    </cfRule>
    <cfRule type="containsText" dxfId="707" priority="4520" operator="containsText" text="Válido">
      <formula>NOT(ISERROR(SEARCH("Válido",N58)))</formula>
    </cfRule>
    <cfRule type="containsText" dxfId="706" priority="4521" operator="containsText" text="Inexequível">
      <formula>NOT(ISERROR(SEARCH("Inexequível",N58)))</formula>
    </cfRule>
    <cfRule type="aboveAverage" dxfId="705" priority="4522" aboveAverage="0"/>
  </conditionalFormatting>
  <conditionalFormatting sqref="N33:N34">
    <cfRule type="containsText" dxfId="704" priority="32" operator="containsText" text="Excessivamente elevado">
      <formula>NOT(ISERROR(SEARCH("Excessivamente elevado",N33)))</formula>
    </cfRule>
  </conditionalFormatting>
  <conditionalFormatting sqref="N33:N34">
    <cfRule type="cellIs" dxfId="703" priority="30" operator="lessThan">
      <formula>"K$25"</formula>
    </cfRule>
    <cfRule type="cellIs" dxfId="702" priority="31" operator="greaterThan">
      <formula>"J$25"</formula>
    </cfRule>
  </conditionalFormatting>
  <conditionalFormatting sqref="N33:N34">
    <cfRule type="cellIs" dxfId="701" priority="28" operator="lessThan">
      <formula>"K$25"</formula>
    </cfRule>
    <cfRule type="cellIs" dxfId="700" priority="29" operator="greaterThan">
      <formula>"J&amp;25"</formula>
    </cfRule>
  </conditionalFormatting>
  <conditionalFormatting sqref="N33:N34">
    <cfRule type="containsText" priority="33" operator="containsText" text="Excessivamente elevado">
      <formula>NOT(ISERROR(SEARCH("Excessivamente elevado",N33)))</formula>
    </cfRule>
    <cfRule type="containsText" dxfId="699" priority="34" operator="containsText" text="Válido">
      <formula>NOT(ISERROR(SEARCH("Válido",N33)))</formula>
    </cfRule>
    <cfRule type="containsText" dxfId="698" priority="35" operator="containsText" text="Inexequível">
      <formula>NOT(ISERROR(SEARCH("Inexequível",N33)))</formula>
    </cfRule>
    <cfRule type="aboveAverage" dxfId="697" priority="36" aboveAverage="0"/>
  </conditionalFormatting>
  <conditionalFormatting sqref="N27:N32">
    <cfRule type="containsText" priority="4676" operator="containsText" text="Excessivamente elevado">
      <formula>NOT(ISERROR(SEARCH("Excessivamente elevado",N27)))</formula>
    </cfRule>
    <cfRule type="containsText" dxfId="696" priority="4677" operator="containsText" text="Válido">
      <formula>NOT(ISERROR(SEARCH("Válido",N27)))</formula>
    </cfRule>
    <cfRule type="containsText" dxfId="695" priority="4678" operator="containsText" text="Inexequível">
      <formula>NOT(ISERROR(SEARCH("Inexequível",N27)))</formula>
    </cfRule>
    <cfRule type="aboveAverage" dxfId="694" priority="4679" aboveAverage="0"/>
  </conditionalFormatting>
  <conditionalFormatting sqref="N21">
    <cfRule type="containsText" dxfId="693" priority="14" operator="containsText" text="Excessivamente elevado">
      <formula>NOT(ISERROR(SEARCH("Excessivamente elevado",N21)))</formula>
    </cfRule>
  </conditionalFormatting>
  <conditionalFormatting sqref="N21">
    <cfRule type="cellIs" dxfId="692" priority="12" operator="lessThan">
      <formula>"K$25"</formula>
    </cfRule>
    <cfRule type="cellIs" dxfId="691" priority="13" operator="greaterThan">
      <formula>"J$25"</formula>
    </cfRule>
  </conditionalFormatting>
  <conditionalFormatting sqref="N21">
    <cfRule type="cellIs" dxfId="690" priority="10" operator="lessThan">
      <formula>"K$25"</formula>
    </cfRule>
    <cfRule type="cellIs" dxfId="689" priority="11" operator="greaterThan">
      <formula>"J&amp;25"</formula>
    </cfRule>
  </conditionalFormatting>
  <conditionalFormatting sqref="N21">
    <cfRule type="containsText" priority="15" operator="containsText" text="Excessivamente elevado">
      <formula>NOT(ISERROR(SEARCH("Excessivamente elevado",N21)))</formula>
    </cfRule>
    <cfRule type="containsText" dxfId="688" priority="16" operator="containsText" text="Válido">
      <formula>NOT(ISERROR(SEARCH("Válido",N21)))</formula>
    </cfRule>
    <cfRule type="containsText" dxfId="687" priority="17" operator="containsText" text="Inexequível">
      <formula>NOT(ISERROR(SEARCH("Inexequível",N21)))</formula>
    </cfRule>
    <cfRule type="aboveAverage" dxfId="686" priority="18" aboveAverage="0"/>
  </conditionalFormatting>
  <conditionalFormatting sqref="N23:N26">
    <cfRule type="containsText" priority="4690" operator="containsText" text="Excessivamente elevado">
      <formula>NOT(ISERROR(SEARCH("Excessivamente elevado",N23)))</formula>
    </cfRule>
    <cfRule type="containsText" dxfId="685" priority="4691" operator="containsText" text="Válido">
      <formula>NOT(ISERROR(SEARCH("Válido",N23)))</formula>
    </cfRule>
    <cfRule type="containsText" dxfId="684" priority="4692" operator="containsText" text="Inexequível">
      <formula>NOT(ISERROR(SEARCH("Inexequível",N23)))</formula>
    </cfRule>
    <cfRule type="aboveAverage" dxfId="683" priority="4693" aboveAverage="0"/>
  </conditionalFormatting>
  <conditionalFormatting sqref="N48:N51 N43 N53:N57">
    <cfRule type="containsText" priority="4782" operator="containsText" text="Excessivamente elevado">
      <formula>NOT(ISERROR(SEARCH("Excessivamente elevado",N43)))</formula>
    </cfRule>
    <cfRule type="containsText" dxfId="682" priority="4783" operator="containsText" text="Válido">
      <formula>NOT(ISERROR(SEARCH("Válido",N43)))</formula>
    </cfRule>
    <cfRule type="containsText" dxfId="681" priority="4784" operator="containsText" text="Inexequível">
      <formula>NOT(ISERROR(SEARCH("Inexequível",N43)))</formula>
    </cfRule>
    <cfRule type="aboveAverage" dxfId="680" priority="4785" aboveAverage="0"/>
  </conditionalFormatting>
  <conditionalFormatting sqref="M61:O61 M62:M63 M21:M60">
    <cfRule type="containsText" priority="4786" operator="containsText" text="Excessivamente elevado">
      <formula>NOT(ISERROR(SEARCH("Excessivamente elevado",M21)))</formula>
    </cfRule>
    <cfRule type="containsText" dxfId="679" priority="4787" operator="containsText" text="Válido">
      <formula>NOT(ISERROR(SEARCH("Válido",M21)))</formula>
    </cfRule>
    <cfRule type="containsText" dxfId="678" priority="4788" operator="containsText" text="Inexequível">
      <formula>NOT(ISERROR(SEARCH("Inexequível",M21)))</formula>
    </cfRule>
    <cfRule type="aboveAverage" dxfId="677" priority="4789" aboveAverage="0"/>
  </conditionalFormatting>
  <conditionalFormatting sqref="N62:N63">
    <cfRule type="containsText" priority="4798" operator="containsText" text="Excessivamente elevado">
      <formula>NOT(ISERROR(SEARCH("Excessivamente elevado",N62)))</formula>
    </cfRule>
    <cfRule type="containsText" dxfId="676" priority="4799" operator="containsText" text="Válido">
      <formula>NOT(ISERROR(SEARCH("Válido",N62)))</formula>
    </cfRule>
    <cfRule type="containsText" dxfId="675" priority="4800" operator="containsText" text="Inexequível">
      <formula>NOT(ISERROR(SEARCH("Inexequível",N62)))</formula>
    </cfRule>
    <cfRule type="aboveAverage" dxfId="674" priority="4801" aboveAverage="0"/>
  </conditionalFormatting>
  <conditionalFormatting sqref="N59">
    <cfRule type="containsText" dxfId="673" priority="5" operator="containsText" text="Excessivamente elevado">
      <formula>NOT(ISERROR(SEARCH("Excessivamente elevado",N59)))</formula>
    </cfRule>
  </conditionalFormatting>
  <conditionalFormatting sqref="N59">
    <cfRule type="cellIs" dxfId="672" priority="3" operator="lessThan">
      <formula>"K$25"</formula>
    </cfRule>
    <cfRule type="cellIs" dxfId="671" priority="4" operator="greaterThan">
      <formula>"J$25"</formula>
    </cfRule>
  </conditionalFormatting>
  <conditionalFormatting sqref="N59">
    <cfRule type="cellIs" dxfId="670" priority="1" operator="lessThan">
      <formula>"K$25"</formula>
    </cfRule>
    <cfRule type="cellIs" dxfId="669" priority="2" operator="greaterThan">
      <formula>"J&amp;25"</formula>
    </cfRule>
  </conditionalFormatting>
  <conditionalFormatting sqref="N59">
    <cfRule type="containsText" priority="4828" operator="containsText" text="Excessivamente elevado">
      <formula>NOT(ISERROR(SEARCH("Excessivamente elevado",N59)))</formula>
    </cfRule>
    <cfRule type="containsText" dxfId="668" priority="4829" operator="containsText" text="Válido">
      <formula>NOT(ISERROR(SEARCH("Válido",N59)))</formula>
    </cfRule>
    <cfRule type="containsText" dxfId="667" priority="4830" operator="containsText" text="Inexequível">
      <formula>NOT(ISERROR(SEARCH("Inexequível",N59)))</formula>
    </cfRule>
    <cfRule type="aboveAverage" dxfId="666" priority="4831" aboveAverage="0"/>
  </conditionalFormatting>
  <conditionalFormatting sqref="N37:N42">
    <cfRule type="containsText" priority="5201" operator="containsText" text="Excessivamente elevado">
      <formula>NOT(ISERROR(SEARCH("Excessivamente elevado",N37)))</formula>
    </cfRule>
    <cfRule type="containsText" dxfId="665" priority="5202" operator="containsText" text="Válido">
      <formula>NOT(ISERROR(SEARCH("Válido",N37)))</formula>
    </cfRule>
    <cfRule type="containsText" dxfId="664" priority="5203" operator="containsText" text="Inexequível">
      <formula>NOT(ISERROR(SEARCH("Inexequível",N37)))</formula>
    </cfRule>
    <cfRule type="aboveAverage" dxfId="663" priority="5204" aboveAverage="0"/>
  </conditionalFormatting>
  <pageMargins left="0.23622047244094491" right="0.23622047244094491" top="0.74803149606299213" bottom="0.74803149606299213" header="0.31496062992125984" footer="0.31496062992125984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90731-B51D-439A-A507-701C1650C54E}">
  <sheetPr>
    <tabColor theme="7" tint="0.39997558519241921"/>
  </sheetPr>
  <dimension ref="A1:AD116"/>
  <sheetViews>
    <sheetView showGridLines="0" zoomScale="130" zoomScaleNormal="130" workbookViewId="0">
      <selection activeCell="P27" sqref="P27"/>
    </sheetView>
  </sheetViews>
  <sheetFormatPr defaultColWidth="9.109375" defaultRowHeight="14.4" x14ac:dyDescent="0.3"/>
  <cols>
    <col min="1" max="1" width="4.5546875" style="20" customWidth="1"/>
    <col min="2" max="2" width="23.6640625" customWidth="1"/>
    <col min="3" max="3" width="5.33203125" customWidth="1"/>
    <col min="4" max="4" width="4.88671875" style="20" customWidth="1"/>
    <col min="5" max="5" width="22.21875" style="13" customWidth="1"/>
    <col min="6" max="6" width="9.21875" style="497" customWidth="1"/>
    <col min="7" max="7" width="26.5546875" style="13" customWidth="1"/>
    <col min="8" max="8" width="6.44140625" style="13" customWidth="1"/>
    <col min="9" max="9" width="9.109375" style="13" customWidth="1"/>
    <col min="10" max="10" width="9.6640625" style="13" customWidth="1"/>
    <col min="11" max="12" width="8" style="497" customWidth="1"/>
    <col min="13" max="13" width="13.6640625" style="13" customWidth="1"/>
    <col min="14" max="14" width="7.88671875" style="13" customWidth="1"/>
    <col min="15" max="15" width="18.88671875" style="13" customWidth="1"/>
    <col min="16" max="16" width="10.33203125" customWidth="1"/>
    <col min="17" max="17" width="11.6640625" customWidth="1"/>
    <col min="19" max="19" width="13.44140625" customWidth="1"/>
    <col min="22" max="22" width="12.5546875" bestFit="1" customWidth="1"/>
    <col min="25" max="25" width="10.5546875" bestFit="1" customWidth="1"/>
  </cols>
  <sheetData>
    <row r="1" spans="1:30" ht="18" thickBot="1" x14ac:dyDescent="0.4">
      <c r="A1" s="714" t="s">
        <v>67</v>
      </c>
      <c r="B1" s="714"/>
      <c r="C1" s="714"/>
      <c r="D1" s="714"/>
      <c r="M1" s="72" t="s">
        <v>41</v>
      </c>
      <c r="N1" s="273"/>
      <c r="O1"/>
      <c r="S1" s="343"/>
      <c r="T1" s="343"/>
      <c r="U1" s="343"/>
      <c r="V1" s="343"/>
      <c r="W1" s="343"/>
      <c r="X1" s="343"/>
      <c r="Y1" s="343"/>
      <c r="Z1" s="278"/>
      <c r="AA1" s="278"/>
      <c r="AB1" s="278"/>
      <c r="AC1" s="278"/>
      <c r="AD1" s="278"/>
    </row>
    <row r="2" spans="1:30" ht="15.6" thickTop="1" thickBot="1" x14ac:dyDescent="0.35">
      <c r="M2" s="59" t="s">
        <v>5</v>
      </c>
      <c r="N2" s="67"/>
      <c r="O2" s="70">
        <f>AVERAGE($I84:$I93)</f>
        <v>14.629</v>
      </c>
      <c r="S2" s="114" t="s">
        <v>79</v>
      </c>
      <c r="T2" s="114"/>
      <c r="U2" s="114"/>
      <c r="V2" s="114"/>
      <c r="W2" s="114"/>
      <c r="X2" s="114"/>
      <c r="Y2" s="114"/>
      <c r="Z2" s="115"/>
      <c r="AA2" s="115"/>
      <c r="AB2" s="115"/>
      <c r="AC2" s="115"/>
      <c r="AD2" s="115"/>
    </row>
    <row r="3" spans="1:30" ht="15.6" thickTop="1" thickBot="1" x14ac:dyDescent="0.35">
      <c r="A3" s="72" t="s">
        <v>69</v>
      </c>
      <c r="B3" s="29"/>
      <c r="C3" s="29"/>
      <c r="D3" s="29"/>
      <c r="E3"/>
      <c r="F3" s="498"/>
      <c r="G3" s="72" t="s">
        <v>38</v>
      </c>
      <c r="H3" s="273"/>
      <c r="I3"/>
      <c r="J3"/>
      <c r="K3" s="498"/>
      <c r="L3" s="498"/>
      <c r="M3" s="59" t="s">
        <v>6</v>
      </c>
      <c r="N3" s="68"/>
      <c r="O3" s="70">
        <f>_xlfn.STDEV.S($I84:$I93)</f>
        <v>8.6551631347357585</v>
      </c>
      <c r="S3" s="114"/>
      <c r="T3" s="114"/>
      <c r="U3" s="114"/>
      <c r="V3" s="114"/>
      <c r="W3" s="114"/>
      <c r="X3" s="114"/>
      <c r="Y3" s="114"/>
      <c r="Z3" s="115"/>
      <c r="AA3" s="115"/>
      <c r="AB3" s="115"/>
      <c r="AC3" s="115"/>
      <c r="AD3" s="115"/>
    </row>
    <row r="4" spans="1:30" ht="15" thickTop="1" x14ac:dyDescent="0.3">
      <c r="A4" s="59" t="s">
        <v>5</v>
      </c>
      <c r="B4" s="60"/>
      <c r="C4" s="60"/>
      <c r="D4" s="62"/>
      <c r="E4" s="70">
        <f>AVERAGE(I28:I36)</f>
        <v>12.465555555555556</v>
      </c>
      <c r="F4" s="499"/>
      <c r="G4" s="59" t="s">
        <v>5</v>
      </c>
      <c r="H4" s="62"/>
      <c r="I4" s="70">
        <f>AVERAGE(I55:I62)</f>
        <v>1.0718750000000001</v>
      </c>
      <c r="J4" s="70"/>
      <c r="K4" s="498"/>
      <c r="L4" s="498"/>
      <c r="M4" s="59" t="s">
        <v>29</v>
      </c>
      <c r="N4" s="68"/>
      <c r="O4" s="71">
        <f>(O3/O2)*100</f>
        <v>59.164420908713907</v>
      </c>
      <c r="S4" s="466" t="s">
        <v>80</v>
      </c>
      <c r="T4" s="466"/>
      <c r="U4" s="466"/>
      <c r="V4" s="466"/>
      <c r="W4" s="466"/>
      <c r="X4" s="466"/>
      <c r="Y4" s="466"/>
      <c r="Z4" s="466"/>
      <c r="AA4" s="466"/>
      <c r="AB4" s="115"/>
      <c r="AC4" s="113" t="s">
        <v>81</v>
      </c>
      <c r="AD4" s="115"/>
    </row>
    <row r="5" spans="1:30" x14ac:dyDescent="0.3">
      <c r="A5" s="59" t="s">
        <v>6</v>
      </c>
      <c r="B5" s="60"/>
      <c r="C5" s="60"/>
      <c r="D5" s="62"/>
      <c r="E5" s="70">
        <f>_xlfn.STDEV.S(I28:I36)</f>
        <v>4.9694972359161014</v>
      </c>
      <c r="F5" s="500"/>
      <c r="G5" s="59" t="s">
        <v>6</v>
      </c>
      <c r="H5" s="62"/>
      <c r="I5" s="70">
        <f>_xlfn.STDEV.S(I55:I62)</f>
        <v>0.29198749361671517</v>
      </c>
      <c r="J5" s="70"/>
      <c r="K5" s="498"/>
      <c r="L5" s="498"/>
      <c r="M5" s="59" t="s">
        <v>7</v>
      </c>
      <c r="N5" s="69"/>
      <c r="O5" s="131" t="str">
        <f>IF(O4&gt;25,"Mediana","Média")</f>
        <v>Mediana</v>
      </c>
      <c r="S5" s="115" t="s">
        <v>82</v>
      </c>
      <c r="T5" s="463" t="s">
        <v>83</v>
      </c>
      <c r="U5" s="463"/>
      <c r="V5" s="463"/>
      <c r="W5" s="463"/>
      <c r="X5" s="463"/>
      <c r="Y5" s="463"/>
      <c r="Z5" s="463"/>
      <c r="AA5" s="463"/>
      <c r="AB5" s="115"/>
      <c r="AC5" s="116" t="s">
        <v>125</v>
      </c>
      <c r="AD5" s="115"/>
    </row>
    <row r="6" spans="1:30" x14ac:dyDescent="0.3">
      <c r="A6" s="59" t="s">
        <v>29</v>
      </c>
      <c r="B6" s="60"/>
      <c r="C6" s="60"/>
      <c r="D6" s="62"/>
      <c r="E6" s="71">
        <f>(E5/E4)*100</f>
        <v>39.865830397758188</v>
      </c>
      <c r="F6" s="500"/>
      <c r="G6" s="59" t="s">
        <v>29</v>
      </c>
      <c r="H6" s="62"/>
      <c r="I6" s="71">
        <f>(I5/I4)*100</f>
        <v>27.24081573100549</v>
      </c>
      <c r="J6" s="71"/>
      <c r="K6" s="498"/>
      <c r="L6" s="498"/>
      <c r="M6" s="59" t="s">
        <v>8</v>
      </c>
      <c r="N6" s="67"/>
      <c r="O6" s="70">
        <f>MIN($I84:$I93)</f>
        <v>7.7</v>
      </c>
      <c r="S6" s="115" t="s">
        <v>84</v>
      </c>
      <c r="T6" s="463" t="s">
        <v>85</v>
      </c>
      <c r="U6" s="463"/>
      <c r="V6" s="463"/>
      <c r="W6" s="463"/>
      <c r="X6" s="463"/>
      <c r="Y6" s="463"/>
      <c r="Z6" s="463"/>
      <c r="AA6" s="463"/>
      <c r="AB6" s="115"/>
      <c r="AC6" s="116" t="s">
        <v>125</v>
      </c>
      <c r="AD6" s="115"/>
    </row>
    <row r="7" spans="1:30" x14ac:dyDescent="0.3">
      <c r="A7" s="59" t="s">
        <v>7</v>
      </c>
      <c r="B7" s="60"/>
      <c r="C7" s="60"/>
      <c r="D7" s="62"/>
      <c r="E7" s="131" t="str">
        <f>IF(E6&gt;25,"Mediana","Média")</f>
        <v>Mediana</v>
      </c>
      <c r="F7" s="501"/>
      <c r="G7" s="59" t="s">
        <v>7</v>
      </c>
      <c r="H7" s="62"/>
      <c r="I7" s="131" t="str">
        <f>IF(I6&gt;25,"Mediana","Média")</f>
        <v>Mediana</v>
      </c>
      <c r="J7" s="106"/>
      <c r="K7" s="498"/>
      <c r="L7" s="498"/>
      <c r="M7" s="72" t="s">
        <v>126</v>
      </c>
      <c r="N7" s="273"/>
      <c r="O7"/>
      <c r="S7" s="115" t="s">
        <v>86</v>
      </c>
      <c r="T7" s="463" t="s">
        <v>87</v>
      </c>
      <c r="U7" s="463"/>
      <c r="V7" s="463"/>
      <c r="W7" s="463"/>
      <c r="X7" s="463"/>
      <c r="Y7" s="463"/>
      <c r="Z7" s="463"/>
      <c r="AA7" s="463"/>
      <c r="AB7" s="115"/>
      <c r="AC7" s="116" t="s">
        <v>125</v>
      </c>
      <c r="AD7" s="115"/>
    </row>
    <row r="8" spans="1:30" x14ac:dyDescent="0.3">
      <c r="A8" s="59" t="s">
        <v>8</v>
      </c>
      <c r="B8" s="60"/>
      <c r="C8" s="60"/>
      <c r="D8" s="62"/>
      <c r="E8" s="70">
        <f>MIN($I28:$I36)</f>
        <v>5</v>
      </c>
      <c r="F8" s="499"/>
      <c r="G8" s="59" t="s">
        <v>8</v>
      </c>
      <c r="H8" s="62"/>
      <c r="I8" s="70">
        <f>MIN(I55:I62)</f>
        <v>0.65</v>
      </c>
      <c r="J8" s="102"/>
      <c r="K8" s="498"/>
      <c r="L8" s="498"/>
      <c r="M8" s="59" t="s">
        <v>5</v>
      </c>
      <c r="N8" s="67"/>
      <c r="O8" s="70">
        <f>AVERAGE($I94:$I100)</f>
        <v>5.9874285714285715</v>
      </c>
      <c r="S8" s="115" t="s">
        <v>88</v>
      </c>
      <c r="T8" s="463" t="s">
        <v>89</v>
      </c>
      <c r="U8" s="463"/>
      <c r="V8" s="463"/>
      <c r="W8" s="463"/>
      <c r="X8" s="463"/>
      <c r="Y8" s="463"/>
      <c r="Z8" s="463"/>
      <c r="AA8" s="463"/>
      <c r="AB8" s="115"/>
      <c r="AC8" s="116" t="s">
        <v>125</v>
      </c>
      <c r="AD8" s="115"/>
    </row>
    <row r="9" spans="1:30" x14ac:dyDescent="0.3">
      <c r="A9" s="59"/>
      <c r="B9" s="60"/>
      <c r="C9" s="60"/>
      <c r="D9" s="62"/>
      <c r="E9" s="65"/>
      <c r="F9" s="502"/>
      <c r="G9" s="66"/>
      <c r="H9" s="66"/>
      <c r="I9" s="50"/>
      <c r="J9" s="207"/>
      <c r="M9" s="59" t="s">
        <v>6</v>
      </c>
      <c r="N9" s="68"/>
      <c r="O9" s="70">
        <f>_xlfn.STDEV.S($I94:$I100)</f>
        <v>1.7431177869116099</v>
      </c>
      <c r="S9" s="115" t="s">
        <v>90</v>
      </c>
      <c r="T9" s="463" t="s">
        <v>91</v>
      </c>
      <c r="U9" s="463"/>
      <c r="V9" s="463"/>
      <c r="W9" s="463"/>
      <c r="X9" s="463"/>
      <c r="Y9" s="463"/>
      <c r="Z9" s="463"/>
      <c r="AA9" s="463"/>
      <c r="AB9" s="115"/>
      <c r="AC9" s="199" t="s">
        <v>127</v>
      </c>
      <c r="AD9" s="115"/>
    </row>
    <row r="10" spans="1:30" x14ac:dyDescent="0.3">
      <c r="J10" s="98"/>
      <c r="M10" s="59" t="s">
        <v>29</v>
      </c>
      <c r="N10" s="68"/>
      <c r="O10" s="71">
        <f>(O9/O8)*100</f>
        <v>29.11296170161593</v>
      </c>
      <c r="S10" s="115" t="s">
        <v>92</v>
      </c>
      <c r="T10" s="463" t="s">
        <v>93</v>
      </c>
      <c r="U10" s="463"/>
      <c r="V10" s="463"/>
      <c r="W10" s="463"/>
      <c r="X10" s="463"/>
      <c r="Y10" s="463"/>
      <c r="Z10" s="463"/>
      <c r="AA10" s="463"/>
      <c r="AB10" s="115"/>
      <c r="AC10" s="199" t="s">
        <v>127</v>
      </c>
      <c r="AD10" s="115"/>
    </row>
    <row r="11" spans="1:30" x14ac:dyDescent="0.3">
      <c r="A11" s="72" t="s">
        <v>72</v>
      </c>
      <c r="B11" s="29"/>
      <c r="C11" s="29"/>
      <c r="D11" s="29"/>
      <c r="E11"/>
      <c r="F11" s="498"/>
      <c r="G11" s="72" t="s">
        <v>40</v>
      </c>
      <c r="H11" s="273"/>
      <c r="I11"/>
      <c r="J11" s="97"/>
      <c r="K11" s="498"/>
      <c r="L11" s="498"/>
      <c r="M11" s="59" t="s">
        <v>7</v>
      </c>
      <c r="N11" s="69"/>
      <c r="O11" s="131" t="str">
        <f>IF(O10&gt;25,"Mediana","Média")</f>
        <v>Mediana</v>
      </c>
      <c r="S11" s="115" t="s">
        <v>94</v>
      </c>
      <c r="T11" s="463" t="s">
        <v>95</v>
      </c>
      <c r="U11" s="463"/>
      <c r="V11" s="463"/>
      <c r="W11" s="463"/>
      <c r="X11" s="463"/>
      <c r="Y11" s="463"/>
      <c r="Z11" s="463"/>
      <c r="AA11" s="463"/>
      <c r="AB11" s="115"/>
      <c r="AC11" s="199" t="s">
        <v>125</v>
      </c>
      <c r="AD11" s="208"/>
    </row>
    <row r="12" spans="1:30" x14ac:dyDescent="0.3">
      <c r="A12" s="28" t="s">
        <v>5</v>
      </c>
      <c r="B12" s="60"/>
      <c r="C12" s="60"/>
      <c r="D12" s="62"/>
      <c r="E12" s="70">
        <f>AVERAGE($I37:$I46)</f>
        <v>2.4569999999999999</v>
      </c>
      <c r="F12" s="499"/>
      <c r="G12" s="59" t="s">
        <v>5</v>
      </c>
      <c r="H12" s="67"/>
      <c r="I12" s="70">
        <f>AVERAGE($I63:$I74)</f>
        <v>1.9706388888888891</v>
      </c>
      <c r="J12" s="102"/>
      <c r="M12" s="59" t="s">
        <v>8</v>
      </c>
      <c r="N12" s="67"/>
      <c r="O12" s="70">
        <f>MIN($I94:$I100)</f>
        <v>3.3</v>
      </c>
      <c r="S12" s="115" t="s">
        <v>96</v>
      </c>
      <c r="T12" s="463" t="s">
        <v>97</v>
      </c>
      <c r="U12" s="463"/>
      <c r="V12" s="463"/>
      <c r="W12" s="463"/>
      <c r="X12" s="463"/>
      <c r="Y12" s="463"/>
      <c r="Z12" s="463"/>
      <c r="AA12" s="463"/>
      <c r="AB12" s="115"/>
      <c r="AC12" s="199" t="s">
        <v>125</v>
      </c>
      <c r="AD12" s="115"/>
    </row>
    <row r="13" spans="1:30" x14ac:dyDescent="0.3">
      <c r="A13" s="28" t="s">
        <v>6</v>
      </c>
      <c r="B13" s="60"/>
      <c r="C13" s="60"/>
      <c r="D13" s="62"/>
      <c r="E13" s="70">
        <f>_xlfn.STDEV.S($I37:$I46)</f>
        <v>1.3485799115283377</v>
      </c>
      <c r="F13" s="500"/>
      <c r="G13" s="59" t="s">
        <v>6</v>
      </c>
      <c r="H13" s="68"/>
      <c r="I13" s="70">
        <f>_xlfn.STDEV.S($I63:$I74)</f>
        <v>0.42779567619646297</v>
      </c>
      <c r="J13" s="102"/>
      <c r="M13" s="72" t="s">
        <v>128</v>
      </c>
      <c r="N13" s="273"/>
      <c r="O13"/>
      <c r="S13" s="115" t="s">
        <v>98</v>
      </c>
      <c r="T13" s="463" t="s">
        <v>99</v>
      </c>
      <c r="U13" s="463"/>
      <c r="V13" s="463"/>
      <c r="W13" s="463"/>
      <c r="X13" s="463"/>
      <c r="Y13" s="463"/>
      <c r="Z13" s="463"/>
      <c r="AA13" s="463"/>
      <c r="AB13" s="115"/>
      <c r="AC13" s="199" t="s">
        <v>127</v>
      </c>
      <c r="AD13" s="208"/>
    </row>
    <row r="14" spans="1:30" x14ac:dyDescent="0.3">
      <c r="A14" s="28" t="s">
        <v>29</v>
      </c>
      <c r="B14" s="60"/>
      <c r="C14" s="60"/>
      <c r="D14" s="62"/>
      <c r="E14" s="71">
        <f>(E13/E12)*100</f>
        <v>54.887257286460631</v>
      </c>
      <c r="F14" s="500"/>
      <c r="G14" s="59" t="s">
        <v>29</v>
      </c>
      <c r="H14" s="68"/>
      <c r="I14" s="71">
        <f>(I13/I12)*100</f>
        <v>21.708476302204115</v>
      </c>
      <c r="J14" s="104"/>
      <c r="M14" s="59" t="s">
        <v>5</v>
      </c>
      <c r="N14" s="67"/>
      <c r="O14" s="70">
        <f>AVERAGE($I101:$I107)</f>
        <v>5.9874285714285715</v>
      </c>
      <c r="S14" s="115" t="s">
        <v>100</v>
      </c>
      <c r="T14" s="715" t="s">
        <v>101</v>
      </c>
      <c r="U14" s="715"/>
      <c r="V14" s="715"/>
      <c r="W14" s="715"/>
      <c r="X14" s="715"/>
      <c r="Y14" s="715"/>
      <c r="Z14" s="715"/>
      <c r="AA14" s="715"/>
      <c r="AB14" s="115"/>
      <c r="AC14" s="116" t="s">
        <v>125</v>
      </c>
      <c r="AD14" s="115"/>
    </row>
    <row r="15" spans="1:30" x14ac:dyDescent="0.3">
      <c r="A15" s="28" t="s">
        <v>7</v>
      </c>
      <c r="B15" s="60"/>
      <c r="C15" s="60"/>
      <c r="D15" s="62"/>
      <c r="E15" s="131" t="str">
        <f>IF(E14&gt;25,"Mediana","Média")</f>
        <v>Mediana</v>
      </c>
      <c r="F15" s="501"/>
      <c r="G15" s="59" t="s">
        <v>7</v>
      </c>
      <c r="H15" s="69"/>
      <c r="I15" s="378" t="str">
        <f>IF(I14&gt;25,"Mediana","Média")</f>
        <v>Média</v>
      </c>
      <c r="J15" s="106"/>
      <c r="M15" s="59" t="s">
        <v>6</v>
      </c>
      <c r="N15" s="68"/>
      <c r="O15" s="70">
        <f>_xlfn.STDEV.S($I101:$I107)</f>
        <v>1.7431177869116099</v>
      </c>
      <c r="S15" s="716" t="s">
        <v>150</v>
      </c>
      <c r="T15" s="717" t="s">
        <v>151</v>
      </c>
      <c r="U15" s="717"/>
      <c r="V15" s="717"/>
      <c r="W15" s="717"/>
      <c r="X15" s="717"/>
      <c r="Y15" s="717"/>
      <c r="Z15" s="717"/>
      <c r="AA15" s="717"/>
      <c r="AB15" s="717"/>
      <c r="AC15" s="199" t="s">
        <v>127</v>
      </c>
      <c r="AD15" s="115"/>
    </row>
    <row r="16" spans="1:30" x14ac:dyDescent="0.3">
      <c r="A16" s="28" t="s">
        <v>8</v>
      </c>
      <c r="B16" s="60"/>
      <c r="C16" s="60"/>
      <c r="D16" s="62"/>
      <c r="E16" s="70">
        <f>MIN($I37:$I46)</f>
        <v>0.99</v>
      </c>
      <c r="F16" s="499"/>
      <c r="G16" s="59" t="s">
        <v>8</v>
      </c>
      <c r="H16" s="67"/>
      <c r="I16" s="70">
        <f>MIN($I63:$I74)</f>
        <v>1.39</v>
      </c>
      <c r="J16" s="70"/>
      <c r="M16" s="59" t="s">
        <v>29</v>
      </c>
      <c r="N16" s="68"/>
      <c r="O16" s="71">
        <f>(O15/O14)*100</f>
        <v>29.11296170161593</v>
      </c>
      <c r="S16" s="716"/>
      <c r="T16" s="717"/>
      <c r="U16" s="717"/>
      <c r="V16" s="717"/>
      <c r="W16" s="717"/>
      <c r="X16" s="717"/>
      <c r="Y16" s="717"/>
      <c r="Z16" s="717"/>
      <c r="AA16" s="717"/>
      <c r="AB16" s="717"/>
      <c r="AC16" s="115"/>
      <c r="AD16" s="115"/>
    </row>
    <row r="17" spans="1:30" x14ac:dyDescent="0.3">
      <c r="A17" s="28"/>
      <c r="B17" s="60"/>
      <c r="C17" s="60"/>
      <c r="D17" s="62"/>
      <c r="E17" s="70"/>
      <c r="F17" s="499"/>
      <c r="G17" s="59"/>
      <c r="H17" s="67"/>
      <c r="I17" s="70"/>
      <c r="J17" s="70"/>
      <c r="M17" s="59" t="s">
        <v>7</v>
      </c>
      <c r="N17" s="69"/>
      <c r="O17" s="131" t="str">
        <f>IF(O16&gt;25,"Mediana","Média")</f>
        <v>Mediana</v>
      </c>
      <c r="S17" s="113" t="s">
        <v>102</v>
      </c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</row>
    <row r="18" spans="1:30" x14ac:dyDescent="0.3">
      <c r="A18" s="72" t="s">
        <v>73</v>
      </c>
      <c r="B18" s="29"/>
      <c r="C18" s="29"/>
      <c r="D18" s="29"/>
      <c r="E18"/>
      <c r="F18" s="499"/>
      <c r="G18" s="72" t="s">
        <v>39</v>
      </c>
      <c r="H18" s="273"/>
      <c r="I18"/>
      <c r="J18" s="70"/>
      <c r="M18" s="59" t="s">
        <v>8</v>
      </c>
      <c r="N18" s="67"/>
      <c r="O18" s="70">
        <f>MIN($I101:$I107)</f>
        <v>3.3</v>
      </c>
      <c r="S18" s="463" t="s">
        <v>104</v>
      </c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</row>
    <row r="19" spans="1:30" x14ac:dyDescent="0.3">
      <c r="A19" s="28" t="s">
        <v>5</v>
      </c>
      <c r="B19" s="60"/>
      <c r="C19" s="60"/>
      <c r="D19" s="62"/>
      <c r="E19" s="70">
        <f>AVERAGE($I47:$I54)</f>
        <v>1.0718750000000001</v>
      </c>
      <c r="F19" s="499"/>
      <c r="G19" s="59" t="s">
        <v>5</v>
      </c>
      <c r="H19" s="67"/>
      <c r="I19" s="70">
        <f>AVERAGE($I75:$I83)</f>
        <v>1.0440740740740742</v>
      </c>
      <c r="J19" s="70"/>
      <c r="M19" s="72" t="s">
        <v>129</v>
      </c>
      <c r="N19" s="273"/>
      <c r="O19"/>
      <c r="S19" s="718" t="s">
        <v>162</v>
      </c>
      <c r="T19" s="718"/>
      <c r="U19" s="718"/>
      <c r="V19" s="718"/>
      <c r="W19" s="718"/>
      <c r="X19" s="718"/>
      <c r="Y19" s="718"/>
      <c r="Z19" s="718"/>
      <c r="AA19" s="718"/>
      <c r="AB19" s="718"/>
      <c r="AC19" s="718"/>
      <c r="AD19" s="718"/>
    </row>
    <row r="20" spans="1:30" x14ac:dyDescent="0.3">
      <c r="A20" s="28" t="s">
        <v>6</v>
      </c>
      <c r="B20" s="60"/>
      <c r="C20" s="60"/>
      <c r="D20" s="62"/>
      <c r="E20" s="70">
        <f>_xlfn.STDEV.S($I47:$I54)</f>
        <v>0.29198749361671517</v>
      </c>
      <c r="F20" s="499"/>
      <c r="G20" s="59" t="s">
        <v>6</v>
      </c>
      <c r="H20" s="68"/>
      <c r="I20" s="70">
        <f>_xlfn.STDEV.S($I75:$I83)</f>
        <v>0.47611208349440465</v>
      </c>
      <c r="J20" s="70"/>
      <c r="M20" s="59" t="s">
        <v>5</v>
      </c>
      <c r="N20" s="67"/>
      <c r="O20" s="70">
        <f>AVERAGE($I108:$I114)</f>
        <v>5.9874285714285715</v>
      </c>
      <c r="S20" s="718" t="s">
        <v>534</v>
      </c>
      <c r="T20" s="718"/>
      <c r="U20" s="718"/>
      <c r="V20" s="718"/>
      <c r="W20" s="718"/>
      <c r="X20" s="718"/>
      <c r="Y20" s="718"/>
      <c r="Z20" s="718"/>
      <c r="AA20" s="718"/>
      <c r="AB20" s="718"/>
      <c r="AC20" s="718"/>
      <c r="AD20" s="718"/>
    </row>
    <row r="21" spans="1:30" x14ac:dyDescent="0.3">
      <c r="A21" s="28" t="s">
        <v>29</v>
      </c>
      <c r="B21" s="60"/>
      <c r="C21" s="60"/>
      <c r="D21" s="62"/>
      <c r="E21" s="71">
        <f>(E20/E19)*100</f>
        <v>27.24081573100549</v>
      </c>
      <c r="F21" s="499"/>
      <c r="G21" s="59" t="s">
        <v>29</v>
      </c>
      <c r="H21" s="68"/>
      <c r="I21" s="71">
        <f>(I20/I19)*100</f>
        <v>45.601370182152976</v>
      </c>
      <c r="J21" s="70"/>
      <c r="M21" s="59" t="s">
        <v>6</v>
      </c>
      <c r="N21" s="68"/>
      <c r="O21" s="70">
        <f>_xlfn.STDEV.S($I108:$I114)</f>
        <v>1.7431177869116099</v>
      </c>
      <c r="S21" s="344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</row>
    <row r="22" spans="1:30" x14ac:dyDescent="0.3">
      <c r="A22" s="28" t="s">
        <v>7</v>
      </c>
      <c r="B22" s="60"/>
      <c r="C22" s="60"/>
      <c r="D22" s="62"/>
      <c r="E22" s="131" t="str">
        <f>IF(E21&gt;25,"Mediana","Média")</f>
        <v>Mediana</v>
      </c>
      <c r="F22" s="499"/>
      <c r="G22" s="59" t="s">
        <v>7</v>
      </c>
      <c r="H22" s="69"/>
      <c r="I22" s="131" t="str">
        <f>IF(I21&gt;25,"Mediana","Média")</f>
        <v>Mediana</v>
      </c>
      <c r="J22" s="70"/>
      <c r="M22" s="59" t="s">
        <v>29</v>
      </c>
      <c r="N22" s="68"/>
      <c r="O22" s="71">
        <f>(O21/O20)*100</f>
        <v>29.11296170161593</v>
      </c>
      <c r="S22" s="344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</row>
    <row r="23" spans="1:30" x14ac:dyDescent="0.3">
      <c r="A23" s="28" t="s">
        <v>8</v>
      </c>
      <c r="B23" s="60"/>
      <c r="C23" s="60"/>
      <c r="D23" s="62"/>
      <c r="E23" s="70">
        <f>MIN($I47:$I54)</f>
        <v>0.65</v>
      </c>
      <c r="F23" s="499"/>
      <c r="G23" s="59" t="s">
        <v>8</v>
      </c>
      <c r="H23" s="67"/>
      <c r="I23" s="70">
        <f>MIN($I75:$I83)</f>
        <v>0.62</v>
      </c>
      <c r="J23" s="70"/>
      <c r="M23" s="59" t="s">
        <v>7</v>
      </c>
      <c r="N23" s="69"/>
      <c r="O23" s="131" t="str">
        <f>IF(O22&gt;25,"Mediana","Média")</f>
        <v>Mediana</v>
      </c>
      <c r="S23" s="344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</row>
    <row r="24" spans="1:30" x14ac:dyDescent="0.3">
      <c r="A24" s="28"/>
      <c r="B24" s="60"/>
      <c r="C24" s="60"/>
      <c r="D24" s="62"/>
      <c r="E24" s="65"/>
      <c r="F24" s="502"/>
      <c r="G24" s="66"/>
      <c r="H24" s="66"/>
      <c r="I24" s="50"/>
      <c r="J24" s="50"/>
      <c r="M24" s="59" t="s">
        <v>8</v>
      </c>
      <c r="N24" s="67"/>
      <c r="O24" s="70">
        <f>MIN($I108:$I114)</f>
        <v>3.3</v>
      </c>
      <c r="S24" s="296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</row>
    <row r="25" spans="1:30" ht="15" thickBot="1" x14ac:dyDescent="0.35">
      <c r="A25" s="28"/>
      <c r="B25" s="60"/>
      <c r="C25" s="60"/>
      <c r="D25" s="62"/>
      <c r="E25" s="65"/>
      <c r="F25" s="502"/>
      <c r="G25" s="66"/>
      <c r="H25" s="66"/>
      <c r="I25" s="50"/>
      <c r="J25" s="50"/>
      <c r="S25" s="464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</row>
    <row r="26" spans="1:30" ht="15" customHeight="1" x14ac:dyDescent="0.3">
      <c r="A26" s="708" t="s">
        <v>10</v>
      </c>
      <c r="B26" s="710" t="s">
        <v>11</v>
      </c>
      <c r="C26" s="712" t="s">
        <v>12</v>
      </c>
      <c r="D26" s="712" t="s">
        <v>13</v>
      </c>
      <c r="E26" s="712" t="s">
        <v>30</v>
      </c>
      <c r="F26" s="710" t="s">
        <v>31</v>
      </c>
      <c r="G26" s="710" t="s">
        <v>16</v>
      </c>
      <c r="H26" s="270" t="s">
        <v>17</v>
      </c>
      <c r="I26" s="728" t="s">
        <v>18</v>
      </c>
      <c r="J26" s="730" t="s">
        <v>66</v>
      </c>
      <c r="K26" s="782" t="s">
        <v>32</v>
      </c>
      <c r="L26" s="784" t="s">
        <v>33</v>
      </c>
      <c r="M26" s="698" t="s">
        <v>19</v>
      </c>
      <c r="N26" s="719" t="s">
        <v>119</v>
      </c>
      <c r="O26" s="720"/>
      <c r="P26" s="723" t="s">
        <v>20</v>
      </c>
      <c r="Q26" s="724"/>
      <c r="S26" s="275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</row>
    <row r="27" spans="1:30" s="6" customFormat="1" ht="15" thickBot="1" x14ac:dyDescent="0.35">
      <c r="A27" s="777"/>
      <c r="B27" s="778"/>
      <c r="C27" s="779"/>
      <c r="D27" s="779"/>
      <c r="E27" s="779"/>
      <c r="F27" s="778"/>
      <c r="G27" s="778"/>
      <c r="H27" s="271"/>
      <c r="I27" s="781"/>
      <c r="J27" s="731"/>
      <c r="K27" s="783"/>
      <c r="L27" s="785"/>
      <c r="M27" s="786"/>
      <c r="N27" s="773"/>
      <c r="O27" s="774"/>
      <c r="P27" s="73" t="s">
        <v>21</v>
      </c>
      <c r="Q27" s="74" t="s">
        <v>22</v>
      </c>
      <c r="S27" s="27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</row>
    <row r="28" spans="1:30" ht="40.200000000000003" customHeight="1" x14ac:dyDescent="0.3">
      <c r="A28" s="587">
        <v>17</v>
      </c>
      <c r="B28" s="780" t="s">
        <v>182</v>
      </c>
      <c r="C28" s="584" t="s">
        <v>12</v>
      </c>
      <c r="D28" s="584">
        <f>15+10+30</f>
        <v>55</v>
      </c>
      <c r="E28" s="33" t="s">
        <v>254</v>
      </c>
      <c r="F28" s="503" t="s">
        <v>26</v>
      </c>
      <c r="G28" s="34" t="s">
        <v>252</v>
      </c>
      <c r="H28" s="33" t="s">
        <v>65</v>
      </c>
      <c r="I28" s="412">
        <v>5</v>
      </c>
      <c r="J28" s="663">
        <f>AVERAGE(I28:I36)</f>
        <v>12.465555555555556</v>
      </c>
      <c r="K28" s="511">
        <f>(J28*30%)+J28</f>
        <v>16.205222222222222</v>
      </c>
      <c r="L28" s="512">
        <f>70%*J28</f>
        <v>8.725888888888889</v>
      </c>
      <c r="M28" s="189" t="str">
        <f>IF(I28&gt;K$28,"EXCESSIVAMENTE ELEVADO",IF(I28&lt;L$28,"INEXEQUÍVEL","VÁLIDO"))</f>
        <v>INEXEQUÍVEL</v>
      </c>
      <c r="N28" s="202">
        <f>I28/$J$28</f>
        <v>0.40110526784918443</v>
      </c>
      <c r="O28" s="206" t="s">
        <v>468</v>
      </c>
      <c r="P28" s="605">
        <f>TRUNC(MEDIAN(I30:I34),2)</f>
        <v>12.71</v>
      </c>
      <c r="Q28" s="609">
        <f>D28*P28</f>
        <v>699.05000000000007</v>
      </c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</row>
    <row r="29" spans="1:30" ht="55.8" customHeight="1" x14ac:dyDescent="0.3">
      <c r="A29" s="587"/>
      <c r="B29" s="727"/>
      <c r="C29" s="584"/>
      <c r="D29" s="584"/>
      <c r="E29" s="421" t="s">
        <v>446</v>
      </c>
      <c r="F29" s="504" t="s">
        <v>341</v>
      </c>
      <c r="G29" s="41" t="s">
        <v>272</v>
      </c>
      <c r="H29" s="33" t="s">
        <v>68</v>
      </c>
      <c r="I29" s="557">
        <v>7.81</v>
      </c>
      <c r="J29" s="663"/>
      <c r="K29" s="513"/>
      <c r="L29" s="514"/>
      <c r="M29" s="189" t="str">
        <f t="shared" ref="M29:M34" si="0">IF(I28&gt;K$28,"EXCESSIVAMENTE ELEVADO",IF(I28&lt;L$28,"INEXEQUÍVEL","VÁLIDO"))</f>
        <v>INEXEQUÍVEL</v>
      </c>
      <c r="N29" s="202">
        <f>I29/$J$28</f>
        <v>0.62652642838042605</v>
      </c>
      <c r="O29" s="206" t="s">
        <v>468</v>
      </c>
      <c r="P29" s="606"/>
      <c r="Q29" s="610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</row>
    <row r="30" spans="1:30" ht="59.4" customHeight="1" x14ac:dyDescent="0.3">
      <c r="A30" s="587"/>
      <c r="B30" s="727"/>
      <c r="C30" s="584"/>
      <c r="D30" s="584"/>
      <c r="E30" s="421" t="s">
        <v>449</v>
      </c>
      <c r="F30" s="504" t="s">
        <v>341</v>
      </c>
      <c r="G30" s="41" t="s">
        <v>450</v>
      </c>
      <c r="H30" s="33" t="s">
        <v>68</v>
      </c>
      <c r="I30" s="557">
        <v>9.07</v>
      </c>
      <c r="J30" s="664"/>
      <c r="K30" s="513"/>
      <c r="L30" s="514"/>
      <c r="M30" s="189" t="str">
        <f>IF(I30&gt;K$28,"EXCESSIVAMENTE ELEVADO",IF(I30&lt;L$28,"INEXEQUÍVEL","VÁLIDO"))</f>
        <v>VÁLIDO</v>
      </c>
      <c r="N30" s="202"/>
      <c r="O30" s="206"/>
      <c r="P30" s="607"/>
      <c r="Q30" s="611"/>
      <c r="S30" s="340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</row>
    <row r="31" spans="1:30" ht="49.95" customHeight="1" x14ac:dyDescent="0.3">
      <c r="A31" s="587"/>
      <c r="B31" s="727"/>
      <c r="C31" s="584"/>
      <c r="D31" s="584"/>
      <c r="E31" s="421" t="s">
        <v>445</v>
      </c>
      <c r="F31" s="504" t="s">
        <v>341</v>
      </c>
      <c r="G31" s="41" t="s">
        <v>447</v>
      </c>
      <c r="H31" s="33" t="s">
        <v>68</v>
      </c>
      <c r="I31" s="413">
        <v>9.4</v>
      </c>
      <c r="J31" s="664"/>
      <c r="K31" s="513"/>
      <c r="L31" s="514"/>
      <c r="M31" s="189" t="str">
        <f t="shared" si="0"/>
        <v>VÁLIDO</v>
      </c>
      <c r="N31" s="210"/>
      <c r="O31" s="221"/>
      <c r="P31" s="607"/>
      <c r="Q31" s="611"/>
      <c r="S31" s="340"/>
      <c r="T31" s="415"/>
      <c r="U31" s="415"/>
      <c r="V31" s="415"/>
      <c r="W31" s="415"/>
      <c r="X31" s="415"/>
      <c r="Y31" s="415"/>
      <c r="Z31" s="415"/>
      <c r="AA31" s="415"/>
      <c r="AB31" s="415"/>
      <c r="AC31" s="415"/>
      <c r="AD31" s="415"/>
    </row>
    <row r="32" spans="1:30" ht="64.2" customHeight="1" x14ac:dyDescent="0.3">
      <c r="A32" s="587"/>
      <c r="B32" s="727"/>
      <c r="C32" s="584"/>
      <c r="D32" s="584"/>
      <c r="E32" s="421" t="s">
        <v>454</v>
      </c>
      <c r="F32" s="504" t="s">
        <v>341</v>
      </c>
      <c r="G32" s="41" t="s">
        <v>448</v>
      </c>
      <c r="H32" s="33"/>
      <c r="I32" s="413">
        <v>12.71</v>
      </c>
      <c r="J32" s="664"/>
      <c r="K32" s="513"/>
      <c r="L32" s="514"/>
      <c r="M32" s="189" t="str">
        <f t="shared" si="0"/>
        <v>VÁLIDO</v>
      </c>
      <c r="N32" s="210"/>
      <c r="O32" s="221"/>
      <c r="P32" s="607"/>
      <c r="Q32" s="611"/>
      <c r="S32" s="340"/>
      <c r="T32" s="415"/>
      <c r="U32" s="415"/>
      <c r="V32" s="415"/>
      <c r="W32" s="415"/>
      <c r="X32" s="415"/>
      <c r="Y32" s="415"/>
      <c r="Z32" s="415"/>
      <c r="AA32" s="415"/>
      <c r="AB32" s="415"/>
      <c r="AC32" s="415"/>
      <c r="AD32" s="415"/>
    </row>
    <row r="33" spans="1:30" ht="70.8" customHeight="1" x14ac:dyDescent="0.3">
      <c r="A33" s="587"/>
      <c r="B33" s="727"/>
      <c r="C33" s="584"/>
      <c r="D33" s="584"/>
      <c r="E33" s="421" t="s">
        <v>452</v>
      </c>
      <c r="F33" s="504" t="s">
        <v>341</v>
      </c>
      <c r="G33" s="41" t="s">
        <v>451</v>
      </c>
      <c r="H33" s="38" t="s">
        <v>68</v>
      </c>
      <c r="I33" s="413">
        <v>15</v>
      </c>
      <c r="J33" s="664"/>
      <c r="K33" s="513"/>
      <c r="L33" s="514"/>
      <c r="M33" s="189" t="str">
        <f t="shared" si="0"/>
        <v>VÁLIDO</v>
      </c>
      <c r="N33" s="210"/>
      <c r="O33" s="221"/>
      <c r="P33" s="607"/>
      <c r="Q33" s="611"/>
      <c r="S33" s="340"/>
      <c r="T33" s="415"/>
      <c r="U33" s="415"/>
      <c r="V33" s="415"/>
      <c r="W33" s="415"/>
      <c r="X33" s="415"/>
      <c r="Y33" s="415"/>
      <c r="Z33" s="415"/>
      <c r="AA33" s="415"/>
      <c r="AB33" s="415"/>
      <c r="AC33" s="415"/>
      <c r="AD33" s="415"/>
    </row>
    <row r="34" spans="1:30" ht="37.799999999999997" customHeight="1" x14ac:dyDescent="0.3">
      <c r="A34" s="587"/>
      <c r="B34" s="727"/>
      <c r="C34" s="584"/>
      <c r="D34" s="584"/>
      <c r="E34" s="45" t="s">
        <v>227</v>
      </c>
      <c r="F34" s="504" t="s">
        <v>26</v>
      </c>
      <c r="G34" s="41" t="s">
        <v>228</v>
      </c>
      <c r="H34" s="38" t="s">
        <v>65</v>
      </c>
      <c r="I34" s="413">
        <v>16</v>
      </c>
      <c r="J34" s="664"/>
      <c r="K34" s="513"/>
      <c r="L34" s="514"/>
      <c r="M34" s="282" t="str">
        <f t="shared" si="0"/>
        <v>VÁLIDO</v>
      </c>
      <c r="N34" s="210"/>
      <c r="O34" s="221"/>
      <c r="P34" s="607"/>
      <c r="Q34" s="611"/>
      <c r="S34" s="340"/>
      <c r="T34" s="415"/>
      <c r="U34" s="415"/>
      <c r="V34" s="415"/>
      <c r="W34" s="415"/>
      <c r="X34" s="415"/>
      <c r="Y34" s="415"/>
      <c r="Z34" s="415"/>
      <c r="AA34" s="415"/>
      <c r="AB34" s="415"/>
      <c r="AC34" s="415"/>
      <c r="AD34" s="415"/>
    </row>
    <row r="35" spans="1:30" ht="51" customHeight="1" x14ac:dyDescent="0.3">
      <c r="A35" s="587"/>
      <c r="B35" s="727"/>
      <c r="C35" s="584"/>
      <c r="D35" s="584"/>
      <c r="E35" s="479" t="s">
        <v>453</v>
      </c>
      <c r="F35" s="504" t="s">
        <v>341</v>
      </c>
      <c r="G35" s="41" t="s">
        <v>397</v>
      </c>
      <c r="H35" s="38" t="s">
        <v>68</v>
      </c>
      <c r="I35" s="413">
        <v>17.02</v>
      </c>
      <c r="J35" s="664"/>
      <c r="K35" s="513"/>
      <c r="L35" s="514"/>
      <c r="M35" s="282" t="str">
        <f>IF(I35&gt;K$28,"EXCESSIVAMENTE ELEVADO",IF(I35&lt;L$28,"INEXEQUÍVEL","VÁLIDO"))</f>
        <v>EXCESSIVAMENTE ELEVADO</v>
      </c>
      <c r="N35" s="210">
        <f>(I35-J28)/J28</f>
        <v>0.36536233175862376</v>
      </c>
      <c r="O35" s="221" t="s">
        <v>120</v>
      </c>
      <c r="P35" s="607"/>
      <c r="Q35" s="611"/>
      <c r="S35" s="340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</row>
    <row r="36" spans="1:30" ht="86.4" customHeight="1" thickBot="1" x14ac:dyDescent="0.35">
      <c r="A36" s="587"/>
      <c r="B36" s="727"/>
      <c r="C36" s="584"/>
      <c r="D36" s="584"/>
      <c r="E36" s="307" t="s">
        <v>444</v>
      </c>
      <c r="F36" s="504" t="s">
        <v>27</v>
      </c>
      <c r="G36" s="41" t="s">
        <v>251</v>
      </c>
      <c r="H36" s="179" t="s">
        <v>123</v>
      </c>
      <c r="I36" s="352">
        <f>(6.96/2)+16.7</f>
        <v>20.18</v>
      </c>
      <c r="J36" s="664"/>
      <c r="K36" s="513"/>
      <c r="L36" s="514"/>
      <c r="M36" s="282" t="str">
        <f>IF(I35&gt;K$28,"EXCESSIVAMENTE ELEVADO",IF(I35&lt;L$28,"INEXEQUÍVEL","VÁLIDO"))</f>
        <v>EXCESSIVAMENTE ELEVADO</v>
      </c>
      <c r="N36" s="210">
        <f>(I36-J28)/J28</f>
        <v>0.61886086103930826</v>
      </c>
      <c r="O36" s="221" t="s">
        <v>120</v>
      </c>
      <c r="P36" s="607"/>
      <c r="Q36" s="611"/>
      <c r="S36" s="340"/>
      <c r="T36" s="415"/>
      <c r="U36" s="415"/>
      <c r="V36" s="415"/>
      <c r="W36" s="415"/>
      <c r="X36" s="415"/>
      <c r="Y36" s="415"/>
      <c r="Z36" s="415"/>
      <c r="AA36" s="415"/>
      <c r="AB36" s="415"/>
      <c r="AC36" s="415"/>
      <c r="AD36" s="415"/>
    </row>
    <row r="37" spans="1:30" ht="46.2" customHeight="1" x14ac:dyDescent="0.3">
      <c r="A37" s="665">
        <v>18</v>
      </c>
      <c r="B37" s="733" t="s">
        <v>184</v>
      </c>
      <c r="C37" s="649" t="s">
        <v>12</v>
      </c>
      <c r="D37" s="649">
        <f>150+50+100</f>
        <v>300</v>
      </c>
      <c r="E37" s="162" t="s">
        <v>270</v>
      </c>
      <c r="F37" s="505" t="s">
        <v>24</v>
      </c>
      <c r="G37" s="198" t="s">
        <v>271</v>
      </c>
      <c r="H37" s="353" t="s">
        <v>68</v>
      </c>
      <c r="I37" s="299">
        <v>0.99</v>
      </c>
      <c r="J37" s="688">
        <f>AVERAGE(I37:I46)</f>
        <v>2.4569999999999999</v>
      </c>
      <c r="K37" s="515">
        <f>(J37*30%)+J37</f>
        <v>3.1940999999999997</v>
      </c>
      <c r="L37" s="516">
        <f>70%*J37</f>
        <v>1.7198999999999998</v>
      </c>
      <c r="M37" s="218" t="str">
        <f t="shared" ref="M37:M41" si="1">IF(I37&gt;K$37,"EXCESSIVAMENTE ELEVADO",IF(I37&lt;L$37,"INEXEQUÍVEL","VÁLIDO"))</f>
        <v>INEXEQUÍVEL</v>
      </c>
      <c r="N37" s="201">
        <f>I37/$J37</f>
        <v>0.40293040293040294</v>
      </c>
      <c r="O37" s="205" t="s">
        <v>468</v>
      </c>
      <c r="P37" s="599">
        <f>TRUNC(MEDIAN(I41:I43),2)</f>
        <v>2.5</v>
      </c>
      <c r="Q37" s="602">
        <f>P37*D37</f>
        <v>750</v>
      </c>
      <c r="S37" s="341"/>
      <c r="T37" s="341"/>
      <c r="U37" s="341"/>
      <c r="V37" s="341"/>
      <c r="W37" s="341"/>
      <c r="X37" s="341"/>
      <c r="Y37" s="342"/>
      <c r="Z37" s="341"/>
      <c r="AA37" s="341"/>
      <c r="AB37" s="341"/>
      <c r="AC37" s="341"/>
    </row>
    <row r="38" spans="1:30" ht="47.25" customHeight="1" x14ac:dyDescent="0.3">
      <c r="A38" s="669"/>
      <c r="B38" s="734"/>
      <c r="C38" s="620"/>
      <c r="D38" s="620"/>
      <c r="E38" s="54" t="s">
        <v>262</v>
      </c>
      <c r="F38" s="504" t="s">
        <v>9</v>
      </c>
      <c r="G38" s="41" t="s">
        <v>261</v>
      </c>
      <c r="H38" s="33" t="s">
        <v>68</v>
      </c>
      <c r="I38" s="89">
        <v>1</v>
      </c>
      <c r="J38" s="662"/>
      <c r="K38" s="517"/>
      <c r="L38" s="518"/>
      <c r="M38" s="185" t="str">
        <f t="shared" si="1"/>
        <v>INEXEQUÍVEL</v>
      </c>
      <c r="N38" s="202">
        <f>I38/$J$37</f>
        <v>0.40700040700040702</v>
      </c>
      <c r="O38" s="212" t="s">
        <v>637</v>
      </c>
      <c r="P38" s="600"/>
      <c r="Q38" s="603"/>
      <c r="Y38" s="25"/>
    </row>
    <row r="39" spans="1:30" ht="53.4" customHeight="1" x14ac:dyDescent="0.3">
      <c r="A39" s="666"/>
      <c r="B39" s="735"/>
      <c r="C39" s="621"/>
      <c r="D39" s="621"/>
      <c r="E39" s="54" t="s">
        <v>306</v>
      </c>
      <c r="F39" s="504" t="s">
        <v>9</v>
      </c>
      <c r="G39" s="41" t="s">
        <v>304</v>
      </c>
      <c r="H39" s="33"/>
      <c r="I39" s="89">
        <v>1.33</v>
      </c>
      <c r="J39" s="663"/>
      <c r="K39" s="519"/>
      <c r="L39" s="520"/>
      <c r="M39" s="185" t="str">
        <f t="shared" si="1"/>
        <v>INEXEQUÍVEL</v>
      </c>
      <c r="N39" s="202">
        <f>I39/$J37</f>
        <v>0.54131054131054135</v>
      </c>
      <c r="O39" s="212" t="s">
        <v>637</v>
      </c>
      <c r="P39" s="600"/>
      <c r="Q39" s="603"/>
      <c r="Y39" s="25"/>
    </row>
    <row r="40" spans="1:30" ht="56.4" customHeight="1" x14ac:dyDescent="0.3">
      <c r="A40" s="666"/>
      <c r="B40" s="735"/>
      <c r="C40" s="621"/>
      <c r="D40" s="621"/>
      <c r="E40" s="54" t="s">
        <v>305</v>
      </c>
      <c r="F40" s="574" t="s">
        <v>9</v>
      </c>
      <c r="G40" s="41" t="s">
        <v>309</v>
      </c>
      <c r="H40" s="33"/>
      <c r="I40" s="89">
        <v>1.55</v>
      </c>
      <c r="J40" s="663"/>
      <c r="K40" s="519"/>
      <c r="L40" s="520"/>
      <c r="M40" s="185" t="str">
        <f t="shared" si="1"/>
        <v>INEXEQUÍVEL</v>
      </c>
      <c r="N40" s="202">
        <f>I40/$J37</f>
        <v>0.63085063085063087</v>
      </c>
      <c r="O40" s="212" t="s">
        <v>637</v>
      </c>
      <c r="P40" s="600"/>
      <c r="Q40" s="603"/>
      <c r="Y40" s="25"/>
    </row>
    <row r="41" spans="1:30" ht="70.2" customHeight="1" x14ac:dyDescent="0.3">
      <c r="A41" s="667"/>
      <c r="B41" s="776"/>
      <c r="C41" s="622"/>
      <c r="D41" s="622"/>
      <c r="E41" s="54" t="s">
        <v>307</v>
      </c>
      <c r="F41" s="504" t="s">
        <v>9</v>
      </c>
      <c r="G41" s="41" t="s">
        <v>309</v>
      </c>
      <c r="H41" s="33"/>
      <c r="I41" s="89">
        <v>1.95</v>
      </c>
      <c r="J41" s="664"/>
      <c r="K41" s="513"/>
      <c r="L41" s="514"/>
      <c r="M41" s="185" t="str">
        <f t="shared" si="1"/>
        <v>VÁLIDO</v>
      </c>
      <c r="N41" s="202"/>
      <c r="O41" s="212"/>
      <c r="P41" s="600"/>
      <c r="Q41" s="603"/>
      <c r="Y41" s="25"/>
    </row>
    <row r="42" spans="1:30" ht="37.200000000000003" customHeight="1" x14ac:dyDescent="0.3">
      <c r="A42" s="667"/>
      <c r="B42" s="776"/>
      <c r="C42" s="622"/>
      <c r="D42" s="622"/>
      <c r="E42" s="33" t="s">
        <v>254</v>
      </c>
      <c r="F42" s="503" t="s">
        <v>26</v>
      </c>
      <c r="G42" s="34" t="s">
        <v>252</v>
      </c>
      <c r="H42" s="33" t="s">
        <v>65</v>
      </c>
      <c r="I42" s="351">
        <v>2.5</v>
      </c>
      <c r="J42" s="664"/>
      <c r="K42" s="513"/>
      <c r="L42" s="514"/>
      <c r="M42" s="250" t="str">
        <f>IF(I42&gt;K$37,"EXCESSIVAMENTE ELEVADO",IF(I42&lt;L$37,"INEXEQUÍVEL","VÁLIDO"))</f>
        <v>VÁLIDO</v>
      </c>
      <c r="N42" s="210"/>
      <c r="O42" s="221"/>
      <c r="P42" s="600"/>
      <c r="Q42" s="603"/>
      <c r="Y42" s="25"/>
    </row>
    <row r="43" spans="1:30" ht="55.2" customHeight="1" x14ac:dyDescent="0.3">
      <c r="A43" s="667"/>
      <c r="B43" s="776"/>
      <c r="C43" s="622"/>
      <c r="D43" s="622"/>
      <c r="E43" s="54" t="s">
        <v>308</v>
      </c>
      <c r="F43" s="504" t="s">
        <v>9</v>
      </c>
      <c r="G43" s="41" t="s">
        <v>309</v>
      </c>
      <c r="H43" s="33" t="s">
        <v>65</v>
      </c>
      <c r="I43" s="351">
        <v>2.75</v>
      </c>
      <c r="J43" s="664"/>
      <c r="K43" s="513"/>
      <c r="L43" s="514"/>
      <c r="M43" s="250" t="str">
        <f>IF(I43&gt;K$37,"EXCESSIVAMENTE ELEVADO",IF(I43&lt;L$37,"INEXEQUÍVEL","VÁLIDO"))</f>
        <v>VÁLIDO</v>
      </c>
      <c r="N43" s="210"/>
      <c r="O43" s="221"/>
      <c r="P43" s="600"/>
      <c r="Q43" s="603"/>
      <c r="Y43" s="25"/>
    </row>
    <row r="44" spans="1:30" ht="43.2" customHeight="1" x14ac:dyDescent="0.3">
      <c r="A44" s="667"/>
      <c r="B44" s="776"/>
      <c r="C44" s="622"/>
      <c r="D44" s="622"/>
      <c r="E44" s="40" t="s">
        <v>227</v>
      </c>
      <c r="F44" s="504" t="s">
        <v>26</v>
      </c>
      <c r="G44" s="41" t="s">
        <v>228</v>
      </c>
      <c r="H44" s="33" t="s">
        <v>65</v>
      </c>
      <c r="I44" s="351">
        <v>4</v>
      </c>
      <c r="J44" s="664"/>
      <c r="K44" s="513"/>
      <c r="L44" s="514"/>
      <c r="M44" s="250" t="str">
        <f>IF(I44&gt;K$37,"EXCESSIVAMENTE ELEVADO",IF(I44&lt;L$37,"INEXEQUÍVEL","VÁLIDO"))</f>
        <v>EXCESSIVAMENTE ELEVADO</v>
      </c>
      <c r="N44" s="210">
        <f>(I44-J37)/J37</f>
        <v>0.62800162800162806</v>
      </c>
      <c r="O44" s="213" t="s">
        <v>313</v>
      </c>
      <c r="P44" s="600"/>
      <c r="Q44" s="603"/>
      <c r="Y44" s="25"/>
    </row>
    <row r="45" spans="1:30" ht="51" customHeight="1" x14ac:dyDescent="0.3">
      <c r="A45" s="667"/>
      <c r="B45" s="776"/>
      <c r="C45" s="622"/>
      <c r="D45" s="622"/>
      <c r="E45" s="307" t="s">
        <v>311</v>
      </c>
      <c r="F45" s="504" t="s">
        <v>27</v>
      </c>
      <c r="G45" s="41" t="s">
        <v>312</v>
      </c>
      <c r="H45" s="33"/>
      <c r="I45" s="351">
        <f>3+0.6</f>
        <v>3.6</v>
      </c>
      <c r="J45" s="664"/>
      <c r="K45" s="513"/>
      <c r="L45" s="514"/>
      <c r="M45" s="250" t="str">
        <f>IF(I45&gt;K$37,"EXCESSIVAMENTE ELEVADO",IF(I45&lt;L$37,"INEXEQUÍVEL","VÁLIDO"))</f>
        <v>EXCESSIVAMENTE ELEVADO</v>
      </c>
      <c r="N45" s="210">
        <f>(I45-J37)/J37</f>
        <v>0.46520146520146533</v>
      </c>
      <c r="O45" s="363" t="s">
        <v>313</v>
      </c>
      <c r="P45" s="600"/>
      <c r="Q45" s="603"/>
      <c r="Y45" s="25"/>
    </row>
    <row r="46" spans="1:30" ht="65.400000000000006" customHeight="1" thickBot="1" x14ac:dyDescent="0.35">
      <c r="A46" s="667"/>
      <c r="B46" s="776"/>
      <c r="C46" s="622"/>
      <c r="D46" s="622"/>
      <c r="E46" s="307" t="s">
        <v>310</v>
      </c>
      <c r="F46" s="504" t="s">
        <v>27</v>
      </c>
      <c r="G46" s="41" t="s">
        <v>602</v>
      </c>
      <c r="H46" s="38"/>
      <c r="I46" s="450">
        <v>4.9000000000000004</v>
      </c>
      <c r="J46" s="664"/>
      <c r="K46" s="513"/>
      <c r="L46" s="514"/>
      <c r="M46" s="254" t="str">
        <f>IF(I46&gt;K$37,"EXCESSIVAMENTE ELEVADO",IF(I46&lt;L$37,"INEXEQUÍVEL","VÁLIDO"))</f>
        <v>EXCESSIVAMENTE ELEVADO</v>
      </c>
      <c r="N46" s="210">
        <f>(I46-J37)/J37</f>
        <v>0.99430199430199462</v>
      </c>
      <c r="O46" s="213" t="s">
        <v>313</v>
      </c>
      <c r="P46" s="600"/>
      <c r="Q46" s="603"/>
      <c r="Y46" s="25"/>
    </row>
    <row r="47" spans="1:30" ht="57.6" customHeight="1" x14ac:dyDescent="0.3">
      <c r="A47" s="586">
        <v>19</v>
      </c>
      <c r="B47" s="745" t="s">
        <v>185</v>
      </c>
      <c r="C47" s="592" t="s">
        <v>12</v>
      </c>
      <c r="D47" s="592">
        <f>2000+2000+1000</f>
        <v>5000</v>
      </c>
      <c r="E47" s="183" t="s">
        <v>262</v>
      </c>
      <c r="F47" s="505" t="s">
        <v>9</v>
      </c>
      <c r="G47" s="198" t="s">
        <v>263</v>
      </c>
      <c r="H47" s="85" t="s">
        <v>65</v>
      </c>
      <c r="I47" s="454">
        <v>0.65</v>
      </c>
      <c r="J47" s="596">
        <f>AVERAGE(I47:I54)</f>
        <v>1.0718750000000001</v>
      </c>
      <c r="K47" s="516">
        <f>(J47*30%)+J47</f>
        <v>1.3934375000000001</v>
      </c>
      <c r="L47" s="516">
        <f>70%*J47</f>
        <v>0.75031250000000005</v>
      </c>
      <c r="M47" s="204" t="str">
        <f t="shared" ref="M47:M54" si="2">IF(I47&gt;K$47,"EXCESSIVAMENTE ELEVADO",IF(I47&lt;L$47,"INEXEQUÍVEL","VÁLIDO"))</f>
        <v>INEXEQUÍVEL</v>
      </c>
      <c r="N47" s="201">
        <f>I47/$J$47</f>
        <v>0.60641399416909614</v>
      </c>
      <c r="O47" s="205" t="s">
        <v>468</v>
      </c>
      <c r="P47" s="599">
        <f>TRUNC(MEDIAN(I48:I53),2)</f>
        <v>1.05</v>
      </c>
      <c r="Q47" s="602">
        <f>P47*D47</f>
        <v>5250</v>
      </c>
      <c r="S47" t="s">
        <v>71</v>
      </c>
      <c r="Y47" s="25"/>
    </row>
    <row r="48" spans="1:30" ht="58.2" customHeight="1" x14ac:dyDescent="0.3">
      <c r="A48" s="587"/>
      <c r="B48" s="746"/>
      <c r="C48" s="584"/>
      <c r="D48" s="584"/>
      <c r="E48" s="54" t="s">
        <v>490</v>
      </c>
      <c r="F48" s="504" t="s">
        <v>9</v>
      </c>
      <c r="G48" s="41" t="s">
        <v>447</v>
      </c>
      <c r="H48" s="33" t="s">
        <v>68</v>
      </c>
      <c r="I48" s="450">
        <v>0.8</v>
      </c>
      <c r="J48" s="597"/>
      <c r="K48" s="519"/>
      <c r="L48" s="520"/>
      <c r="M48" s="185" t="str">
        <f t="shared" si="2"/>
        <v>VÁLIDO</v>
      </c>
      <c r="N48" s="202"/>
      <c r="O48" s="206"/>
      <c r="P48" s="600"/>
      <c r="Q48" s="603"/>
      <c r="Y48" s="25"/>
    </row>
    <row r="49" spans="1:25" ht="55.2" customHeight="1" x14ac:dyDescent="0.3">
      <c r="A49" s="587"/>
      <c r="B49" s="746"/>
      <c r="C49" s="584"/>
      <c r="D49" s="584"/>
      <c r="E49" s="54" t="s">
        <v>493</v>
      </c>
      <c r="F49" s="504" t="s">
        <v>9</v>
      </c>
      <c r="G49" s="41" t="s">
        <v>494</v>
      </c>
      <c r="H49" s="33" t="s">
        <v>65</v>
      </c>
      <c r="I49" s="450">
        <v>1</v>
      </c>
      <c r="J49" s="597"/>
      <c r="K49" s="519"/>
      <c r="L49" s="520"/>
      <c r="M49" s="185" t="str">
        <f t="shared" si="2"/>
        <v>VÁLIDO</v>
      </c>
      <c r="N49" s="202"/>
      <c r="O49" s="212"/>
      <c r="P49" s="600"/>
      <c r="Q49" s="603"/>
      <c r="Y49" s="25"/>
    </row>
    <row r="50" spans="1:25" ht="47.25" customHeight="1" x14ac:dyDescent="0.3">
      <c r="A50" s="587"/>
      <c r="B50" s="746"/>
      <c r="C50" s="584"/>
      <c r="D50" s="584"/>
      <c r="E50" s="33" t="s">
        <v>254</v>
      </c>
      <c r="F50" s="503" t="s">
        <v>26</v>
      </c>
      <c r="G50" s="34" t="s">
        <v>252</v>
      </c>
      <c r="H50" s="33" t="s">
        <v>65</v>
      </c>
      <c r="I50" s="450">
        <v>1</v>
      </c>
      <c r="J50" s="597"/>
      <c r="K50" s="513"/>
      <c r="L50" s="514"/>
      <c r="M50" s="185" t="str">
        <f t="shared" si="2"/>
        <v>VÁLIDO</v>
      </c>
      <c r="N50" s="202"/>
      <c r="O50" s="212"/>
      <c r="P50" s="600"/>
      <c r="Q50" s="603"/>
      <c r="Y50" s="25"/>
    </row>
    <row r="51" spans="1:25" ht="57.6" customHeight="1" x14ac:dyDescent="0.3">
      <c r="A51" s="587"/>
      <c r="B51" s="746"/>
      <c r="C51" s="584"/>
      <c r="D51" s="584"/>
      <c r="E51" s="54" t="s">
        <v>495</v>
      </c>
      <c r="F51" s="504" t="s">
        <v>9</v>
      </c>
      <c r="G51" s="41" t="s">
        <v>496</v>
      </c>
      <c r="H51" s="33" t="s">
        <v>65</v>
      </c>
      <c r="I51" s="450">
        <v>1.1000000000000001</v>
      </c>
      <c r="J51" s="597"/>
      <c r="K51" s="513"/>
      <c r="L51" s="514"/>
      <c r="M51" s="185" t="str">
        <f t="shared" si="2"/>
        <v>VÁLIDO</v>
      </c>
      <c r="N51" s="210"/>
      <c r="O51" s="221"/>
      <c r="P51" s="600"/>
      <c r="Q51" s="603"/>
      <c r="Y51" s="25"/>
    </row>
    <row r="52" spans="1:25" ht="108.6" customHeight="1" x14ac:dyDescent="0.3">
      <c r="A52" s="587"/>
      <c r="B52" s="746"/>
      <c r="C52" s="584"/>
      <c r="D52" s="584"/>
      <c r="E52" s="307" t="s">
        <v>489</v>
      </c>
      <c r="F52" s="504" t="s">
        <v>27</v>
      </c>
      <c r="G52" s="51" t="s">
        <v>251</v>
      </c>
      <c r="H52" s="33"/>
      <c r="I52" s="450">
        <f>(49.5+6.75)/50</f>
        <v>1.125</v>
      </c>
      <c r="J52" s="597"/>
      <c r="K52" s="513"/>
      <c r="L52" s="514"/>
      <c r="M52" s="185" t="str">
        <f t="shared" si="2"/>
        <v>VÁLIDO</v>
      </c>
      <c r="N52" s="210"/>
      <c r="O52" s="221"/>
      <c r="P52" s="600"/>
      <c r="Q52" s="603"/>
      <c r="Y52" s="25"/>
    </row>
    <row r="53" spans="1:25" ht="47.25" customHeight="1" x14ac:dyDescent="0.3">
      <c r="A53" s="587"/>
      <c r="B53" s="746"/>
      <c r="C53" s="584"/>
      <c r="D53" s="584"/>
      <c r="E53" s="40" t="s">
        <v>227</v>
      </c>
      <c r="F53" s="504" t="s">
        <v>26</v>
      </c>
      <c r="G53" s="41" t="s">
        <v>228</v>
      </c>
      <c r="H53" s="33" t="s">
        <v>65</v>
      </c>
      <c r="I53" s="446">
        <v>1.3</v>
      </c>
      <c r="J53" s="597"/>
      <c r="K53" s="513"/>
      <c r="L53" s="514"/>
      <c r="M53" s="250" t="str">
        <f t="shared" si="2"/>
        <v>VÁLIDO</v>
      </c>
      <c r="N53" s="210"/>
      <c r="O53" s="213"/>
      <c r="P53" s="600"/>
      <c r="Q53" s="603"/>
      <c r="Y53" s="25"/>
    </row>
    <row r="54" spans="1:25" ht="59.4" customHeight="1" thickBot="1" x14ac:dyDescent="0.35">
      <c r="A54" s="588"/>
      <c r="B54" s="775"/>
      <c r="C54" s="593"/>
      <c r="D54" s="593"/>
      <c r="E54" s="485" t="s">
        <v>491</v>
      </c>
      <c r="F54" s="506" t="s">
        <v>9</v>
      </c>
      <c r="G54" s="53" t="s">
        <v>492</v>
      </c>
      <c r="H54" s="42" t="s">
        <v>68</v>
      </c>
      <c r="I54" s="447">
        <v>1.6</v>
      </c>
      <c r="J54" s="598"/>
      <c r="K54" s="521"/>
      <c r="L54" s="522"/>
      <c r="M54" s="251" t="str">
        <f t="shared" si="2"/>
        <v>EXCESSIVAMENTE ELEVADO</v>
      </c>
      <c r="N54" s="214">
        <f>(I54-J47)/J47</f>
        <v>0.49271137026239059</v>
      </c>
      <c r="O54" s="220" t="s">
        <v>120</v>
      </c>
      <c r="P54" s="601"/>
      <c r="Q54" s="604"/>
      <c r="Y54" s="25"/>
    </row>
    <row r="55" spans="1:25" ht="43.2" customHeight="1" x14ac:dyDescent="0.3">
      <c r="A55" s="665">
        <v>20</v>
      </c>
      <c r="B55" s="769" t="s">
        <v>186</v>
      </c>
      <c r="C55" s="649" t="s">
        <v>12</v>
      </c>
      <c r="D55" s="649">
        <f>1000+1000+1000</f>
        <v>3000</v>
      </c>
      <c r="E55" s="183" t="s">
        <v>262</v>
      </c>
      <c r="F55" s="505" t="s">
        <v>9</v>
      </c>
      <c r="G55" s="198" t="s">
        <v>263</v>
      </c>
      <c r="H55" s="85" t="s">
        <v>65</v>
      </c>
      <c r="I55" s="454">
        <v>0.65</v>
      </c>
      <c r="J55" s="596">
        <f>AVERAGE(I55:I62)</f>
        <v>1.0718750000000001</v>
      </c>
      <c r="K55" s="516">
        <f>(J55*30%)+J55</f>
        <v>1.3934375000000001</v>
      </c>
      <c r="L55" s="516">
        <f>70%*J55</f>
        <v>0.75031250000000005</v>
      </c>
      <c r="M55" s="218" t="str">
        <f t="shared" ref="M55:M61" si="3">IF(I55&gt;K$47,"EXCESSIVAMENTE ELEVADO",IF(I55&lt;L$47,"INEXEQUÍVEL","VÁLIDO"))</f>
        <v>INEXEQUÍVEL</v>
      </c>
      <c r="N55" s="201">
        <f>I55/$J$55</f>
        <v>0.60641399416909614</v>
      </c>
      <c r="O55" s="205" t="s">
        <v>121</v>
      </c>
      <c r="P55" s="599">
        <f>TRUNC(MEDIAN(I56:I61),2)</f>
        <v>1.05</v>
      </c>
      <c r="Q55" s="602">
        <f>P55*D55</f>
        <v>3150</v>
      </c>
      <c r="Y55" s="25"/>
    </row>
    <row r="56" spans="1:25" ht="53.4" customHeight="1" x14ac:dyDescent="0.3">
      <c r="A56" s="666"/>
      <c r="B56" s="770"/>
      <c r="C56" s="621"/>
      <c r="D56" s="621"/>
      <c r="E56" s="54" t="s">
        <v>490</v>
      </c>
      <c r="F56" s="504" t="s">
        <v>9</v>
      </c>
      <c r="G56" s="41" t="s">
        <v>447</v>
      </c>
      <c r="H56" s="33" t="s">
        <v>68</v>
      </c>
      <c r="I56" s="450">
        <v>0.8</v>
      </c>
      <c r="J56" s="597"/>
      <c r="K56" s="519"/>
      <c r="L56" s="520"/>
      <c r="M56" s="185" t="str">
        <f t="shared" si="3"/>
        <v>VÁLIDO</v>
      </c>
      <c r="N56" s="210"/>
      <c r="O56" s="213"/>
      <c r="P56" s="600"/>
      <c r="Q56" s="603"/>
      <c r="Y56" s="25"/>
    </row>
    <row r="57" spans="1:25" ht="50.4" customHeight="1" x14ac:dyDescent="0.3">
      <c r="A57" s="666"/>
      <c r="B57" s="770"/>
      <c r="C57" s="621"/>
      <c r="D57" s="621"/>
      <c r="E57" s="54" t="s">
        <v>493</v>
      </c>
      <c r="F57" s="504" t="s">
        <v>9</v>
      </c>
      <c r="G57" s="41" t="s">
        <v>494</v>
      </c>
      <c r="H57" s="33" t="s">
        <v>65</v>
      </c>
      <c r="I57" s="450">
        <v>1</v>
      </c>
      <c r="J57" s="597"/>
      <c r="K57" s="519"/>
      <c r="L57" s="520"/>
      <c r="M57" s="185" t="str">
        <f t="shared" si="3"/>
        <v>VÁLIDO</v>
      </c>
      <c r="N57" s="210"/>
      <c r="O57" s="213"/>
      <c r="P57" s="600"/>
      <c r="Q57" s="603"/>
      <c r="Y57" s="25"/>
    </row>
    <row r="58" spans="1:25" ht="39.6" customHeight="1" x14ac:dyDescent="0.3">
      <c r="A58" s="666"/>
      <c r="B58" s="770"/>
      <c r="C58" s="621"/>
      <c r="D58" s="621"/>
      <c r="E58" s="33" t="s">
        <v>254</v>
      </c>
      <c r="F58" s="503" t="s">
        <v>26</v>
      </c>
      <c r="G58" s="34" t="s">
        <v>252</v>
      </c>
      <c r="H58" s="33" t="s">
        <v>65</v>
      </c>
      <c r="I58" s="450">
        <v>1</v>
      </c>
      <c r="J58" s="597"/>
      <c r="K58" s="519"/>
      <c r="L58" s="520"/>
      <c r="M58" s="185" t="str">
        <f t="shared" si="3"/>
        <v>VÁLIDO</v>
      </c>
      <c r="N58" s="210"/>
      <c r="O58" s="213"/>
      <c r="P58" s="600"/>
      <c r="Q58" s="603"/>
      <c r="Y58" s="25"/>
    </row>
    <row r="59" spans="1:25" ht="56.4" customHeight="1" x14ac:dyDescent="0.3">
      <c r="A59" s="667"/>
      <c r="B59" s="772"/>
      <c r="C59" s="622"/>
      <c r="D59" s="622"/>
      <c r="E59" s="54" t="s">
        <v>495</v>
      </c>
      <c r="F59" s="504" t="s">
        <v>9</v>
      </c>
      <c r="G59" s="41" t="s">
        <v>496</v>
      </c>
      <c r="H59" s="33" t="s">
        <v>65</v>
      </c>
      <c r="I59" s="450">
        <v>1.1000000000000001</v>
      </c>
      <c r="J59" s="597"/>
      <c r="K59" s="513"/>
      <c r="L59" s="514"/>
      <c r="M59" s="185" t="str">
        <f t="shared" si="3"/>
        <v>VÁLIDO</v>
      </c>
      <c r="N59" s="210"/>
      <c r="O59" s="213"/>
      <c r="P59" s="600"/>
      <c r="Q59" s="603"/>
      <c r="Y59" s="25"/>
    </row>
    <row r="60" spans="1:25" ht="109.8" customHeight="1" x14ac:dyDescent="0.3">
      <c r="A60" s="667"/>
      <c r="B60" s="772"/>
      <c r="C60" s="622"/>
      <c r="D60" s="622"/>
      <c r="E60" s="307" t="s">
        <v>489</v>
      </c>
      <c r="F60" s="504" t="s">
        <v>27</v>
      </c>
      <c r="G60" s="51" t="s">
        <v>251</v>
      </c>
      <c r="H60" s="33"/>
      <c r="I60" s="450">
        <f>(49.5+6.75)/50</f>
        <v>1.125</v>
      </c>
      <c r="J60" s="597"/>
      <c r="K60" s="513"/>
      <c r="L60" s="514"/>
      <c r="M60" s="484" t="str">
        <f t="shared" si="3"/>
        <v>VÁLIDO</v>
      </c>
      <c r="N60" s="210"/>
      <c r="O60" s="213"/>
      <c r="P60" s="600"/>
      <c r="Q60" s="603"/>
      <c r="Y60" s="25"/>
    </row>
    <row r="61" spans="1:25" ht="38.4" customHeight="1" x14ac:dyDescent="0.3">
      <c r="A61" s="667"/>
      <c r="B61" s="772"/>
      <c r="C61" s="622"/>
      <c r="D61" s="622"/>
      <c r="E61" s="40" t="s">
        <v>227</v>
      </c>
      <c r="F61" s="504" t="s">
        <v>26</v>
      </c>
      <c r="G61" s="41" t="s">
        <v>228</v>
      </c>
      <c r="H61" s="33" t="s">
        <v>65</v>
      </c>
      <c r="I61" s="446">
        <v>1.3</v>
      </c>
      <c r="J61" s="597"/>
      <c r="K61" s="513"/>
      <c r="L61" s="514"/>
      <c r="M61" s="185" t="str">
        <f t="shared" si="3"/>
        <v>VÁLIDO</v>
      </c>
      <c r="N61" s="210"/>
      <c r="O61" s="213"/>
      <c r="P61" s="600"/>
      <c r="Q61" s="603"/>
      <c r="Y61" s="25"/>
    </row>
    <row r="62" spans="1:25" ht="51" customHeight="1" thickBot="1" x14ac:dyDescent="0.35">
      <c r="A62" s="668"/>
      <c r="B62" s="771"/>
      <c r="C62" s="650"/>
      <c r="D62" s="650"/>
      <c r="E62" s="485" t="s">
        <v>491</v>
      </c>
      <c r="F62" s="506" t="s">
        <v>9</v>
      </c>
      <c r="G62" s="53" t="s">
        <v>492</v>
      </c>
      <c r="H62" s="42" t="s">
        <v>68</v>
      </c>
      <c r="I62" s="447">
        <v>1.6</v>
      </c>
      <c r="J62" s="598"/>
      <c r="K62" s="521"/>
      <c r="L62" s="522"/>
      <c r="M62" s="251" t="str">
        <f t="shared" ref="M62" si="4">IF(I62&gt;K$47,"EXCESSIVAMENTE ELEVADO",IF(I62&lt;L$47,"INEXEQUÍVEL","VÁLIDO"))</f>
        <v>EXCESSIVAMENTE ELEVADO</v>
      </c>
      <c r="N62" s="214">
        <f>(I62-J55)/J55</f>
        <v>0.49271137026239059</v>
      </c>
      <c r="O62" s="220" t="s">
        <v>313</v>
      </c>
      <c r="P62" s="601"/>
      <c r="Q62" s="604"/>
      <c r="Y62" s="25"/>
    </row>
    <row r="63" spans="1:25" ht="45.6" customHeight="1" x14ac:dyDescent="0.3">
      <c r="A63" s="665">
        <v>21</v>
      </c>
      <c r="B63" s="769" t="s">
        <v>187</v>
      </c>
      <c r="C63" s="649" t="s">
        <v>12</v>
      </c>
      <c r="D63" s="649">
        <f>500+250+100</f>
        <v>850</v>
      </c>
      <c r="E63" s="54" t="s">
        <v>262</v>
      </c>
      <c r="F63" s="504" t="s">
        <v>9</v>
      </c>
      <c r="G63" s="41" t="s">
        <v>263</v>
      </c>
      <c r="H63" s="33" t="s">
        <v>65</v>
      </c>
      <c r="I63" s="446">
        <v>1.39</v>
      </c>
      <c r="J63" s="596">
        <f>AVERAGE(I63:I74)</f>
        <v>1.9706388888888891</v>
      </c>
      <c r="K63" s="516">
        <f>(J63*30%)+J63</f>
        <v>2.5618305555555558</v>
      </c>
      <c r="L63" s="516">
        <f>70%*J63</f>
        <v>1.3794472222222223</v>
      </c>
      <c r="M63" s="487" t="str">
        <f t="shared" ref="M63:M74" si="5">IF(I63&gt;K$63,"EXCESSIVAMENTE ELEVADO",IF(I63&lt;L$63,"INEXEQUÍVEL","VÁLIDO"))</f>
        <v>VÁLIDO</v>
      </c>
      <c r="N63" s="201"/>
      <c r="O63" s="205"/>
      <c r="P63" s="599">
        <f>TRUNC(AVERAGE(I63:I73),2)</f>
        <v>1.88</v>
      </c>
      <c r="Q63" s="602">
        <f>P63*D63</f>
        <v>1598</v>
      </c>
      <c r="Y63" s="25"/>
    </row>
    <row r="64" spans="1:25" ht="36" customHeight="1" x14ac:dyDescent="0.3">
      <c r="A64" s="666"/>
      <c r="B64" s="770"/>
      <c r="C64" s="621"/>
      <c r="D64" s="621"/>
      <c r="E64" s="40" t="s">
        <v>227</v>
      </c>
      <c r="F64" s="504" t="s">
        <v>26</v>
      </c>
      <c r="G64" s="41" t="s">
        <v>228</v>
      </c>
      <c r="H64" s="33" t="s">
        <v>65</v>
      </c>
      <c r="I64" s="446">
        <v>1.5</v>
      </c>
      <c r="J64" s="597"/>
      <c r="K64" s="519"/>
      <c r="L64" s="520"/>
      <c r="M64" s="189" t="str">
        <f t="shared" si="5"/>
        <v>VÁLIDO</v>
      </c>
      <c r="N64" s="211"/>
      <c r="O64" s="377"/>
      <c r="P64" s="600"/>
      <c r="Q64" s="603"/>
      <c r="Y64" s="25"/>
    </row>
    <row r="65" spans="1:25" ht="63.6" customHeight="1" x14ac:dyDescent="0.3">
      <c r="A65" s="666"/>
      <c r="B65" s="770"/>
      <c r="C65" s="621"/>
      <c r="D65" s="621"/>
      <c r="E65" s="54" t="s">
        <v>497</v>
      </c>
      <c r="F65" s="504" t="s">
        <v>9</v>
      </c>
      <c r="G65" s="41" t="s">
        <v>498</v>
      </c>
      <c r="H65" s="33" t="s">
        <v>65</v>
      </c>
      <c r="I65" s="488">
        <v>1.5</v>
      </c>
      <c r="J65" s="597"/>
      <c r="K65" s="519"/>
      <c r="L65" s="520"/>
      <c r="M65" s="189" t="str">
        <f t="shared" si="5"/>
        <v>VÁLIDO</v>
      </c>
      <c r="N65" s="211"/>
      <c r="O65" s="377"/>
      <c r="P65" s="600"/>
      <c r="Q65" s="603"/>
      <c r="Y65" s="25"/>
    </row>
    <row r="66" spans="1:25" ht="46.8" customHeight="1" x14ac:dyDescent="0.3">
      <c r="A66" s="666"/>
      <c r="B66" s="770"/>
      <c r="C66" s="621"/>
      <c r="D66" s="621"/>
      <c r="E66" s="54" t="s">
        <v>499</v>
      </c>
      <c r="F66" s="504" t="s">
        <v>9</v>
      </c>
      <c r="G66" s="41" t="s">
        <v>500</v>
      </c>
      <c r="H66" s="33" t="s">
        <v>65</v>
      </c>
      <c r="I66" s="14">
        <v>1.7</v>
      </c>
      <c r="J66" s="597"/>
      <c r="K66" s="519"/>
      <c r="L66" s="520"/>
      <c r="M66" s="189" t="str">
        <f t="shared" si="5"/>
        <v>VÁLIDO</v>
      </c>
      <c r="N66" s="211"/>
      <c r="O66" s="377"/>
      <c r="P66" s="600"/>
      <c r="Q66" s="603"/>
      <c r="Y66" s="25"/>
    </row>
    <row r="67" spans="1:25" ht="44.4" customHeight="1" x14ac:dyDescent="0.3">
      <c r="A67" s="666"/>
      <c r="B67" s="770"/>
      <c r="C67" s="621"/>
      <c r="D67" s="621"/>
      <c r="E67" s="33" t="s">
        <v>254</v>
      </c>
      <c r="F67" s="503" t="s">
        <v>26</v>
      </c>
      <c r="G67" s="34" t="s">
        <v>252</v>
      </c>
      <c r="H67" s="33" t="s">
        <v>65</v>
      </c>
      <c r="I67" s="446">
        <v>2</v>
      </c>
      <c r="J67" s="597"/>
      <c r="K67" s="519"/>
      <c r="L67" s="520"/>
      <c r="M67" s="189" t="str">
        <f t="shared" si="5"/>
        <v>VÁLIDO</v>
      </c>
      <c r="N67" s="211"/>
      <c r="O67" s="377"/>
      <c r="P67" s="600"/>
      <c r="Q67" s="603"/>
      <c r="Y67" s="25"/>
    </row>
    <row r="68" spans="1:25" ht="55.8" customHeight="1" x14ac:dyDescent="0.3">
      <c r="A68" s="667"/>
      <c r="B68" s="772"/>
      <c r="C68" s="622"/>
      <c r="D68" s="622"/>
      <c r="E68" s="54" t="s">
        <v>505</v>
      </c>
      <c r="F68" s="504" t="s">
        <v>9</v>
      </c>
      <c r="G68" s="41" t="s">
        <v>504</v>
      </c>
      <c r="H68" s="33" t="s">
        <v>65</v>
      </c>
      <c r="I68" s="446">
        <v>1.901</v>
      </c>
      <c r="J68" s="597"/>
      <c r="K68" s="513"/>
      <c r="L68" s="514"/>
      <c r="M68" s="189" t="str">
        <f t="shared" si="5"/>
        <v>VÁLIDO</v>
      </c>
      <c r="N68" s="211"/>
      <c r="O68" s="377"/>
      <c r="P68" s="600"/>
      <c r="Q68" s="603"/>
      <c r="Y68" s="25"/>
    </row>
    <row r="69" spans="1:25" ht="82.2" customHeight="1" x14ac:dyDescent="0.3">
      <c r="A69" s="667"/>
      <c r="B69" s="772"/>
      <c r="C69" s="622"/>
      <c r="D69" s="622"/>
      <c r="E69" s="54" t="s">
        <v>506</v>
      </c>
      <c r="F69" s="504" t="s">
        <v>9</v>
      </c>
      <c r="G69" s="41" t="s">
        <v>501</v>
      </c>
      <c r="H69" s="33" t="s">
        <v>65</v>
      </c>
      <c r="I69" s="446">
        <v>2</v>
      </c>
      <c r="J69" s="597"/>
      <c r="K69" s="513"/>
      <c r="L69" s="514"/>
      <c r="M69" s="189" t="str">
        <f t="shared" si="5"/>
        <v>VÁLIDO</v>
      </c>
      <c r="N69" s="211"/>
      <c r="O69" s="377"/>
      <c r="P69" s="600"/>
      <c r="Q69" s="603"/>
      <c r="Y69" s="25"/>
    </row>
    <row r="70" spans="1:25" ht="70.8" customHeight="1" x14ac:dyDescent="0.3">
      <c r="A70" s="667"/>
      <c r="B70" s="772"/>
      <c r="C70" s="622"/>
      <c r="D70" s="622"/>
      <c r="E70" s="54" t="s">
        <v>508</v>
      </c>
      <c r="F70" s="504" t="s">
        <v>9</v>
      </c>
      <c r="G70" s="41" t="s">
        <v>469</v>
      </c>
      <c r="H70" s="33" t="s">
        <v>65</v>
      </c>
      <c r="I70" s="446">
        <v>2.06</v>
      </c>
      <c r="J70" s="597"/>
      <c r="K70" s="513"/>
      <c r="L70" s="514"/>
      <c r="M70" s="189" t="str">
        <f t="shared" si="5"/>
        <v>VÁLIDO</v>
      </c>
      <c r="N70" s="211"/>
      <c r="O70" s="377"/>
      <c r="P70" s="600"/>
      <c r="Q70" s="603"/>
      <c r="Y70" s="25"/>
    </row>
    <row r="71" spans="1:25" ht="55.2" customHeight="1" x14ac:dyDescent="0.3">
      <c r="A71" s="667"/>
      <c r="B71" s="772"/>
      <c r="C71" s="622"/>
      <c r="D71" s="622"/>
      <c r="E71" s="54" t="s">
        <v>502</v>
      </c>
      <c r="F71" s="504" t="s">
        <v>9</v>
      </c>
      <c r="G71" s="41" t="s">
        <v>504</v>
      </c>
      <c r="H71" s="33" t="s">
        <v>65</v>
      </c>
      <c r="I71" s="446">
        <v>2.15</v>
      </c>
      <c r="J71" s="597"/>
      <c r="K71" s="513"/>
      <c r="L71" s="514"/>
      <c r="M71" s="189" t="str">
        <f t="shared" si="5"/>
        <v>VÁLIDO</v>
      </c>
      <c r="N71" s="211"/>
      <c r="O71" s="377"/>
      <c r="P71" s="600"/>
      <c r="Q71" s="603"/>
      <c r="Y71" s="25"/>
    </row>
    <row r="72" spans="1:25" ht="55.2" customHeight="1" x14ac:dyDescent="0.3">
      <c r="A72" s="667"/>
      <c r="B72" s="772"/>
      <c r="C72" s="622"/>
      <c r="D72" s="622"/>
      <c r="E72" s="54" t="s">
        <v>507</v>
      </c>
      <c r="F72" s="504" t="s">
        <v>9</v>
      </c>
      <c r="G72" s="41" t="s">
        <v>397</v>
      </c>
      <c r="H72" s="33" t="s">
        <v>68</v>
      </c>
      <c r="I72" s="446">
        <v>2.16</v>
      </c>
      <c r="J72" s="597"/>
      <c r="K72" s="513"/>
      <c r="L72" s="514"/>
      <c r="M72" s="189" t="str">
        <f t="shared" si="5"/>
        <v>VÁLIDO</v>
      </c>
      <c r="N72" s="211"/>
      <c r="O72" s="377"/>
      <c r="P72" s="600"/>
      <c r="Q72" s="603"/>
      <c r="Y72" s="25"/>
    </row>
    <row r="73" spans="1:25" ht="67.8" customHeight="1" x14ac:dyDescent="0.3">
      <c r="A73" s="667"/>
      <c r="B73" s="772"/>
      <c r="C73" s="622"/>
      <c r="D73" s="622"/>
      <c r="E73" s="54" t="s">
        <v>503</v>
      </c>
      <c r="F73" s="504" t="s">
        <v>9</v>
      </c>
      <c r="G73" s="41" t="s">
        <v>501</v>
      </c>
      <c r="H73" s="33" t="s">
        <v>68</v>
      </c>
      <c r="I73" s="446">
        <v>2.35</v>
      </c>
      <c r="J73" s="597"/>
      <c r="K73" s="513"/>
      <c r="L73" s="514"/>
      <c r="M73" s="282" t="str">
        <f t="shared" si="5"/>
        <v>VÁLIDO</v>
      </c>
      <c r="N73" s="211"/>
      <c r="O73" s="377"/>
      <c r="P73" s="600"/>
      <c r="Q73" s="603"/>
      <c r="Y73" s="25"/>
    </row>
    <row r="74" spans="1:25" ht="96.6" customHeight="1" thickBot="1" x14ac:dyDescent="0.35">
      <c r="A74" s="667"/>
      <c r="B74" s="772"/>
      <c r="C74" s="622"/>
      <c r="D74" s="622"/>
      <c r="E74" s="307" t="s">
        <v>603</v>
      </c>
      <c r="F74" s="504" t="s">
        <v>27</v>
      </c>
      <c r="G74" s="41" t="s">
        <v>276</v>
      </c>
      <c r="H74" s="38" t="s">
        <v>65</v>
      </c>
      <c r="I74" s="448">
        <f>(29.9/30)+(15.52/8)</f>
        <v>2.9366666666666665</v>
      </c>
      <c r="J74" s="597"/>
      <c r="K74" s="513"/>
      <c r="L74" s="514"/>
      <c r="M74" s="309" t="str">
        <f t="shared" si="5"/>
        <v>EXCESSIVAMENTE ELEVADO</v>
      </c>
      <c r="N74" s="210">
        <f>(I74-J63)/J63</f>
        <v>0.49021045064347413</v>
      </c>
      <c r="O74" s="213" t="s">
        <v>313</v>
      </c>
      <c r="P74" s="600"/>
      <c r="Q74" s="603"/>
      <c r="Y74" s="25"/>
    </row>
    <row r="75" spans="1:25" ht="51.6" customHeight="1" x14ac:dyDescent="0.3">
      <c r="A75" s="665">
        <v>22</v>
      </c>
      <c r="B75" s="769" t="s">
        <v>198</v>
      </c>
      <c r="C75" s="649" t="s">
        <v>12</v>
      </c>
      <c r="D75" s="649">
        <f>400+300+100</f>
        <v>800</v>
      </c>
      <c r="E75" s="162" t="s">
        <v>270</v>
      </c>
      <c r="F75" s="505" t="s">
        <v>24</v>
      </c>
      <c r="G75" s="198" t="s">
        <v>271</v>
      </c>
      <c r="H75" s="353" t="s">
        <v>68</v>
      </c>
      <c r="I75" s="445">
        <v>0.62</v>
      </c>
      <c r="J75" s="596">
        <f>AVERAGE(I75:I83)</f>
        <v>1.0440740740740742</v>
      </c>
      <c r="K75" s="516">
        <f>(J75*30%)+J75</f>
        <v>1.3572962962962964</v>
      </c>
      <c r="L75" s="516">
        <f>70%*J75</f>
        <v>0.73085185185185186</v>
      </c>
      <c r="M75" s="487" t="str">
        <f t="shared" ref="M75:M83" si="6">IF(I75&gt;K$75,"EXCESSIVAMENTE ELEVADO",IF(I75&lt;L$75,"INEXEQUÍVEL","VÁLIDO"))</f>
        <v>INEXEQUÍVEL</v>
      </c>
      <c r="N75" s="209">
        <f>I75/J75</f>
        <v>0.59382759843916277</v>
      </c>
      <c r="O75" s="279" t="s">
        <v>468</v>
      </c>
      <c r="P75" s="599">
        <f>TRUNC(MEDIAN(I78:I82),2)</f>
        <v>1</v>
      </c>
      <c r="Q75" s="602">
        <f>P75*D75</f>
        <v>800</v>
      </c>
      <c r="Y75" s="25"/>
    </row>
    <row r="76" spans="1:25" ht="68.400000000000006" customHeight="1" x14ac:dyDescent="0.3">
      <c r="A76" s="666"/>
      <c r="B76" s="770"/>
      <c r="C76" s="621"/>
      <c r="D76" s="621"/>
      <c r="E76" s="36" t="s">
        <v>508</v>
      </c>
      <c r="F76" s="504" t="s">
        <v>24</v>
      </c>
      <c r="G76" s="41" t="s">
        <v>469</v>
      </c>
      <c r="H76" s="38" t="s">
        <v>65</v>
      </c>
      <c r="I76" s="446">
        <v>0.65</v>
      </c>
      <c r="J76" s="597"/>
      <c r="K76" s="519"/>
      <c r="L76" s="519"/>
      <c r="M76" s="151" t="str">
        <f t="shared" si="6"/>
        <v>INEXEQUÍVEL</v>
      </c>
      <c r="N76" s="202">
        <f>I76/J75</f>
        <v>0.62256119191202552</v>
      </c>
      <c r="O76" s="243" t="s">
        <v>468</v>
      </c>
      <c r="P76" s="600"/>
      <c r="Q76" s="603"/>
      <c r="Y76" s="25"/>
    </row>
    <row r="77" spans="1:25" ht="41.4" customHeight="1" x14ac:dyDescent="0.3">
      <c r="A77" s="666"/>
      <c r="B77" s="770"/>
      <c r="C77" s="621"/>
      <c r="D77" s="621"/>
      <c r="E77" s="347" t="s">
        <v>516</v>
      </c>
      <c r="F77" s="504" t="s">
        <v>24</v>
      </c>
      <c r="G77" s="418" t="s">
        <v>512</v>
      </c>
      <c r="H77" s="38" t="s">
        <v>65</v>
      </c>
      <c r="I77" s="446">
        <v>0.7</v>
      </c>
      <c r="J77" s="597"/>
      <c r="K77" s="519"/>
      <c r="L77" s="519"/>
      <c r="M77" s="189" t="str">
        <f t="shared" si="6"/>
        <v>INEXEQUÍVEL</v>
      </c>
      <c r="N77" s="211">
        <f>I77/J75</f>
        <v>0.67045051436679659</v>
      </c>
      <c r="O77" s="242" t="s">
        <v>468</v>
      </c>
      <c r="P77" s="600"/>
      <c r="Q77" s="603"/>
      <c r="Y77" s="25"/>
    </row>
    <row r="78" spans="1:25" ht="52.8" customHeight="1" x14ac:dyDescent="0.3">
      <c r="A78" s="666"/>
      <c r="B78" s="770"/>
      <c r="C78" s="621"/>
      <c r="D78" s="621"/>
      <c r="E78" s="36" t="s">
        <v>510</v>
      </c>
      <c r="F78" s="504" t="s">
        <v>24</v>
      </c>
      <c r="G78" s="41" t="s">
        <v>511</v>
      </c>
      <c r="H78" s="38" t="s">
        <v>65</v>
      </c>
      <c r="I78" s="446">
        <v>0.84</v>
      </c>
      <c r="J78" s="597"/>
      <c r="K78" s="519"/>
      <c r="L78" s="519"/>
      <c r="M78" s="189" t="str">
        <f t="shared" si="6"/>
        <v>VÁLIDO</v>
      </c>
      <c r="N78" s="202"/>
      <c r="O78" s="246"/>
      <c r="P78" s="600"/>
      <c r="Q78" s="603"/>
      <c r="Y78" s="25"/>
    </row>
    <row r="79" spans="1:25" ht="68.400000000000006" customHeight="1" x14ac:dyDescent="0.3">
      <c r="A79" s="666"/>
      <c r="B79" s="770"/>
      <c r="C79" s="621"/>
      <c r="D79" s="621"/>
      <c r="E79" s="36" t="s">
        <v>513</v>
      </c>
      <c r="F79" s="504" t="s">
        <v>24</v>
      </c>
      <c r="G79" s="41" t="s">
        <v>391</v>
      </c>
      <c r="H79" s="38" t="s">
        <v>68</v>
      </c>
      <c r="I79" s="446">
        <v>0.94</v>
      </c>
      <c r="J79" s="597"/>
      <c r="K79" s="519"/>
      <c r="L79" s="519"/>
      <c r="M79" s="189" t="str">
        <f t="shared" si="6"/>
        <v>VÁLIDO</v>
      </c>
      <c r="N79" s="202"/>
      <c r="O79" s="246"/>
      <c r="P79" s="600"/>
      <c r="Q79" s="603"/>
      <c r="Y79" s="25"/>
    </row>
    <row r="80" spans="1:25" ht="41.4" x14ac:dyDescent="0.3">
      <c r="A80" s="666"/>
      <c r="B80" s="770"/>
      <c r="C80" s="621"/>
      <c r="D80" s="621"/>
      <c r="E80" s="33" t="s">
        <v>254</v>
      </c>
      <c r="F80" s="503" t="s">
        <v>26</v>
      </c>
      <c r="G80" s="34" t="s">
        <v>252</v>
      </c>
      <c r="H80" s="33" t="s">
        <v>65</v>
      </c>
      <c r="I80" s="446">
        <v>1</v>
      </c>
      <c r="J80" s="597"/>
      <c r="K80" s="519"/>
      <c r="L80" s="519"/>
      <c r="M80" s="189" t="str">
        <f t="shared" si="6"/>
        <v>VÁLIDO</v>
      </c>
      <c r="N80" s="202"/>
      <c r="O80" s="246"/>
      <c r="P80" s="600"/>
      <c r="Q80" s="603"/>
      <c r="Y80" s="25"/>
    </row>
    <row r="81" spans="1:25" ht="48.6" customHeight="1" x14ac:dyDescent="0.3">
      <c r="A81" s="666"/>
      <c r="B81" s="770"/>
      <c r="C81" s="621"/>
      <c r="D81" s="621"/>
      <c r="E81" s="40" t="s">
        <v>227</v>
      </c>
      <c r="F81" s="504" t="s">
        <v>26</v>
      </c>
      <c r="G81" s="41" t="s">
        <v>228</v>
      </c>
      <c r="H81" s="33" t="s">
        <v>65</v>
      </c>
      <c r="I81" s="446">
        <v>1.2</v>
      </c>
      <c r="J81" s="597"/>
      <c r="K81" s="519"/>
      <c r="L81" s="519"/>
      <c r="M81" s="189" t="str">
        <f t="shared" si="6"/>
        <v>VÁLIDO</v>
      </c>
      <c r="N81" s="202"/>
      <c r="O81" s="246"/>
      <c r="P81" s="600"/>
      <c r="Q81" s="603"/>
      <c r="Y81" s="25"/>
    </row>
    <row r="82" spans="1:25" ht="57" customHeight="1" x14ac:dyDescent="0.3">
      <c r="A82" s="666"/>
      <c r="B82" s="770"/>
      <c r="C82" s="621"/>
      <c r="D82" s="621"/>
      <c r="E82" s="36" t="s">
        <v>514</v>
      </c>
      <c r="F82" s="504" t="s">
        <v>24</v>
      </c>
      <c r="G82" s="41" t="s">
        <v>515</v>
      </c>
      <c r="H82" s="38" t="s">
        <v>65</v>
      </c>
      <c r="I82" s="446">
        <v>1.3</v>
      </c>
      <c r="J82" s="597"/>
      <c r="K82" s="519"/>
      <c r="L82" s="519"/>
      <c r="M82" s="189" t="str">
        <f t="shared" si="6"/>
        <v>VÁLIDO</v>
      </c>
      <c r="N82" s="202"/>
      <c r="O82" s="246"/>
      <c r="P82" s="600"/>
      <c r="Q82" s="603"/>
      <c r="Y82" s="25"/>
    </row>
    <row r="83" spans="1:25" ht="80.400000000000006" customHeight="1" thickBot="1" x14ac:dyDescent="0.35">
      <c r="A83" s="668"/>
      <c r="B83" s="771"/>
      <c r="C83" s="650"/>
      <c r="D83" s="650"/>
      <c r="E83" s="489" t="s">
        <v>509</v>
      </c>
      <c r="F83" s="506" t="s">
        <v>27</v>
      </c>
      <c r="G83" s="53" t="s">
        <v>251</v>
      </c>
      <c r="H83" s="42" t="s">
        <v>65</v>
      </c>
      <c r="I83" s="447">
        <f>(6.96+18.8)/12</f>
        <v>2.1466666666666669</v>
      </c>
      <c r="J83" s="598"/>
      <c r="K83" s="521"/>
      <c r="L83" s="521"/>
      <c r="M83" s="490" t="str">
        <f t="shared" si="6"/>
        <v>EXCESSIVAMENTE ELEVADO</v>
      </c>
      <c r="N83" s="210">
        <f>(I83-J75)/J75</f>
        <v>1.0560482440581769</v>
      </c>
      <c r="O83" s="213" t="s">
        <v>313</v>
      </c>
      <c r="P83" s="601"/>
      <c r="Q83" s="604"/>
      <c r="Y83" s="25"/>
    </row>
    <row r="84" spans="1:25" ht="68.400000000000006" customHeight="1" x14ac:dyDescent="0.3">
      <c r="A84" s="665">
        <v>23</v>
      </c>
      <c r="B84" s="764" t="s">
        <v>199</v>
      </c>
      <c r="C84" s="665" t="s">
        <v>12</v>
      </c>
      <c r="D84" s="649">
        <f>100+75+50</f>
        <v>225</v>
      </c>
      <c r="E84" s="162" t="s">
        <v>525</v>
      </c>
      <c r="F84" s="505" t="s">
        <v>24</v>
      </c>
      <c r="G84" s="198" t="s">
        <v>526</v>
      </c>
      <c r="H84" s="353" t="s">
        <v>65</v>
      </c>
      <c r="I84" s="445">
        <v>7.7</v>
      </c>
      <c r="J84" s="596">
        <f>AVERAGE(I84:I93)</f>
        <v>14.629</v>
      </c>
      <c r="K84" s="516">
        <f>(J84*30%)+J84</f>
        <v>19.017699999999998</v>
      </c>
      <c r="L84" s="516">
        <f>70%*J84</f>
        <v>10.2403</v>
      </c>
      <c r="M84" s="486" t="str">
        <f t="shared" ref="M84:M93" si="7">IF(I84&gt;K$84,"EXCESSIVAMENTE ELEVADO",IF(I84&lt;L$84,"INEXEQUÍVEL","VÁLIDO"))</f>
        <v>INEXEQUÍVEL</v>
      </c>
      <c r="N84" s="209">
        <f>I84/J84</f>
        <v>0.52635176703807507</v>
      </c>
      <c r="O84" s="279" t="s">
        <v>468</v>
      </c>
      <c r="P84" s="752">
        <f>TRUNC(MEDIAN(I86:I90),2)</f>
        <v>9.1</v>
      </c>
      <c r="Q84" s="755">
        <f>P84*D84</f>
        <v>2047.5</v>
      </c>
      <c r="Y84" s="25"/>
    </row>
    <row r="85" spans="1:25" ht="40.799999999999997" customHeight="1" x14ac:dyDescent="0.3">
      <c r="A85" s="669"/>
      <c r="B85" s="765"/>
      <c r="C85" s="669"/>
      <c r="D85" s="620"/>
      <c r="E85" s="33" t="s">
        <v>254</v>
      </c>
      <c r="F85" s="503" t="s">
        <v>26</v>
      </c>
      <c r="G85" s="34" t="s">
        <v>252</v>
      </c>
      <c r="H85" s="33" t="s">
        <v>65</v>
      </c>
      <c r="I85" s="446">
        <v>7.9</v>
      </c>
      <c r="J85" s="597"/>
      <c r="K85" s="518"/>
      <c r="L85" s="518"/>
      <c r="M85" s="189" t="str">
        <f t="shared" si="7"/>
        <v>INEXEQUÍVEL</v>
      </c>
      <c r="N85" s="202">
        <f>I85/J84</f>
        <v>0.54002324150659653</v>
      </c>
      <c r="O85" s="346" t="s">
        <v>468</v>
      </c>
      <c r="P85" s="788"/>
      <c r="Q85" s="756"/>
      <c r="Y85" s="25"/>
    </row>
    <row r="86" spans="1:25" ht="68.400000000000006" customHeight="1" x14ac:dyDescent="0.3">
      <c r="A86" s="669"/>
      <c r="B86" s="765"/>
      <c r="C86" s="669"/>
      <c r="D86" s="620"/>
      <c r="E86" s="36" t="s">
        <v>519</v>
      </c>
      <c r="F86" s="504" t="s">
        <v>24</v>
      </c>
      <c r="G86" s="41" t="s">
        <v>447</v>
      </c>
      <c r="H86" s="38" t="s">
        <v>65</v>
      </c>
      <c r="I86" s="575">
        <v>9</v>
      </c>
      <c r="J86" s="597"/>
      <c r="K86" s="518"/>
      <c r="L86" s="518"/>
      <c r="M86" s="189" t="str">
        <f t="shared" si="7"/>
        <v>INEXEQUÍVEL</v>
      </c>
      <c r="N86" s="202">
        <f>I86/J84</f>
        <v>0.6152163510834644</v>
      </c>
      <c r="O86" s="346" t="s">
        <v>121</v>
      </c>
      <c r="P86" s="753"/>
      <c r="Q86" s="756"/>
      <c r="Y86" s="25"/>
    </row>
    <row r="87" spans="1:25" ht="55.8" customHeight="1" x14ac:dyDescent="0.3">
      <c r="A87" s="666"/>
      <c r="B87" s="766"/>
      <c r="C87" s="666"/>
      <c r="D87" s="621"/>
      <c r="E87" s="36" t="s">
        <v>517</v>
      </c>
      <c r="F87" s="504" t="s">
        <v>24</v>
      </c>
      <c r="G87" s="41" t="s">
        <v>518</v>
      </c>
      <c r="H87" s="38" t="s">
        <v>68</v>
      </c>
      <c r="I87" s="575">
        <v>9</v>
      </c>
      <c r="J87" s="597"/>
      <c r="K87" s="519"/>
      <c r="L87" s="519"/>
      <c r="M87" s="189" t="str">
        <f t="shared" si="7"/>
        <v>INEXEQUÍVEL</v>
      </c>
      <c r="N87" s="202">
        <f>I87/J$84</f>
        <v>0.6152163510834644</v>
      </c>
      <c r="O87" s="346" t="s">
        <v>121</v>
      </c>
      <c r="P87" s="753"/>
      <c r="Q87" s="756"/>
      <c r="Y87" s="25"/>
    </row>
    <row r="88" spans="1:25" ht="46.8" customHeight="1" x14ac:dyDescent="0.3">
      <c r="A88" s="666"/>
      <c r="B88" s="766"/>
      <c r="C88" s="666"/>
      <c r="D88" s="621"/>
      <c r="E88" s="36" t="s">
        <v>508</v>
      </c>
      <c r="F88" s="504" t="s">
        <v>24</v>
      </c>
      <c r="G88" s="34" t="s">
        <v>469</v>
      </c>
      <c r="H88" s="33" t="s">
        <v>65</v>
      </c>
      <c r="I88" s="575">
        <v>9.1</v>
      </c>
      <c r="J88" s="597"/>
      <c r="K88" s="519"/>
      <c r="L88" s="519"/>
      <c r="M88" s="189" t="str">
        <f t="shared" si="7"/>
        <v>INEXEQUÍVEL</v>
      </c>
      <c r="N88" s="202">
        <f>I88/J$84</f>
        <v>0.62205208831772507</v>
      </c>
      <c r="O88" s="346" t="s">
        <v>121</v>
      </c>
      <c r="P88" s="753"/>
      <c r="Q88" s="756"/>
      <c r="Y88" s="25"/>
    </row>
    <row r="89" spans="1:25" ht="60.6" customHeight="1" x14ac:dyDescent="0.3">
      <c r="A89" s="666"/>
      <c r="B89" s="766"/>
      <c r="C89" s="666"/>
      <c r="D89" s="621"/>
      <c r="E89" s="36" t="s">
        <v>520</v>
      </c>
      <c r="F89" s="504" t="s">
        <v>24</v>
      </c>
      <c r="G89" s="34" t="s">
        <v>521</v>
      </c>
      <c r="H89" s="33" t="s">
        <v>522</v>
      </c>
      <c r="I89" s="575">
        <v>9.9</v>
      </c>
      <c r="J89" s="597"/>
      <c r="K89" s="519"/>
      <c r="L89" s="519"/>
      <c r="M89" s="189" t="str">
        <f t="shared" si="7"/>
        <v>INEXEQUÍVEL</v>
      </c>
      <c r="N89" s="202">
        <f>I89/J$84</f>
        <v>0.6767379861918108</v>
      </c>
      <c r="O89" s="346" t="s">
        <v>121</v>
      </c>
      <c r="P89" s="753"/>
      <c r="Q89" s="756"/>
      <c r="Y89" s="25"/>
    </row>
    <row r="90" spans="1:25" ht="57" customHeight="1" x14ac:dyDescent="0.3">
      <c r="A90" s="666"/>
      <c r="B90" s="766"/>
      <c r="C90" s="666"/>
      <c r="D90" s="621"/>
      <c r="E90" s="421" t="s">
        <v>523</v>
      </c>
      <c r="F90" s="504" t="s">
        <v>24</v>
      </c>
      <c r="G90" s="41" t="s">
        <v>524</v>
      </c>
      <c r="H90" s="38" t="s">
        <v>65</v>
      </c>
      <c r="I90" s="450">
        <v>16</v>
      </c>
      <c r="J90" s="597"/>
      <c r="K90" s="519"/>
      <c r="L90" s="519"/>
      <c r="M90" s="189" t="str">
        <f t="shared" si="7"/>
        <v>VÁLIDO</v>
      </c>
      <c r="N90" s="202"/>
      <c r="O90" s="246"/>
      <c r="P90" s="753"/>
      <c r="Q90" s="756"/>
      <c r="Y90" s="25"/>
    </row>
    <row r="91" spans="1:25" ht="94.8" customHeight="1" x14ac:dyDescent="0.3">
      <c r="A91" s="667"/>
      <c r="B91" s="767"/>
      <c r="C91" s="667"/>
      <c r="D91" s="622"/>
      <c r="E91" s="308" t="s">
        <v>528</v>
      </c>
      <c r="F91" s="507" t="s">
        <v>27</v>
      </c>
      <c r="G91" s="34" t="s">
        <v>276</v>
      </c>
      <c r="H91" s="179" t="s">
        <v>123</v>
      </c>
      <c r="I91" s="446">
        <f>(29.9/20)+(18.5)</f>
        <v>19.995000000000001</v>
      </c>
      <c r="J91" s="597"/>
      <c r="K91" s="513"/>
      <c r="L91" s="513"/>
      <c r="M91" s="282" t="str">
        <f t="shared" si="7"/>
        <v>EXCESSIVAMENTE ELEVADO</v>
      </c>
      <c r="N91" s="210">
        <f>(I91-J84)/J84</f>
        <v>0.36680565999043008</v>
      </c>
      <c r="O91" s="213" t="s">
        <v>532</v>
      </c>
      <c r="P91" s="753"/>
      <c r="Q91" s="756"/>
      <c r="Y91" s="25"/>
    </row>
    <row r="92" spans="1:25" ht="42" customHeight="1" x14ac:dyDescent="0.3">
      <c r="A92" s="667"/>
      <c r="B92" s="767"/>
      <c r="C92" s="667"/>
      <c r="D92" s="622"/>
      <c r="E92" s="40" t="s">
        <v>227</v>
      </c>
      <c r="F92" s="507" t="s">
        <v>26</v>
      </c>
      <c r="G92" s="34" t="s">
        <v>228</v>
      </c>
      <c r="H92" s="33" t="s">
        <v>65</v>
      </c>
      <c r="I92" s="446">
        <v>25</v>
      </c>
      <c r="J92" s="597"/>
      <c r="K92" s="513"/>
      <c r="L92" s="513"/>
      <c r="M92" s="282" t="str">
        <f t="shared" si="7"/>
        <v>EXCESSIVAMENTE ELEVADO</v>
      </c>
      <c r="N92" s="210">
        <f>(I92-J84)/J84</f>
        <v>0.70893430856517881</v>
      </c>
      <c r="O92" s="213" t="s">
        <v>533</v>
      </c>
      <c r="P92" s="753"/>
      <c r="Q92" s="756"/>
      <c r="Y92" s="25"/>
    </row>
    <row r="93" spans="1:25" ht="84" customHeight="1" thickBot="1" x14ac:dyDescent="0.35">
      <c r="A93" s="668"/>
      <c r="B93" s="768"/>
      <c r="C93" s="668"/>
      <c r="D93" s="650"/>
      <c r="E93" s="491" t="s">
        <v>527</v>
      </c>
      <c r="F93" s="508" t="s">
        <v>27</v>
      </c>
      <c r="G93" s="384" t="s">
        <v>233</v>
      </c>
      <c r="H93" s="492" t="s">
        <v>123</v>
      </c>
      <c r="I93" s="461">
        <f>(29.9/20)+(31.2)</f>
        <v>32.695</v>
      </c>
      <c r="J93" s="598"/>
      <c r="K93" s="521"/>
      <c r="L93" s="521"/>
      <c r="M93" s="311" t="str">
        <f t="shared" si="7"/>
        <v>EXCESSIVAMENTE ELEVADO</v>
      </c>
      <c r="N93" s="214">
        <f>(I93-J84)/J84</f>
        <v>1.2349442887415409</v>
      </c>
      <c r="O93" s="220" t="s">
        <v>313</v>
      </c>
      <c r="P93" s="754"/>
      <c r="Q93" s="757"/>
      <c r="Y93" s="25"/>
    </row>
    <row r="94" spans="1:25" ht="66.599999999999994" customHeight="1" thickBot="1" x14ac:dyDescent="0.35">
      <c r="A94" s="665">
        <v>24</v>
      </c>
      <c r="B94" s="769" t="s">
        <v>200</v>
      </c>
      <c r="C94" s="649" t="s">
        <v>12</v>
      </c>
      <c r="D94" s="649">
        <f>100+50+100</f>
        <v>250</v>
      </c>
      <c r="E94" s="162" t="s">
        <v>530</v>
      </c>
      <c r="F94" s="509" t="s">
        <v>9</v>
      </c>
      <c r="G94" s="85" t="s">
        <v>447</v>
      </c>
      <c r="H94" s="92" t="s">
        <v>65</v>
      </c>
      <c r="I94" s="558">
        <v>3.3</v>
      </c>
      <c r="J94" s="596">
        <f>AVERAGE(I94:I100)</f>
        <v>5.9874285714285715</v>
      </c>
      <c r="K94" s="516">
        <f>(J94*30%)+J94</f>
        <v>7.7836571428571428</v>
      </c>
      <c r="L94" s="516">
        <f>70%*J94</f>
        <v>4.1912000000000003</v>
      </c>
      <c r="M94" s="580" t="str">
        <f>IF(I94&gt;K$94,"EXCESSIVAMENTE ELEVADO",IF(I94&lt;L$94,"INEXEQUÍVEL","VÁLIDO"))</f>
        <v>INEXEQUÍVEL</v>
      </c>
      <c r="N94" s="215">
        <f>I94/J94</f>
        <v>0.55115480053445309</v>
      </c>
      <c r="O94" s="216" t="s">
        <v>468</v>
      </c>
      <c r="P94" s="752">
        <f>TRUNC(MEDIAN(I95:I100),2)</f>
        <v>7</v>
      </c>
      <c r="Q94" s="755">
        <f>P94*D94</f>
        <v>1750</v>
      </c>
      <c r="Y94" s="25"/>
    </row>
    <row r="95" spans="1:25" ht="64.8" customHeight="1" x14ac:dyDescent="0.3">
      <c r="A95" s="666"/>
      <c r="B95" s="770"/>
      <c r="C95" s="621"/>
      <c r="D95" s="621"/>
      <c r="E95" s="36" t="s">
        <v>517</v>
      </c>
      <c r="F95" s="503" t="s">
        <v>9</v>
      </c>
      <c r="G95" s="33" t="s">
        <v>518</v>
      </c>
      <c r="H95" s="47" t="s">
        <v>65</v>
      </c>
      <c r="I95" s="556">
        <v>4.7300000000000004</v>
      </c>
      <c r="J95" s="597"/>
      <c r="K95" s="519"/>
      <c r="L95" s="520"/>
      <c r="M95" s="579" t="str">
        <f>IF(I95&gt;K$94,"EXCESSIVAMENTE ELEVADO",IF(I95&lt;L$94,"INEXEQUÍVEL","VÁLIDO"))</f>
        <v>VÁLIDO</v>
      </c>
      <c r="N95" s="202"/>
      <c r="O95" s="206"/>
      <c r="P95" s="753"/>
      <c r="Q95" s="756"/>
      <c r="Y95" s="25"/>
    </row>
    <row r="96" spans="1:25" ht="57.6" customHeight="1" x14ac:dyDescent="0.3">
      <c r="A96" s="666"/>
      <c r="B96" s="770"/>
      <c r="C96" s="621"/>
      <c r="D96" s="621"/>
      <c r="E96" s="36" t="s">
        <v>449</v>
      </c>
      <c r="F96" s="503" t="s">
        <v>9</v>
      </c>
      <c r="G96" s="33" t="s">
        <v>450</v>
      </c>
      <c r="H96" s="47" t="s">
        <v>68</v>
      </c>
      <c r="I96" s="556">
        <v>4.6900000000000004</v>
      </c>
      <c r="J96" s="597"/>
      <c r="K96" s="519"/>
      <c r="L96" s="520"/>
      <c r="M96" s="576" t="str">
        <f>IF(I95&gt;K$94,"EXCESSIVAMENTE ELEVADO",IF(I95&lt;L$94,"INEXEQUÍVEL","VÁLIDO"))</f>
        <v>VÁLIDO</v>
      </c>
      <c r="N96" s="202"/>
      <c r="O96" s="206"/>
      <c r="P96" s="753"/>
      <c r="Q96" s="756"/>
      <c r="Y96" s="25"/>
    </row>
    <row r="97" spans="1:25" ht="57.6" customHeight="1" x14ac:dyDescent="0.3">
      <c r="A97" s="666"/>
      <c r="B97" s="770"/>
      <c r="C97" s="621"/>
      <c r="D97" s="621"/>
      <c r="E97" s="33" t="s">
        <v>254</v>
      </c>
      <c r="F97" s="503" t="s">
        <v>26</v>
      </c>
      <c r="G97" s="34" t="s">
        <v>252</v>
      </c>
      <c r="H97" s="33" t="s">
        <v>65</v>
      </c>
      <c r="I97" s="556">
        <v>6.5</v>
      </c>
      <c r="J97" s="597"/>
      <c r="K97" s="519"/>
      <c r="L97" s="520"/>
      <c r="M97" s="576" t="str">
        <f>IF(I96&gt;K$94,"EXCESSIVAMENTE ELEVADO",IF(I96&lt;L$94,"INEXEQUÍVEL","VÁLIDO"))</f>
        <v>VÁLIDO</v>
      </c>
      <c r="N97" s="202"/>
      <c r="O97" s="206"/>
      <c r="P97" s="753"/>
      <c r="Q97" s="756"/>
      <c r="Y97" s="25"/>
    </row>
    <row r="98" spans="1:25" ht="46.2" customHeight="1" x14ac:dyDescent="0.3">
      <c r="A98" s="666"/>
      <c r="B98" s="770"/>
      <c r="C98" s="621"/>
      <c r="D98" s="621"/>
      <c r="E98" s="40" t="s">
        <v>227</v>
      </c>
      <c r="F98" s="504" t="s">
        <v>26</v>
      </c>
      <c r="G98" s="41" t="s">
        <v>228</v>
      </c>
      <c r="H98" s="33" t="s">
        <v>65</v>
      </c>
      <c r="I98" s="557">
        <v>7.5</v>
      </c>
      <c r="J98" s="597"/>
      <c r="K98" s="519"/>
      <c r="L98" s="520"/>
      <c r="M98" s="576" t="str">
        <f>IF(I97&gt;K$94,"EXCESSIVAMENTE ELEVADO",IF(I97&lt;L$94,"INEXEQUÍVEL","VÁLIDO"))</f>
        <v>VÁLIDO</v>
      </c>
      <c r="N98" s="202"/>
      <c r="O98" s="206"/>
      <c r="P98" s="753"/>
      <c r="Q98" s="756"/>
      <c r="Y98" s="25"/>
    </row>
    <row r="99" spans="1:25" ht="43.8" customHeight="1" x14ac:dyDescent="0.3">
      <c r="A99" s="666"/>
      <c r="B99" s="770"/>
      <c r="C99" s="621"/>
      <c r="D99" s="621"/>
      <c r="E99" s="308" t="s">
        <v>531</v>
      </c>
      <c r="F99" s="507" t="s">
        <v>27</v>
      </c>
      <c r="G99" s="34" t="s">
        <v>122</v>
      </c>
      <c r="H99" s="179" t="s">
        <v>122</v>
      </c>
      <c r="I99" s="556">
        <v>7.5</v>
      </c>
      <c r="J99" s="597"/>
      <c r="K99" s="519"/>
      <c r="L99" s="520"/>
      <c r="M99" s="577" t="str">
        <f>IF(I98&gt;K$94,"EXCESSIVAMENTE ELEVADO",IF(I98&lt;L$94,"INEXEQUÍVEL","VÁLIDO"))</f>
        <v>VÁLIDO</v>
      </c>
      <c r="N99" s="210"/>
      <c r="O99" s="213"/>
      <c r="P99" s="753"/>
      <c r="Q99" s="756"/>
      <c r="Y99" s="25"/>
    </row>
    <row r="100" spans="1:25" ht="85.2" customHeight="1" thickBot="1" x14ac:dyDescent="0.35">
      <c r="A100" s="668"/>
      <c r="B100" s="771"/>
      <c r="C100" s="650"/>
      <c r="D100" s="650"/>
      <c r="E100" s="489" t="s">
        <v>529</v>
      </c>
      <c r="F100" s="506" t="s">
        <v>27</v>
      </c>
      <c r="G100" s="53" t="s">
        <v>251</v>
      </c>
      <c r="H100" s="354" t="s">
        <v>123</v>
      </c>
      <c r="I100" s="559">
        <f>(6.92/10)+(7)</f>
        <v>7.6920000000000002</v>
      </c>
      <c r="J100" s="598"/>
      <c r="K100" s="521"/>
      <c r="L100" s="522"/>
      <c r="M100" s="578" t="str">
        <f>IF(I99&gt;K$94,"EXCESSIVAMENTE ELEVADO",IF(I99&lt;L$94,"INEXEQUÍVEL","VÁLIDO"))</f>
        <v>VÁLIDO</v>
      </c>
      <c r="N100" s="214"/>
      <c r="O100" s="220"/>
      <c r="P100" s="754"/>
      <c r="Q100" s="757"/>
      <c r="Y100" s="25"/>
    </row>
    <row r="101" spans="1:25" ht="51.6" customHeight="1" x14ac:dyDescent="0.3">
      <c r="A101" s="586">
        <v>25</v>
      </c>
      <c r="B101" s="761" t="s">
        <v>201</v>
      </c>
      <c r="C101" s="586" t="s">
        <v>12</v>
      </c>
      <c r="D101" s="592">
        <f>100+50+100</f>
        <v>250</v>
      </c>
      <c r="E101" s="162" t="s">
        <v>530</v>
      </c>
      <c r="F101" s="509" t="s">
        <v>9</v>
      </c>
      <c r="G101" s="85" t="s">
        <v>447</v>
      </c>
      <c r="H101" s="92" t="s">
        <v>65</v>
      </c>
      <c r="I101" s="558">
        <v>3.3</v>
      </c>
      <c r="J101" s="596">
        <f>AVERAGE(I101:I107)</f>
        <v>5.9874285714285715</v>
      </c>
      <c r="K101" s="516">
        <f>(J101*30%)+J101</f>
        <v>7.7836571428571428</v>
      </c>
      <c r="L101" s="516">
        <f>70%*J101</f>
        <v>4.1912000000000003</v>
      </c>
      <c r="M101" s="493" t="str">
        <f>IF(I101&gt;K$101,"EXCESSIVAMENTE ELEVADO",IF(I101&lt;L$101,"INEXEQUÍVEL","VÁLIDO"))</f>
        <v>INEXEQUÍVEL</v>
      </c>
      <c r="N101" s="209">
        <f>I101/$J$108</f>
        <v>0.55115480053445309</v>
      </c>
      <c r="O101" s="216" t="s">
        <v>468</v>
      </c>
      <c r="P101" s="752">
        <f>TRUNC(MEDIAN(I102:I107),2)</f>
        <v>7</v>
      </c>
      <c r="Q101" s="755">
        <f>P101*D101</f>
        <v>1750</v>
      </c>
      <c r="Y101" s="25"/>
    </row>
    <row r="102" spans="1:25" ht="68.400000000000006" customHeight="1" x14ac:dyDescent="0.3">
      <c r="A102" s="587"/>
      <c r="B102" s="762"/>
      <c r="C102" s="587"/>
      <c r="D102" s="584"/>
      <c r="E102" s="36" t="s">
        <v>517</v>
      </c>
      <c r="F102" s="503" t="s">
        <v>9</v>
      </c>
      <c r="G102" s="33" t="s">
        <v>518</v>
      </c>
      <c r="H102" s="47" t="s">
        <v>65</v>
      </c>
      <c r="I102" s="556">
        <v>4.7300000000000004</v>
      </c>
      <c r="J102" s="597"/>
      <c r="K102" s="523"/>
      <c r="L102" s="524"/>
      <c r="M102" s="576" t="str">
        <f>IF(I102&gt;K$108,"EXCESSIVAMENTE ELEVADO",IF(I102&lt;L$108,"INEXEQUÍVEL","VÁLIDO"))</f>
        <v>VÁLIDO</v>
      </c>
      <c r="N102" s="202"/>
      <c r="O102" s="206"/>
      <c r="P102" s="753"/>
      <c r="Q102" s="756"/>
      <c r="Y102" s="25"/>
    </row>
    <row r="103" spans="1:25" ht="57.6" customHeight="1" x14ac:dyDescent="0.3">
      <c r="A103" s="587"/>
      <c r="B103" s="762"/>
      <c r="C103" s="587"/>
      <c r="D103" s="584"/>
      <c r="E103" s="36" t="s">
        <v>449</v>
      </c>
      <c r="F103" s="503" t="s">
        <v>9</v>
      </c>
      <c r="G103" s="33" t="s">
        <v>450</v>
      </c>
      <c r="H103" s="47" t="s">
        <v>68</v>
      </c>
      <c r="I103" s="556">
        <v>4.6900000000000004</v>
      </c>
      <c r="J103" s="597"/>
      <c r="K103" s="523"/>
      <c r="L103" s="524"/>
      <c r="M103" s="576" t="str">
        <f>IF(I103&gt;K$108,"EXCESSIVAMENTE ELEVADO",IF(I103&lt;L$108,"INEXEQUÍVEL","VÁLIDO"))</f>
        <v>VÁLIDO</v>
      </c>
      <c r="N103" s="202"/>
      <c r="O103" s="565"/>
      <c r="P103" s="753"/>
      <c r="Q103" s="756"/>
      <c r="Y103" s="25"/>
    </row>
    <row r="104" spans="1:25" ht="43.2" customHeight="1" x14ac:dyDescent="0.3">
      <c r="A104" s="587"/>
      <c r="B104" s="762"/>
      <c r="C104" s="587"/>
      <c r="D104" s="584"/>
      <c r="E104" s="33" t="s">
        <v>254</v>
      </c>
      <c r="F104" s="503" t="s">
        <v>26</v>
      </c>
      <c r="G104" s="34" t="s">
        <v>252</v>
      </c>
      <c r="H104" s="33" t="s">
        <v>65</v>
      </c>
      <c r="I104" s="556">
        <v>6.5</v>
      </c>
      <c r="J104" s="597"/>
      <c r="K104" s="523"/>
      <c r="L104" s="524"/>
      <c r="M104" s="576" t="str">
        <f>IF(I104&gt;K$108,"EXCESSIVAMENTE ELEVADO",IF(I104&lt;L$108,"INEXEQUÍVEL","VÁLIDO"))</f>
        <v>VÁLIDO</v>
      </c>
      <c r="N104" s="202"/>
      <c r="O104" s="565"/>
      <c r="P104" s="753"/>
      <c r="Q104" s="756"/>
      <c r="Y104" s="25"/>
    </row>
    <row r="105" spans="1:25" ht="40.799999999999997" customHeight="1" x14ac:dyDescent="0.3">
      <c r="A105" s="587"/>
      <c r="B105" s="762"/>
      <c r="C105" s="587"/>
      <c r="D105" s="584"/>
      <c r="E105" s="40" t="s">
        <v>227</v>
      </c>
      <c r="F105" s="504" t="s">
        <v>26</v>
      </c>
      <c r="G105" s="41" t="s">
        <v>228</v>
      </c>
      <c r="H105" s="33" t="s">
        <v>65</v>
      </c>
      <c r="I105" s="557">
        <v>7.5</v>
      </c>
      <c r="J105" s="597"/>
      <c r="K105" s="523"/>
      <c r="L105" s="524"/>
      <c r="M105" s="577" t="str">
        <f>IF(I105&gt;K$101,"EXCESSIVAMENTE ELEVADO",IF(I105&lt;L$1099,"INEXEQUÍVEL","VÁLIDO"))</f>
        <v>VÁLIDO</v>
      </c>
      <c r="N105" s="202"/>
      <c r="O105" s="565"/>
      <c r="P105" s="753"/>
      <c r="Q105" s="756"/>
      <c r="Y105" s="25"/>
    </row>
    <row r="106" spans="1:25" ht="31.8" customHeight="1" x14ac:dyDescent="0.3">
      <c r="A106" s="587"/>
      <c r="B106" s="762"/>
      <c r="C106" s="587"/>
      <c r="D106" s="584"/>
      <c r="E106" s="308" t="s">
        <v>531</v>
      </c>
      <c r="F106" s="507" t="s">
        <v>27</v>
      </c>
      <c r="G106" s="34" t="s">
        <v>122</v>
      </c>
      <c r="H106" s="179" t="s">
        <v>122</v>
      </c>
      <c r="I106" s="556">
        <v>7.5</v>
      </c>
      <c r="J106" s="597"/>
      <c r="K106" s="523"/>
      <c r="L106" s="524"/>
      <c r="M106" s="577" t="str">
        <f>IF(I106&gt;K$101,"EXCESSIVAMENTE ELEVADO",IF(I106&lt;L$101,"INEXEQUÍVEL","VÁLIDO"))</f>
        <v>VÁLIDO</v>
      </c>
      <c r="N106" s="202"/>
      <c r="O106" s="565"/>
      <c r="P106" s="753"/>
      <c r="Q106" s="756"/>
      <c r="Y106" s="25"/>
    </row>
    <row r="107" spans="1:25" ht="82.2" customHeight="1" thickBot="1" x14ac:dyDescent="0.35">
      <c r="A107" s="588"/>
      <c r="B107" s="763"/>
      <c r="C107" s="588"/>
      <c r="D107" s="593"/>
      <c r="E107" s="489" t="s">
        <v>529</v>
      </c>
      <c r="F107" s="506" t="s">
        <v>27</v>
      </c>
      <c r="G107" s="53" t="s">
        <v>251</v>
      </c>
      <c r="H107" s="354" t="s">
        <v>123</v>
      </c>
      <c r="I107" s="559">
        <f>(6.92/10)+(7)</f>
        <v>7.6920000000000002</v>
      </c>
      <c r="J107" s="598"/>
      <c r="K107" s="525"/>
      <c r="L107" s="526"/>
      <c r="M107" s="578" t="str">
        <f>IF(I107&gt;K$101,"EXCESSIVAMENTE ELEVADO",IF(I107&lt;L$101,"INEXEQUÍVEL","VÁLIDO"))</f>
        <v>VÁLIDO</v>
      </c>
      <c r="N107" s="214"/>
      <c r="O107" s="220"/>
      <c r="P107" s="754"/>
      <c r="Q107" s="757"/>
      <c r="Y107" s="25"/>
    </row>
    <row r="108" spans="1:25" ht="53.4" customHeight="1" x14ac:dyDescent="0.3">
      <c r="A108" s="587">
        <v>26</v>
      </c>
      <c r="B108" s="787" t="s">
        <v>202</v>
      </c>
      <c r="C108" s="584" t="s">
        <v>12</v>
      </c>
      <c r="D108" s="584">
        <f>100+50+100</f>
        <v>250</v>
      </c>
      <c r="E108" s="429" t="s">
        <v>530</v>
      </c>
      <c r="F108" s="510" t="s">
        <v>9</v>
      </c>
      <c r="G108" s="90" t="s">
        <v>447</v>
      </c>
      <c r="H108" s="49" t="s">
        <v>65</v>
      </c>
      <c r="I108" s="555">
        <v>3.3</v>
      </c>
      <c r="J108" s="597">
        <f>AVERAGE(I108:I114)</f>
        <v>5.9874285714285715</v>
      </c>
      <c r="K108" s="523">
        <f>(J$108*30%)+J$108</f>
        <v>7.7836571428571428</v>
      </c>
      <c r="L108" s="518">
        <f>70%*J$108</f>
        <v>4.1912000000000003</v>
      </c>
      <c r="M108" s="496" t="str">
        <f>IF(I108&gt;K$108,"EXCESSIVAMENTE ELEVADO",IF(I108&lt;L$108,"INEXEQUÍVEL","VÁLIDO"))</f>
        <v>INEXEQUÍVEL</v>
      </c>
      <c r="N108" s="222">
        <f>I108/$J$108</f>
        <v>0.55115480053445309</v>
      </c>
      <c r="O108" s="425" t="s">
        <v>121</v>
      </c>
      <c r="P108" s="599">
        <f>TRUNC(MEDIAN(I109:I114),2)</f>
        <v>7</v>
      </c>
      <c r="Q108" s="602">
        <f>P108*D108</f>
        <v>1750</v>
      </c>
    </row>
    <row r="109" spans="1:25" ht="60" customHeight="1" x14ac:dyDescent="0.3">
      <c r="A109" s="587"/>
      <c r="B109" s="787"/>
      <c r="C109" s="584"/>
      <c r="D109" s="584"/>
      <c r="E109" s="36" t="s">
        <v>517</v>
      </c>
      <c r="F109" s="503" t="s">
        <v>9</v>
      </c>
      <c r="G109" s="33" t="s">
        <v>518</v>
      </c>
      <c r="H109" s="47" t="s">
        <v>65</v>
      </c>
      <c r="I109" s="446">
        <v>4.7300000000000004</v>
      </c>
      <c r="J109" s="597"/>
      <c r="K109" s="523"/>
      <c r="L109" s="524"/>
      <c r="M109" s="494" t="str">
        <f>IF(I109&gt;K$108,"EXCESSIVAMENTE ELEVADO",IF(I109&lt;L$108,"INEXEQUÍVEL","VÁLIDO"))</f>
        <v>VÁLIDO</v>
      </c>
      <c r="N109" s="202"/>
      <c r="O109" s="243"/>
      <c r="P109" s="600"/>
      <c r="Q109" s="603"/>
    </row>
    <row r="110" spans="1:25" ht="59.4" customHeight="1" x14ac:dyDescent="0.3">
      <c r="A110" s="587"/>
      <c r="B110" s="787"/>
      <c r="C110" s="584"/>
      <c r="D110" s="584"/>
      <c r="E110" s="36" t="s">
        <v>449</v>
      </c>
      <c r="F110" s="503" t="s">
        <v>9</v>
      </c>
      <c r="G110" s="33" t="s">
        <v>450</v>
      </c>
      <c r="H110" s="47" t="s">
        <v>68</v>
      </c>
      <c r="I110" s="446">
        <v>4.6900000000000004</v>
      </c>
      <c r="J110" s="597"/>
      <c r="K110" s="523"/>
      <c r="L110" s="524"/>
      <c r="M110" s="494" t="str">
        <f>IF(I109&gt;K$108,"EXCESSIVAMENTE ELEVADO",IF(I109&lt;L$108,"INEXEQUÍVEL","VÁLIDO"))</f>
        <v>VÁLIDO</v>
      </c>
      <c r="N110" s="202"/>
      <c r="O110" s="243"/>
      <c r="P110" s="600"/>
      <c r="Q110" s="603"/>
    </row>
    <row r="111" spans="1:25" ht="51" customHeight="1" x14ac:dyDescent="0.3">
      <c r="A111" s="587"/>
      <c r="B111" s="787"/>
      <c r="C111" s="584"/>
      <c r="D111" s="584"/>
      <c r="E111" s="33" t="s">
        <v>254</v>
      </c>
      <c r="F111" s="503" t="s">
        <v>26</v>
      </c>
      <c r="G111" s="34" t="s">
        <v>252</v>
      </c>
      <c r="H111" s="33" t="s">
        <v>65</v>
      </c>
      <c r="I111" s="446">
        <v>6.5</v>
      </c>
      <c r="J111" s="597"/>
      <c r="K111" s="523"/>
      <c r="L111" s="524"/>
      <c r="M111" s="494" t="str">
        <f>IF(I110&gt;K$108,"EXCESSIVAMENTE ELEVADO",IF(I110&lt;L$108,"INEXEQUÍVEL","VÁLIDO"))</f>
        <v>VÁLIDO</v>
      </c>
      <c r="N111" s="202"/>
      <c r="O111" s="243"/>
      <c r="P111" s="600"/>
      <c r="Q111" s="603"/>
    </row>
    <row r="112" spans="1:25" ht="45" customHeight="1" x14ac:dyDescent="0.3">
      <c r="A112" s="587"/>
      <c r="B112" s="787"/>
      <c r="C112" s="584"/>
      <c r="D112" s="584"/>
      <c r="E112" s="40" t="s">
        <v>227</v>
      </c>
      <c r="F112" s="504" t="s">
        <v>26</v>
      </c>
      <c r="G112" s="41" t="s">
        <v>228</v>
      </c>
      <c r="H112" s="33" t="s">
        <v>65</v>
      </c>
      <c r="I112" s="450">
        <v>7.5</v>
      </c>
      <c r="J112" s="597"/>
      <c r="K112" s="523"/>
      <c r="L112" s="524"/>
      <c r="M112" s="494" t="str">
        <f>IF(I111&gt;K$108,"EXCESSIVAMENTE ELEVADO",IF(I111&lt;L$108,"INEXEQUÍVEL","VÁLIDO"))</f>
        <v>VÁLIDO</v>
      </c>
      <c r="N112" s="223"/>
      <c r="O112" s="425"/>
      <c r="P112" s="600"/>
      <c r="Q112" s="603"/>
    </row>
    <row r="113" spans="1:22" ht="34.200000000000003" customHeight="1" x14ac:dyDescent="0.3">
      <c r="A113" s="587"/>
      <c r="B113" s="787"/>
      <c r="C113" s="584"/>
      <c r="D113" s="584"/>
      <c r="E113" s="308" t="s">
        <v>531</v>
      </c>
      <c r="F113" s="507" t="s">
        <v>27</v>
      </c>
      <c r="G113" s="34" t="s">
        <v>122</v>
      </c>
      <c r="H113" s="33" t="s">
        <v>122</v>
      </c>
      <c r="I113" s="446">
        <v>7.5</v>
      </c>
      <c r="J113" s="597"/>
      <c r="K113" s="527"/>
      <c r="L113" s="514"/>
      <c r="M113" s="495" t="str">
        <f>IF(I112&gt;K$108,"EXCESSIVAMENTE ELEVADO",IF(I112&lt;L$108,"INEXEQUÍVEL","VÁLIDO"))</f>
        <v>VÁLIDO</v>
      </c>
      <c r="N113" s="202"/>
      <c r="O113" s="562"/>
      <c r="P113" s="600"/>
      <c r="Q113" s="603"/>
      <c r="V113">
        <v>50</v>
      </c>
    </row>
    <row r="114" spans="1:22" ht="94.8" customHeight="1" thickBot="1" x14ac:dyDescent="0.35">
      <c r="A114" s="587"/>
      <c r="B114" s="787"/>
      <c r="C114" s="584"/>
      <c r="D114" s="584"/>
      <c r="E114" s="307" t="s">
        <v>529</v>
      </c>
      <c r="F114" s="504" t="s">
        <v>27</v>
      </c>
      <c r="G114" s="41" t="s">
        <v>251</v>
      </c>
      <c r="H114" s="200" t="s">
        <v>123</v>
      </c>
      <c r="I114" s="557">
        <f>(6.92/10)+(7)</f>
        <v>7.6920000000000002</v>
      </c>
      <c r="J114" s="597"/>
      <c r="K114" s="527"/>
      <c r="L114" s="514"/>
      <c r="M114" s="495" t="str">
        <f>IF(I113&gt;K$108,"EXCESSIVAMENTE ELEVADO",IF(I113&lt;L$108,"INEXEQUÍVEL","VÁLIDO"))</f>
        <v>VÁLIDO</v>
      </c>
      <c r="N114" s="202"/>
      <c r="O114" s="245"/>
      <c r="P114" s="601"/>
      <c r="Q114" s="604"/>
    </row>
    <row r="115" spans="1:22" ht="15" thickBot="1" x14ac:dyDescent="0.35">
      <c r="A115" s="653"/>
      <c r="B115" s="654"/>
      <c r="C115" s="654"/>
      <c r="D115" s="654"/>
      <c r="E115" s="654"/>
      <c r="F115" s="654"/>
      <c r="G115" s="654"/>
      <c r="H115" s="654"/>
      <c r="I115" s="654"/>
      <c r="J115" s="654"/>
      <c r="K115" s="654"/>
      <c r="L115" s="654"/>
      <c r="M115" s="654"/>
      <c r="N115" s="654"/>
      <c r="O115" s="654"/>
      <c r="P115" s="654"/>
      <c r="Q115" s="174">
        <f>SUM(Q28:Q114)</f>
        <v>19544.55</v>
      </c>
    </row>
    <row r="116" spans="1:22" ht="63.6" customHeight="1" x14ac:dyDescent="0.3"/>
  </sheetData>
  <mergeCells count="92">
    <mergeCell ref="J101:J107"/>
    <mergeCell ref="P101:P107"/>
    <mergeCell ref="Q101:Q107"/>
    <mergeCell ref="T14:AA14"/>
    <mergeCell ref="S15:S16"/>
    <mergeCell ref="T15:AB16"/>
    <mergeCell ref="S19:AD19"/>
    <mergeCell ref="S20:AD20"/>
    <mergeCell ref="J84:J93"/>
    <mergeCell ref="P84:P93"/>
    <mergeCell ref="Q84:Q93"/>
    <mergeCell ref="J94:J100"/>
    <mergeCell ref="P94:P100"/>
    <mergeCell ref="Q94:Q100"/>
    <mergeCell ref="P55:P62"/>
    <mergeCell ref="Q55:Q62"/>
    <mergeCell ref="P63:P74"/>
    <mergeCell ref="Q63:Q74"/>
    <mergeCell ref="J63:J74"/>
    <mergeCell ref="J75:J83"/>
    <mergeCell ref="P75:P83"/>
    <mergeCell ref="Q75:Q83"/>
    <mergeCell ref="A115:P115"/>
    <mergeCell ref="A108:A114"/>
    <mergeCell ref="B108:B114"/>
    <mergeCell ref="C108:C114"/>
    <mergeCell ref="D108:D114"/>
    <mergeCell ref="P108:P114"/>
    <mergeCell ref="J108:J114"/>
    <mergeCell ref="Q108:Q114"/>
    <mergeCell ref="P26:Q26"/>
    <mergeCell ref="A28:A36"/>
    <mergeCell ref="B28:B36"/>
    <mergeCell ref="C28:C36"/>
    <mergeCell ref="D28:D36"/>
    <mergeCell ref="P28:P36"/>
    <mergeCell ref="Q28:Q36"/>
    <mergeCell ref="F26:F27"/>
    <mergeCell ref="G26:G27"/>
    <mergeCell ref="I26:I27"/>
    <mergeCell ref="K26:K27"/>
    <mergeCell ref="L26:L27"/>
    <mergeCell ref="M26:M27"/>
    <mergeCell ref="E26:E27"/>
    <mergeCell ref="A37:A46"/>
    <mergeCell ref="A1:D1"/>
    <mergeCell ref="A26:A27"/>
    <mergeCell ref="B26:B27"/>
    <mergeCell ref="C26:C27"/>
    <mergeCell ref="D26:D27"/>
    <mergeCell ref="N26:O27"/>
    <mergeCell ref="P37:P46"/>
    <mergeCell ref="P47:P54"/>
    <mergeCell ref="A47:A54"/>
    <mergeCell ref="B47:B54"/>
    <mergeCell ref="C47:C54"/>
    <mergeCell ref="D47:D54"/>
    <mergeCell ref="J47:J54"/>
    <mergeCell ref="J26:J27"/>
    <mergeCell ref="J28:J36"/>
    <mergeCell ref="J37:J46"/>
    <mergeCell ref="B37:B46"/>
    <mergeCell ref="C37:C46"/>
    <mergeCell ref="D37:D46"/>
    <mergeCell ref="S28:AD28"/>
    <mergeCell ref="A55:A62"/>
    <mergeCell ref="B55:B62"/>
    <mergeCell ref="C55:C62"/>
    <mergeCell ref="D55:D62"/>
    <mergeCell ref="Q47:Q54"/>
    <mergeCell ref="Q37:Q46"/>
    <mergeCell ref="J55:J62"/>
    <mergeCell ref="A63:A74"/>
    <mergeCell ref="B63:B74"/>
    <mergeCell ref="C63:C74"/>
    <mergeCell ref="D63:D74"/>
    <mergeCell ref="A75:A83"/>
    <mergeCell ref="B75:B83"/>
    <mergeCell ref="C75:C83"/>
    <mergeCell ref="D75:D83"/>
    <mergeCell ref="A101:A107"/>
    <mergeCell ref="B101:B107"/>
    <mergeCell ref="C101:C107"/>
    <mergeCell ref="D101:D107"/>
    <mergeCell ref="A84:A93"/>
    <mergeCell ref="B84:B93"/>
    <mergeCell ref="C84:C93"/>
    <mergeCell ref="D84:D93"/>
    <mergeCell ref="A94:A100"/>
    <mergeCell ref="B94:B100"/>
    <mergeCell ref="C94:C100"/>
    <mergeCell ref="D94:D100"/>
  </mergeCells>
  <conditionalFormatting sqref="N37:N43 N29:N33 N64:N73 N90 N93 M26:M114 N101:N114">
    <cfRule type="containsText" dxfId="662" priority="310" operator="containsText" text="Excessivamente elevado">
      <formula>NOT(ISERROR(SEARCH("Excessivamente elevado",M26)))</formula>
    </cfRule>
  </conditionalFormatting>
  <conditionalFormatting sqref="N37:N43 N29:N33 N64:N73 N90 N93 M28:M114 N101:N114">
    <cfRule type="cellIs" dxfId="661" priority="308" operator="lessThan">
      <formula>"K$25"</formula>
    </cfRule>
    <cfRule type="cellIs" dxfId="660" priority="309" operator="greaterThan">
      <formula>"J$25"</formula>
    </cfRule>
  </conditionalFormatting>
  <conditionalFormatting sqref="N37:N43 N29:N33 N64:N73 N90 N93 M28:M114 N101:N114">
    <cfRule type="cellIs" dxfId="659" priority="306" operator="lessThan">
      <formula>"K$25"</formula>
    </cfRule>
    <cfRule type="cellIs" dxfId="658" priority="307" operator="greaterThan">
      <formula>"J&amp;25"</formula>
    </cfRule>
  </conditionalFormatting>
  <conditionalFormatting sqref="N26">
    <cfRule type="containsText" dxfId="657" priority="304" operator="containsText" text="Excessivamente elevado">
      <formula>NOT(ISERROR(SEARCH("Excessivamente elevado",N26)))</formula>
    </cfRule>
  </conditionalFormatting>
  <conditionalFormatting sqref="N49:N52">
    <cfRule type="containsText" dxfId="656" priority="236" operator="containsText" text="Excessivamente elevado">
      <formula>NOT(ISERROR(SEARCH("Excessivamente elevado",N49)))</formula>
    </cfRule>
  </conditionalFormatting>
  <conditionalFormatting sqref="N49:N52">
    <cfRule type="cellIs" dxfId="655" priority="234" operator="lessThan">
      <formula>"K$25"</formula>
    </cfRule>
    <cfRule type="cellIs" dxfId="654" priority="235" operator="greaterThan">
      <formula>"J$25"</formula>
    </cfRule>
  </conditionalFormatting>
  <conditionalFormatting sqref="N49:N52">
    <cfRule type="cellIs" dxfId="653" priority="232" operator="lessThan">
      <formula>"K$25"</formula>
    </cfRule>
    <cfRule type="cellIs" dxfId="652" priority="233" operator="greaterThan">
      <formula>"J&amp;25"</formula>
    </cfRule>
  </conditionalFormatting>
  <conditionalFormatting sqref="N49:N52">
    <cfRule type="containsText" priority="237" operator="containsText" text="Excessivamente elevado">
      <formula>NOT(ISERROR(SEARCH("Excessivamente elevado",N49)))</formula>
    </cfRule>
    <cfRule type="containsText" dxfId="651" priority="238" operator="containsText" text="Válido">
      <formula>NOT(ISERROR(SEARCH("Válido",N49)))</formula>
    </cfRule>
    <cfRule type="containsText" dxfId="650" priority="239" operator="containsText" text="Inexequível">
      <formula>NOT(ISERROR(SEARCH("Inexequível",N49)))</formula>
    </cfRule>
    <cfRule type="aboveAverage" dxfId="649" priority="240" aboveAverage="0"/>
  </conditionalFormatting>
  <conditionalFormatting sqref="N47">
    <cfRule type="containsText" dxfId="648" priority="227" operator="containsText" text="Excessivamente elevado">
      <formula>NOT(ISERROR(SEARCH("Excessivamente elevado",N47)))</formula>
    </cfRule>
  </conditionalFormatting>
  <conditionalFormatting sqref="N47">
    <cfRule type="cellIs" dxfId="647" priority="225" operator="lessThan">
      <formula>"K$25"</formula>
    </cfRule>
    <cfRule type="cellIs" dxfId="646" priority="226" operator="greaterThan">
      <formula>"J$25"</formula>
    </cfRule>
  </conditionalFormatting>
  <conditionalFormatting sqref="N47">
    <cfRule type="cellIs" dxfId="645" priority="223" operator="lessThan">
      <formula>"K$25"</formula>
    </cfRule>
    <cfRule type="cellIs" dxfId="644" priority="224" operator="greaterThan">
      <formula>"J&amp;25"</formula>
    </cfRule>
  </conditionalFormatting>
  <conditionalFormatting sqref="N47">
    <cfRule type="containsText" priority="228" operator="containsText" text="Excessivamente elevado">
      <formula>NOT(ISERROR(SEARCH("Excessivamente elevado",N47)))</formula>
    </cfRule>
    <cfRule type="containsText" dxfId="643" priority="229" operator="containsText" text="Válido">
      <formula>NOT(ISERROR(SEARCH("Válido",N47)))</formula>
    </cfRule>
    <cfRule type="containsText" dxfId="642" priority="230" operator="containsText" text="Inexequível">
      <formula>NOT(ISERROR(SEARCH("Inexequível",N47)))</formula>
    </cfRule>
    <cfRule type="aboveAverage" dxfId="641" priority="231" aboveAverage="0"/>
  </conditionalFormatting>
  <conditionalFormatting sqref="N48">
    <cfRule type="containsText" dxfId="640" priority="218" operator="containsText" text="Excessivamente elevado">
      <formula>NOT(ISERROR(SEARCH("Excessivamente elevado",N48)))</formula>
    </cfRule>
  </conditionalFormatting>
  <conditionalFormatting sqref="N48">
    <cfRule type="cellIs" dxfId="639" priority="216" operator="lessThan">
      <formula>"K$25"</formula>
    </cfRule>
    <cfRule type="cellIs" dxfId="638" priority="217" operator="greaterThan">
      <formula>"J$25"</formula>
    </cfRule>
  </conditionalFormatting>
  <conditionalFormatting sqref="N48">
    <cfRule type="cellIs" dxfId="637" priority="214" operator="lessThan">
      <formula>"K$25"</formula>
    </cfRule>
    <cfRule type="cellIs" dxfId="636" priority="215" operator="greaterThan">
      <formula>"J&amp;25"</formula>
    </cfRule>
  </conditionalFormatting>
  <conditionalFormatting sqref="N48">
    <cfRule type="containsText" priority="219" operator="containsText" text="Excessivamente elevado">
      <formula>NOT(ISERROR(SEARCH("Excessivamente elevado",N48)))</formula>
    </cfRule>
    <cfRule type="containsText" dxfId="635" priority="220" operator="containsText" text="Válido">
      <formula>NOT(ISERROR(SEARCH("Válido",N48)))</formula>
    </cfRule>
    <cfRule type="containsText" dxfId="634" priority="221" operator="containsText" text="Inexequível">
      <formula>NOT(ISERROR(SEARCH("Inexequível",N48)))</formula>
    </cfRule>
    <cfRule type="aboveAverage" dxfId="633" priority="222" aboveAverage="0"/>
  </conditionalFormatting>
  <conditionalFormatting sqref="N53:N54 N56:N62 N74 N78:N83">
    <cfRule type="containsText" dxfId="632" priority="200" operator="containsText" text="Excessivamente elevado">
      <formula>NOT(ISERROR(SEARCH("Excessivamente elevado",N53)))</formula>
    </cfRule>
  </conditionalFormatting>
  <conditionalFormatting sqref="N53:N54 N56:N62 N74 N78:N83">
    <cfRule type="cellIs" dxfId="631" priority="198" operator="lessThan">
      <formula>"K$25"</formula>
    </cfRule>
    <cfRule type="cellIs" dxfId="630" priority="199" operator="greaterThan">
      <formula>"J$25"</formula>
    </cfRule>
  </conditionalFormatting>
  <conditionalFormatting sqref="N53:N54 N56:N62 N74 N78:N83">
    <cfRule type="cellIs" dxfId="629" priority="196" operator="lessThan">
      <formula>"K$25"</formula>
    </cfRule>
    <cfRule type="cellIs" dxfId="628" priority="197" operator="greaterThan">
      <formula>"J&amp;25"</formula>
    </cfRule>
  </conditionalFormatting>
  <conditionalFormatting sqref="N28">
    <cfRule type="containsText" dxfId="627" priority="164" operator="containsText" text="Excessivamente elevado">
      <formula>NOT(ISERROR(SEARCH("Excessivamente elevado",N28)))</formula>
    </cfRule>
  </conditionalFormatting>
  <conditionalFormatting sqref="N28">
    <cfRule type="cellIs" dxfId="626" priority="162" operator="lessThan">
      <formula>"K$25"</formula>
    </cfRule>
    <cfRule type="cellIs" dxfId="625" priority="163" operator="greaterThan">
      <formula>"J$25"</formula>
    </cfRule>
  </conditionalFormatting>
  <conditionalFormatting sqref="N28">
    <cfRule type="cellIs" dxfId="624" priority="160" operator="lessThan">
      <formula>"K$25"</formula>
    </cfRule>
    <cfRule type="cellIs" dxfId="623" priority="161" operator="greaterThan">
      <formula>"J&amp;25"</formula>
    </cfRule>
  </conditionalFormatting>
  <conditionalFormatting sqref="N28">
    <cfRule type="containsText" priority="165" operator="containsText" text="Excessivamente elevado">
      <formula>NOT(ISERROR(SEARCH("Excessivamente elevado",N28)))</formula>
    </cfRule>
    <cfRule type="containsText" dxfId="622" priority="166" operator="containsText" text="Válido">
      <formula>NOT(ISERROR(SEARCH("Válido",N28)))</formula>
    </cfRule>
    <cfRule type="containsText" dxfId="621" priority="167" operator="containsText" text="Inexequível">
      <formula>NOT(ISERROR(SEARCH("Inexequível",N28)))</formula>
    </cfRule>
    <cfRule type="aboveAverage" dxfId="620" priority="168" aboveAverage="0"/>
  </conditionalFormatting>
  <conditionalFormatting sqref="N34:N36">
    <cfRule type="containsText" dxfId="619" priority="128" operator="containsText" text="Excessivamente elevado">
      <formula>NOT(ISERROR(SEARCH("Excessivamente elevado",N34)))</formula>
    </cfRule>
  </conditionalFormatting>
  <conditionalFormatting sqref="N34:N36">
    <cfRule type="cellIs" dxfId="618" priority="126" operator="lessThan">
      <formula>"K$25"</formula>
    </cfRule>
    <cfRule type="cellIs" dxfId="617" priority="127" operator="greaterThan">
      <formula>"J$25"</formula>
    </cfRule>
  </conditionalFormatting>
  <conditionalFormatting sqref="N34:N36">
    <cfRule type="cellIs" dxfId="616" priority="124" operator="lessThan">
      <formula>"K$25"</formula>
    </cfRule>
    <cfRule type="cellIs" dxfId="615" priority="125" operator="greaterThan">
      <formula>"J&amp;25"</formula>
    </cfRule>
  </conditionalFormatting>
  <conditionalFormatting sqref="N37:N43">
    <cfRule type="containsText" priority="3207" operator="containsText" text="Excessivamente elevado">
      <formula>NOT(ISERROR(SEARCH("Excessivamente elevado",N37)))</formula>
    </cfRule>
    <cfRule type="containsText" dxfId="614" priority="3208" operator="containsText" text="Válido">
      <formula>NOT(ISERROR(SEARCH("Válido",N37)))</formula>
    </cfRule>
    <cfRule type="containsText" dxfId="613" priority="3209" operator="containsText" text="Inexequível">
      <formula>NOT(ISERROR(SEARCH("Inexequível",N37)))</formula>
    </cfRule>
    <cfRule type="aboveAverage" dxfId="612" priority="3210" aboveAverage="0"/>
  </conditionalFormatting>
  <conditionalFormatting sqref="N44:N46">
    <cfRule type="containsText" dxfId="611" priority="110" operator="containsText" text="Excessivamente elevado">
      <formula>NOT(ISERROR(SEARCH("Excessivamente elevado",N44)))</formula>
    </cfRule>
  </conditionalFormatting>
  <conditionalFormatting sqref="N44:N46">
    <cfRule type="cellIs" dxfId="610" priority="108" operator="lessThan">
      <formula>"K$25"</formula>
    </cfRule>
    <cfRule type="cellIs" dxfId="609" priority="109" operator="greaterThan">
      <formula>"J$25"</formula>
    </cfRule>
  </conditionalFormatting>
  <conditionalFormatting sqref="N44:N46">
    <cfRule type="cellIs" dxfId="608" priority="106" operator="lessThan">
      <formula>"K$25"</formula>
    </cfRule>
    <cfRule type="cellIs" dxfId="607" priority="107" operator="greaterThan">
      <formula>"J&amp;25"</formula>
    </cfRule>
  </conditionalFormatting>
  <conditionalFormatting sqref="N44:N46">
    <cfRule type="containsText" priority="111" operator="containsText" text="Excessivamente elevado">
      <formula>NOT(ISERROR(SEARCH("Excessivamente elevado",N44)))</formula>
    </cfRule>
    <cfRule type="containsText" dxfId="606" priority="112" operator="containsText" text="Válido">
      <formula>NOT(ISERROR(SEARCH("Válido",N44)))</formula>
    </cfRule>
    <cfRule type="containsText" dxfId="605" priority="113" operator="containsText" text="Inexequível">
      <formula>NOT(ISERROR(SEARCH("Inexequível",N44)))</formula>
    </cfRule>
    <cfRule type="aboveAverage" dxfId="604" priority="114" aboveAverage="0"/>
  </conditionalFormatting>
  <conditionalFormatting sqref="N29:N33">
    <cfRule type="containsText" priority="4648" operator="containsText" text="Excessivamente elevado">
      <formula>NOT(ISERROR(SEARCH("Excessivamente elevado",N29)))</formula>
    </cfRule>
    <cfRule type="containsText" dxfId="603" priority="4649" operator="containsText" text="Válido">
      <formula>NOT(ISERROR(SEARCH("Válido",N29)))</formula>
    </cfRule>
    <cfRule type="containsText" dxfId="602" priority="4650" operator="containsText" text="Inexequível">
      <formula>NOT(ISERROR(SEARCH("Inexequível",N29)))</formula>
    </cfRule>
    <cfRule type="aboveAverage" dxfId="601" priority="4651" aboveAverage="0"/>
  </conditionalFormatting>
  <conditionalFormatting sqref="N34:N36">
    <cfRule type="containsText" priority="4674" operator="containsText" text="Excessivamente elevado">
      <formula>NOT(ISERROR(SEARCH("Excessivamente elevado",N34)))</formula>
    </cfRule>
    <cfRule type="containsText" dxfId="600" priority="4675" operator="containsText" text="Válido">
      <formula>NOT(ISERROR(SEARCH("Válido",N34)))</formula>
    </cfRule>
    <cfRule type="containsText" dxfId="599" priority="4676" operator="containsText" text="Inexequível">
      <formula>NOT(ISERROR(SEARCH("Inexequível",N34)))</formula>
    </cfRule>
    <cfRule type="aboveAverage" dxfId="598" priority="4677" aboveAverage="0"/>
  </conditionalFormatting>
  <conditionalFormatting sqref="N55">
    <cfRule type="containsText" dxfId="597" priority="101" operator="containsText" text="Excessivamente elevado">
      <formula>NOT(ISERROR(SEARCH("Excessivamente elevado",N55)))</formula>
    </cfRule>
  </conditionalFormatting>
  <conditionalFormatting sqref="N55">
    <cfRule type="cellIs" dxfId="596" priority="99" operator="lessThan">
      <formula>"K$25"</formula>
    </cfRule>
    <cfRule type="cellIs" dxfId="595" priority="100" operator="greaterThan">
      <formula>"J$25"</formula>
    </cfRule>
  </conditionalFormatting>
  <conditionalFormatting sqref="N55">
    <cfRule type="cellIs" dxfId="594" priority="97" operator="lessThan">
      <formula>"K$25"</formula>
    </cfRule>
    <cfRule type="cellIs" dxfId="593" priority="98" operator="greaterThan">
      <formula>"J&amp;25"</formula>
    </cfRule>
  </conditionalFormatting>
  <conditionalFormatting sqref="N55">
    <cfRule type="containsText" priority="102" operator="containsText" text="Excessivamente elevado">
      <formula>NOT(ISERROR(SEARCH("Excessivamente elevado",N55)))</formula>
    </cfRule>
    <cfRule type="containsText" dxfId="592" priority="103" operator="containsText" text="Válido">
      <formula>NOT(ISERROR(SEARCH("Válido",N55)))</formula>
    </cfRule>
    <cfRule type="containsText" dxfId="591" priority="104" operator="containsText" text="Inexequível">
      <formula>NOT(ISERROR(SEARCH("Inexequível",N55)))</formula>
    </cfRule>
    <cfRule type="aboveAverage" dxfId="590" priority="105" aboveAverage="0"/>
  </conditionalFormatting>
  <conditionalFormatting sqref="N63">
    <cfRule type="containsText" dxfId="589" priority="83" operator="containsText" text="Excessivamente elevado">
      <formula>NOT(ISERROR(SEARCH("Excessivamente elevado",N63)))</formula>
    </cfRule>
  </conditionalFormatting>
  <conditionalFormatting sqref="N63">
    <cfRule type="cellIs" dxfId="588" priority="81" operator="lessThan">
      <formula>"K$25"</formula>
    </cfRule>
    <cfRule type="cellIs" dxfId="587" priority="82" operator="greaterThan">
      <formula>"J$25"</formula>
    </cfRule>
  </conditionalFormatting>
  <conditionalFormatting sqref="N63">
    <cfRule type="cellIs" dxfId="586" priority="79" operator="lessThan">
      <formula>"K$25"</formula>
    </cfRule>
    <cfRule type="cellIs" dxfId="585" priority="80" operator="greaterThan">
      <formula>"J&amp;25"</formula>
    </cfRule>
  </conditionalFormatting>
  <conditionalFormatting sqref="N63">
    <cfRule type="containsText" priority="84" operator="containsText" text="Excessivamente elevado">
      <formula>NOT(ISERROR(SEARCH("Excessivamente elevado",N63)))</formula>
    </cfRule>
    <cfRule type="containsText" dxfId="584" priority="85" operator="containsText" text="Válido">
      <formula>NOT(ISERROR(SEARCH("Válido",N63)))</formula>
    </cfRule>
    <cfRule type="containsText" dxfId="583" priority="86" operator="containsText" text="Inexequível">
      <formula>NOT(ISERROR(SEARCH("Inexequível",N63)))</formula>
    </cfRule>
    <cfRule type="aboveAverage" dxfId="582" priority="87" aboveAverage="0"/>
  </conditionalFormatting>
  <conditionalFormatting sqref="N75">
    <cfRule type="containsText" dxfId="581" priority="74" operator="containsText" text="Excessivamente elevado">
      <formula>NOT(ISERROR(SEARCH("Excessivamente elevado",N75)))</formula>
    </cfRule>
  </conditionalFormatting>
  <conditionalFormatting sqref="N75">
    <cfRule type="cellIs" dxfId="580" priority="72" operator="lessThan">
      <formula>"K$25"</formula>
    </cfRule>
    <cfRule type="cellIs" dxfId="579" priority="73" operator="greaterThan">
      <formula>"J$25"</formula>
    </cfRule>
  </conditionalFormatting>
  <conditionalFormatting sqref="N75">
    <cfRule type="cellIs" dxfId="578" priority="70" operator="lessThan">
      <formula>"K$25"</formula>
    </cfRule>
    <cfRule type="cellIs" dxfId="577" priority="71" operator="greaterThan">
      <formula>"J&amp;25"</formula>
    </cfRule>
  </conditionalFormatting>
  <conditionalFormatting sqref="N75">
    <cfRule type="containsText" priority="75" operator="containsText" text="Excessivamente elevado">
      <formula>NOT(ISERROR(SEARCH("Excessivamente elevado",N75)))</formula>
    </cfRule>
    <cfRule type="containsText" dxfId="576" priority="76" operator="containsText" text="Válido">
      <formula>NOT(ISERROR(SEARCH("Válido",N75)))</formula>
    </cfRule>
    <cfRule type="containsText" dxfId="575" priority="77" operator="containsText" text="Inexequível">
      <formula>NOT(ISERROR(SEARCH("Inexequível",N75)))</formula>
    </cfRule>
    <cfRule type="aboveAverage" dxfId="574" priority="78" aboveAverage="0"/>
  </conditionalFormatting>
  <conditionalFormatting sqref="N64:N73">
    <cfRule type="containsText" priority="5002" operator="containsText" text="Excessivamente elevado">
      <formula>NOT(ISERROR(SEARCH("Excessivamente elevado",N64)))</formula>
    </cfRule>
    <cfRule type="containsText" dxfId="573" priority="5003" operator="containsText" text="Válido">
      <formula>NOT(ISERROR(SEARCH("Válido",N64)))</formula>
    </cfRule>
    <cfRule type="containsText" dxfId="572" priority="5004" operator="containsText" text="Inexequível">
      <formula>NOT(ISERROR(SEARCH("Inexequível",N64)))</formula>
    </cfRule>
    <cfRule type="aboveAverage" dxfId="571" priority="5005" aboveAverage="0"/>
  </conditionalFormatting>
  <conditionalFormatting sqref="N76:N77">
    <cfRule type="containsText" dxfId="570" priority="56" operator="containsText" text="Excessivamente elevado">
      <formula>NOT(ISERROR(SEARCH("Excessivamente elevado",N76)))</formula>
    </cfRule>
  </conditionalFormatting>
  <conditionalFormatting sqref="N76:N77">
    <cfRule type="cellIs" dxfId="569" priority="54" operator="lessThan">
      <formula>"K$25"</formula>
    </cfRule>
    <cfRule type="cellIs" dxfId="568" priority="55" operator="greaterThan">
      <formula>"J$25"</formula>
    </cfRule>
  </conditionalFormatting>
  <conditionalFormatting sqref="N76:N77">
    <cfRule type="cellIs" dxfId="567" priority="52" operator="lessThan">
      <formula>"K$25"</formula>
    </cfRule>
    <cfRule type="cellIs" dxfId="566" priority="53" operator="greaterThan">
      <formula>"J&amp;25"</formula>
    </cfRule>
  </conditionalFormatting>
  <conditionalFormatting sqref="N76:N77">
    <cfRule type="containsText" priority="57" operator="containsText" text="Excessivamente elevado">
      <formula>NOT(ISERROR(SEARCH("Excessivamente elevado",N76)))</formula>
    </cfRule>
    <cfRule type="containsText" dxfId="565" priority="58" operator="containsText" text="Válido">
      <formula>NOT(ISERROR(SEARCH("Válido",N76)))</formula>
    </cfRule>
    <cfRule type="containsText" dxfId="564" priority="59" operator="containsText" text="Inexequível">
      <formula>NOT(ISERROR(SEARCH("Inexequível",N76)))</formula>
    </cfRule>
    <cfRule type="aboveAverage" dxfId="563" priority="60" aboveAverage="0"/>
  </conditionalFormatting>
  <conditionalFormatting sqref="N84:N89">
    <cfRule type="containsText" dxfId="562" priority="47" operator="containsText" text="Excessivamente elevado">
      <formula>NOT(ISERROR(SEARCH("Excessivamente elevado",N84)))</formula>
    </cfRule>
  </conditionalFormatting>
  <conditionalFormatting sqref="N84:N89">
    <cfRule type="cellIs" dxfId="561" priority="45" operator="lessThan">
      <formula>"K$25"</formula>
    </cfRule>
    <cfRule type="cellIs" dxfId="560" priority="46" operator="greaterThan">
      <formula>"J$25"</formula>
    </cfRule>
  </conditionalFormatting>
  <conditionalFormatting sqref="N84:N89">
    <cfRule type="cellIs" dxfId="559" priority="43" operator="lessThan">
      <formula>"K$25"</formula>
    </cfRule>
    <cfRule type="cellIs" dxfId="558" priority="44" operator="greaterThan">
      <formula>"J&amp;25"</formula>
    </cfRule>
  </conditionalFormatting>
  <conditionalFormatting sqref="N84:N89">
    <cfRule type="containsText" priority="48" operator="containsText" text="Excessivamente elevado">
      <formula>NOT(ISERROR(SEARCH("Excessivamente elevado",N84)))</formula>
    </cfRule>
    <cfRule type="containsText" dxfId="557" priority="49" operator="containsText" text="Válido">
      <formula>NOT(ISERROR(SEARCH("Válido",N84)))</formula>
    </cfRule>
    <cfRule type="containsText" dxfId="556" priority="50" operator="containsText" text="Inexequível">
      <formula>NOT(ISERROR(SEARCH("Inexequível",N84)))</formula>
    </cfRule>
    <cfRule type="aboveAverage" dxfId="555" priority="51" aboveAverage="0"/>
  </conditionalFormatting>
  <conditionalFormatting sqref="N94">
    <cfRule type="containsText" dxfId="554" priority="38" operator="containsText" text="Excessivamente elevado">
      <formula>NOT(ISERROR(SEARCH("Excessivamente elevado",N94)))</formula>
    </cfRule>
  </conditionalFormatting>
  <conditionalFormatting sqref="N94">
    <cfRule type="cellIs" dxfId="553" priority="36" operator="lessThan">
      <formula>"K$25"</formula>
    </cfRule>
    <cfRule type="cellIs" dxfId="552" priority="37" operator="greaterThan">
      <formula>"J$25"</formula>
    </cfRule>
  </conditionalFormatting>
  <conditionalFormatting sqref="N94">
    <cfRule type="cellIs" dxfId="551" priority="34" operator="lessThan">
      <formula>"K$25"</formula>
    </cfRule>
    <cfRule type="cellIs" dxfId="550" priority="35" operator="greaterThan">
      <formula>"J&amp;25"</formula>
    </cfRule>
  </conditionalFormatting>
  <conditionalFormatting sqref="N94">
    <cfRule type="containsText" priority="39" operator="containsText" text="Excessivamente elevado">
      <formula>NOT(ISERROR(SEARCH("Excessivamente elevado",N94)))</formula>
    </cfRule>
    <cfRule type="containsText" dxfId="549" priority="40" operator="containsText" text="Válido">
      <formula>NOT(ISERROR(SEARCH("Válido",N94)))</formula>
    </cfRule>
    <cfRule type="containsText" dxfId="548" priority="41" operator="containsText" text="Inexequível">
      <formula>NOT(ISERROR(SEARCH("Inexequível",N94)))</formula>
    </cfRule>
    <cfRule type="aboveAverage" dxfId="547" priority="42" aboveAverage="0"/>
  </conditionalFormatting>
  <conditionalFormatting sqref="N91">
    <cfRule type="containsText" dxfId="546" priority="33" operator="containsText" text="Excessivamente elevado">
      <formula>NOT(ISERROR(SEARCH("Excessivamente elevado",N91)))</formula>
    </cfRule>
  </conditionalFormatting>
  <conditionalFormatting sqref="N91">
    <cfRule type="cellIs" dxfId="545" priority="31" operator="lessThan">
      <formula>"K$25"</formula>
    </cfRule>
    <cfRule type="cellIs" dxfId="544" priority="32" operator="greaterThan">
      <formula>"J$25"</formula>
    </cfRule>
  </conditionalFormatting>
  <conditionalFormatting sqref="N91">
    <cfRule type="cellIs" dxfId="543" priority="29" operator="lessThan">
      <formula>"K$25"</formula>
    </cfRule>
    <cfRule type="cellIs" dxfId="542" priority="30" operator="greaterThan">
      <formula>"J&amp;25"</formula>
    </cfRule>
  </conditionalFormatting>
  <conditionalFormatting sqref="N92:N93">
    <cfRule type="containsText" dxfId="541" priority="28" operator="containsText" text="Excessivamente elevado">
      <formula>NOT(ISERROR(SEARCH("Excessivamente elevado",N92)))</formula>
    </cfRule>
  </conditionalFormatting>
  <conditionalFormatting sqref="N92:N93">
    <cfRule type="cellIs" dxfId="540" priority="26" operator="lessThan">
      <formula>"K$25"</formula>
    </cfRule>
    <cfRule type="cellIs" dxfId="539" priority="27" operator="greaterThan">
      <formula>"J$25"</formula>
    </cfRule>
  </conditionalFormatting>
  <conditionalFormatting sqref="N92:N93">
    <cfRule type="cellIs" dxfId="538" priority="24" operator="lessThan">
      <formula>"K$25"</formula>
    </cfRule>
    <cfRule type="cellIs" dxfId="537" priority="25" operator="greaterThan">
      <formula>"J&amp;25"</formula>
    </cfRule>
  </conditionalFormatting>
  <conditionalFormatting sqref="N95:N98">
    <cfRule type="containsText" dxfId="536" priority="10" operator="containsText" text="Excessivamente elevado">
      <formula>NOT(ISERROR(SEARCH("Excessivamente elevado",N95)))</formula>
    </cfRule>
  </conditionalFormatting>
  <conditionalFormatting sqref="N95:N98">
    <cfRule type="cellIs" dxfId="535" priority="8" operator="lessThan">
      <formula>"K$25"</formula>
    </cfRule>
    <cfRule type="cellIs" dxfId="534" priority="9" operator="greaterThan">
      <formula>"J$25"</formula>
    </cfRule>
  </conditionalFormatting>
  <conditionalFormatting sqref="N95:N98">
    <cfRule type="cellIs" dxfId="533" priority="6" operator="lessThan">
      <formula>"K$25"</formula>
    </cfRule>
    <cfRule type="cellIs" dxfId="532" priority="7" operator="greaterThan">
      <formula>"J&amp;25"</formula>
    </cfRule>
  </conditionalFormatting>
  <conditionalFormatting sqref="N95:N98">
    <cfRule type="containsText" priority="11" operator="containsText" text="Excessivamente elevado">
      <formula>NOT(ISERROR(SEARCH("Excessivamente elevado",N95)))</formula>
    </cfRule>
    <cfRule type="containsText" dxfId="531" priority="12" operator="containsText" text="Válido">
      <formula>NOT(ISERROR(SEARCH("Válido",N95)))</formula>
    </cfRule>
    <cfRule type="containsText" dxfId="530" priority="13" operator="containsText" text="Inexequível">
      <formula>NOT(ISERROR(SEARCH("Inexequível",N95)))</formula>
    </cfRule>
    <cfRule type="aboveAverage" dxfId="529" priority="14" aboveAverage="0"/>
  </conditionalFormatting>
  <conditionalFormatting sqref="N99:N100">
    <cfRule type="containsText" dxfId="528" priority="5" operator="containsText" text="Excessivamente elevado">
      <formula>NOT(ISERROR(SEARCH("Excessivamente elevado",N99)))</formula>
    </cfRule>
  </conditionalFormatting>
  <conditionalFormatting sqref="N99:N100">
    <cfRule type="cellIs" dxfId="527" priority="3" operator="lessThan">
      <formula>"K$25"</formula>
    </cfRule>
    <cfRule type="cellIs" dxfId="526" priority="4" operator="greaterThan">
      <formula>"J$25"</formula>
    </cfRule>
  </conditionalFormatting>
  <conditionalFormatting sqref="N99:N100">
    <cfRule type="cellIs" dxfId="525" priority="1" operator="lessThan">
      <formula>"K$25"</formula>
    </cfRule>
    <cfRule type="cellIs" dxfId="524" priority="2" operator="greaterThan">
      <formula>"J&amp;25"</formula>
    </cfRule>
  </conditionalFormatting>
  <conditionalFormatting sqref="N74 N53:N54 N56:N62 N78:N83 N90:N93 N99:N100">
    <cfRule type="containsText" priority="5306" operator="containsText" text="Excessivamente elevado">
      <formula>NOT(ISERROR(SEARCH("Excessivamente elevado",N53)))</formula>
    </cfRule>
    <cfRule type="containsText" dxfId="523" priority="5307" operator="containsText" text="Válido">
      <formula>NOT(ISERROR(SEARCH("Válido",N53)))</formula>
    </cfRule>
    <cfRule type="containsText" dxfId="522" priority="5308" operator="containsText" text="Inexequível">
      <formula>NOT(ISERROR(SEARCH("Inexequível",N53)))</formula>
    </cfRule>
    <cfRule type="aboveAverage" dxfId="521" priority="5309" aboveAverage="0"/>
  </conditionalFormatting>
  <conditionalFormatting sqref="N101:N114">
    <cfRule type="containsText" priority="5362" operator="containsText" text="Excessivamente elevado">
      <formula>NOT(ISERROR(SEARCH("Excessivamente elevado",N101)))</formula>
    </cfRule>
    <cfRule type="containsText" dxfId="520" priority="5363" operator="containsText" text="Válido">
      <formula>NOT(ISERROR(SEARCH("Válido",N101)))</formula>
    </cfRule>
    <cfRule type="containsText" dxfId="519" priority="5364" operator="containsText" text="Inexequível">
      <formula>NOT(ISERROR(SEARCH("Inexequível",N101)))</formula>
    </cfRule>
    <cfRule type="aboveAverage" dxfId="518" priority="5365" aboveAverage="0"/>
  </conditionalFormatting>
  <conditionalFormatting sqref="M28:M114">
    <cfRule type="containsText" priority="5370" operator="containsText" text="Excessivamente elevado">
      <formula>NOT(ISERROR(SEARCH("Excessivamente elevado",M28)))</formula>
    </cfRule>
    <cfRule type="containsText" dxfId="517" priority="5371" operator="containsText" text="Válido">
      <formula>NOT(ISERROR(SEARCH("Válido",M28)))</formula>
    </cfRule>
    <cfRule type="containsText" dxfId="516" priority="5372" operator="containsText" text="Inexequível">
      <formula>NOT(ISERROR(SEARCH("Inexequível",M28)))</formula>
    </cfRule>
    <cfRule type="aboveAverage" dxfId="515" priority="5373" aboveAverage="0"/>
  </conditionalFormatting>
  <pageMargins left="0.23622047244094491" right="0.23622047244094491" top="0.74803149606299213" bottom="0.74803149606299213" header="0.31496062992125984" footer="0.31496062992125984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7A090-3A5F-4F70-A552-8A7A2849D7C6}">
  <sheetPr>
    <tabColor rgb="FFFF0000"/>
  </sheetPr>
  <dimension ref="A1:AF49"/>
  <sheetViews>
    <sheetView showGridLines="0" topLeftCell="A28" zoomScale="115" zoomScaleNormal="115" workbookViewId="0">
      <selection activeCell="M10" sqref="M10"/>
    </sheetView>
  </sheetViews>
  <sheetFormatPr defaultColWidth="9.109375" defaultRowHeight="14.4" x14ac:dyDescent="0.3"/>
  <cols>
    <col min="1" max="1" width="4.109375" style="20" customWidth="1"/>
    <col min="2" max="2" width="23.6640625" customWidth="1"/>
    <col min="3" max="3" width="4.109375" customWidth="1"/>
    <col min="4" max="4" width="4.44140625" style="20" customWidth="1"/>
    <col min="5" max="5" width="26.88671875" style="13" customWidth="1"/>
    <col min="6" max="6" width="11.6640625" style="13" customWidth="1"/>
    <col min="7" max="7" width="26.5546875" style="13" customWidth="1"/>
    <col min="8" max="8" width="6.109375" style="13" customWidth="1"/>
    <col min="9" max="9" width="9.88671875" style="13" customWidth="1"/>
    <col min="10" max="10" width="9.6640625" style="13" customWidth="1"/>
    <col min="11" max="11" width="8.6640625" style="13" customWidth="1"/>
    <col min="12" max="12" width="9.6640625" style="13" customWidth="1"/>
    <col min="13" max="13" width="13" style="13" customWidth="1"/>
    <col min="14" max="14" width="5.33203125" style="13" customWidth="1"/>
    <col min="15" max="15" width="19.109375" style="13" customWidth="1"/>
    <col min="16" max="16" width="12" customWidth="1"/>
    <col min="17" max="17" width="13.33203125" customWidth="1"/>
    <col min="19" max="19" width="13.44140625" customWidth="1"/>
    <col min="22" max="22" width="12.5546875" bestFit="1" customWidth="1"/>
    <col min="25" max="25" width="10.5546875" bestFit="1" customWidth="1"/>
  </cols>
  <sheetData>
    <row r="1" spans="1:32" ht="20.399999999999999" thickBot="1" x14ac:dyDescent="0.4">
      <c r="A1" s="714" t="s">
        <v>179</v>
      </c>
      <c r="B1" s="714"/>
      <c r="C1" s="714"/>
      <c r="D1" s="714"/>
      <c r="T1" s="277" t="s">
        <v>79</v>
      </c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</row>
    <row r="2" spans="1:32" ht="21" thickTop="1" thickBot="1" x14ac:dyDescent="0.35"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</row>
    <row r="3" spans="1:32" ht="15" thickTop="1" x14ac:dyDescent="0.3">
      <c r="A3" s="72" t="s">
        <v>130</v>
      </c>
      <c r="B3" s="29"/>
      <c r="C3" s="29"/>
      <c r="D3" s="29"/>
      <c r="E3"/>
      <c r="F3"/>
      <c r="G3" s="318"/>
      <c r="H3" s="319"/>
      <c r="I3" s="320"/>
      <c r="J3"/>
      <c r="K3"/>
      <c r="L3"/>
      <c r="M3"/>
      <c r="N3"/>
      <c r="O3"/>
      <c r="T3" s="791" t="s">
        <v>80</v>
      </c>
      <c r="U3" s="791"/>
      <c r="V3" s="791"/>
      <c r="W3" s="791"/>
      <c r="X3" s="791"/>
      <c r="Y3" s="791"/>
      <c r="Z3" s="791"/>
      <c r="AA3" s="791"/>
      <c r="AB3" s="791"/>
      <c r="AC3" s="115"/>
      <c r="AD3" s="113" t="s">
        <v>81</v>
      </c>
      <c r="AE3" s="115"/>
    </row>
    <row r="4" spans="1:32" x14ac:dyDescent="0.3">
      <c r="A4" s="59" t="s">
        <v>5</v>
      </c>
      <c r="B4" s="60"/>
      <c r="C4" s="60"/>
      <c r="D4" s="62"/>
      <c r="E4" s="70">
        <f>AVERAGE(I21:I30)</f>
        <v>5.7460000000000004</v>
      </c>
      <c r="F4" s="61"/>
      <c r="G4" s="321"/>
      <c r="H4" s="321"/>
      <c r="I4" s="322"/>
      <c r="J4" s="70"/>
      <c r="K4" s="60"/>
      <c r="L4"/>
      <c r="M4"/>
      <c r="N4"/>
      <c r="O4"/>
      <c r="R4" s="20"/>
      <c r="T4" s="115" t="s">
        <v>82</v>
      </c>
      <c r="U4" s="194" t="s">
        <v>83</v>
      </c>
      <c r="V4" s="194"/>
      <c r="W4" s="194"/>
      <c r="X4" s="194"/>
      <c r="Y4" s="194"/>
      <c r="Z4" s="194"/>
      <c r="AA4" s="194"/>
      <c r="AB4" s="194"/>
      <c r="AC4" s="115"/>
      <c r="AD4" s="116" t="s">
        <v>125</v>
      </c>
      <c r="AE4" s="115"/>
    </row>
    <row r="5" spans="1:32" x14ac:dyDescent="0.3">
      <c r="A5" s="59" t="s">
        <v>6</v>
      </c>
      <c r="B5" s="60"/>
      <c r="C5" s="60"/>
      <c r="D5" s="62"/>
      <c r="E5" s="70">
        <f>_xlfn.STDEV.S(I21:I30)</f>
        <v>2.8372803879771897</v>
      </c>
      <c r="F5" s="63"/>
      <c r="G5" s="321"/>
      <c r="H5" s="321"/>
      <c r="I5" s="322"/>
      <c r="J5" s="70"/>
      <c r="K5" s="60"/>
      <c r="L5"/>
      <c r="M5"/>
      <c r="N5"/>
      <c r="O5"/>
      <c r="R5" s="20"/>
      <c r="T5" s="115" t="s">
        <v>84</v>
      </c>
      <c r="U5" s="194" t="s">
        <v>85</v>
      </c>
      <c r="V5" s="194"/>
      <c r="W5" s="194"/>
      <c r="X5" s="194"/>
      <c r="Y5" s="194"/>
      <c r="Z5" s="194"/>
      <c r="AA5" s="194"/>
      <c r="AB5" s="194"/>
      <c r="AC5" s="115"/>
      <c r="AD5" s="116" t="s">
        <v>125</v>
      </c>
      <c r="AE5" s="115"/>
    </row>
    <row r="6" spans="1:32" x14ac:dyDescent="0.3">
      <c r="A6" s="59" t="s">
        <v>29</v>
      </c>
      <c r="B6" s="60"/>
      <c r="C6" s="60"/>
      <c r="D6" s="62"/>
      <c r="E6" s="71">
        <f>(E5/E4)*100</f>
        <v>49.378356908757212</v>
      </c>
      <c r="F6" s="63"/>
      <c r="G6" s="321"/>
      <c r="H6" s="321"/>
      <c r="I6" s="323"/>
      <c r="J6" s="71"/>
      <c r="K6" s="60"/>
      <c r="L6"/>
      <c r="M6"/>
      <c r="N6"/>
      <c r="O6"/>
      <c r="R6" s="20"/>
      <c r="T6" s="115" t="s">
        <v>86</v>
      </c>
      <c r="U6" s="194" t="s">
        <v>87</v>
      </c>
      <c r="V6" s="194"/>
      <c r="W6" s="194"/>
      <c r="X6" s="194"/>
      <c r="Y6" s="194"/>
      <c r="Z6" s="194"/>
      <c r="AA6" s="194"/>
      <c r="AB6" s="194"/>
      <c r="AC6" s="115"/>
      <c r="AD6" s="116" t="s">
        <v>125</v>
      </c>
      <c r="AE6" s="115"/>
    </row>
    <row r="7" spans="1:32" x14ac:dyDescent="0.3">
      <c r="A7" s="59" t="s">
        <v>7</v>
      </c>
      <c r="B7" s="60"/>
      <c r="C7" s="60"/>
      <c r="D7" s="62"/>
      <c r="E7" s="131" t="str">
        <f>IF(E6&gt;25,"Mediana","Média")</f>
        <v>Mediana</v>
      </c>
      <c r="F7" s="64"/>
      <c r="G7" s="321"/>
      <c r="H7" s="321"/>
      <c r="I7" s="324"/>
      <c r="J7" s="106"/>
      <c r="K7" s="60"/>
      <c r="L7"/>
      <c r="M7"/>
      <c r="N7"/>
      <c r="O7"/>
      <c r="R7" s="20"/>
      <c r="T7" s="115" t="s">
        <v>88</v>
      </c>
      <c r="U7" s="194" t="s">
        <v>89</v>
      </c>
      <c r="V7" s="194"/>
      <c r="W7" s="194"/>
      <c r="X7" s="194"/>
      <c r="Y7" s="194"/>
      <c r="Z7" s="194"/>
      <c r="AA7" s="194"/>
      <c r="AB7" s="194"/>
      <c r="AC7" s="115"/>
      <c r="AD7" s="116" t="s">
        <v>125</v>
      </c>
      <c r="AE7" s="115"/>
    </row>
    <row r="8" spans="1:32" x14ac:dyDescent="0.3">
      <c r="A8" s="59" t="s">
        <v>8</v>
      </c>
      <c r="B8" s="60"/>
      <c r="C8" s="60"/>
      <c r="D8" s="62"/>
      <c r="E8" s="70">
        <f>MIN(I21:I30)</f>
        <v>2.9</v>
      </c>
      <c r="F8" s="61"/>
      <c r="G8" s="321"/>
      <c r="H8" s="321"/>
      <c r="I8" s="322"/>
      <c r="J8" s="70"/>
      <c r="K8" s="60"/>
      <c r="L8"/>
      <c r="M8"/>
      <c r="N8"/>
      <c r="O8"/>
      <c r="R8" s="20"/>
      <c r="T8" s="115" t="s">
        <v>90</v>
      </c>
      <c r="U8" s="194" t="s">
        <v>91</v>
      </c>
      <c r="V8" s="194"/>
      <c r="W8" s="194"/>
      <c r="X8" s="194"/>
      <c r="Y8" s="194"/>
      <c r="Z8" s="194"/>
      <c r="AA8" s="194"/>
      <c r="AB8" s="194"/>
      <c r="AC8" s="115"/>
      <c r="AD8" s="199" t="s">
        <v>127</v>
      </c>
      <c r="AE8" s="115"/>
    </row>
    <row r="9" spans="1:32" x14ac:dyDescent="0.3">
      <c r="A9" s="59"/>
      <c r="B9" s="60"/>
      <c r="C9" s="60"/>
      <c r="D9" s="62"/>
      <c r="E9" s="65"/>
      <c r="F9" s="65"/>
      <c r="G9" s="66"/>
      <c r="H9" s="66"/>
      <c r="I9" s="50"/>
      <c r="J9" s="50"/>
      <c r="K9" s="50"/>
      <c r="T9" s="115" t="s">
        <v>92</v>
      </c>
      <c r="U9" s="194" t="s">
        <v>93</v>
      </c>
      <c r="V9" s="194"/>
      <c r="W9" s="194"/>
      <c r="X9" s="194"/>
      <c r="Y9" s="194"/>
      <c r="Z9" s="194"/>
      <c r="AA9" s="194"/>
      <c r="AB9" s="194"/>
      <c r="AC9" s="115"/>
      <c r="AD9" s="199" t="s">
        <v>127</v>
      </c>
      <c r="AE9" s="115"/>
    </row>
    <row r="10" spans="1:32" ht="31.95" customHeight="1" x14ac:dyDescent="0.3">
      <c r="T10" s="115" t="s">
        <v>94</v>
      </c>
      <c r="U10" s="793" t="s">
        <v>301</v>
      </c>
      <c r="V10" s="793"/>
      <c r="W10" s="793"/>
      <c r="X10" s="793"/>
      <c r="Y10" s="793"/>
      <c r="Z10" s="793"/>
      <c r="AA10" s="793"/>
      <c r="AB10" s="793"/>
      <c r="AC10" s="794"/>
      <c r="AD10" s="199" t="s">
        <v>127</v>
      </c>
      <c r="AE10" s="208"/>
    </row>
    <row r="11" spans="1:32" x14ac:dyDescent="0.3">
      <c r="A11" s="72" t="s">
        <v>131</v>
      </c>
      <c r="B11" s="29"/>
      <c r="C11" s="29"/>
      <c r="D11" s="29"/>
      <c r="E11"/>
      <c r="F11"/>
      <c r="G11" s="98"/>
      <c r="H11" s="99"/>
      <c r="I11" s="97"/>
      <c r="J11" s="97"/>
      <c r="K11"/>
      <c r="L11"/>
      <c r="M11"/>
      <c r="N11"/>
      <c r="O11"/>
      <c r="T11" s="115" t="s">
        <v>96</v>
      </c>
      <c r="U11" s="194" t="s">
        <v>97</v>
      </c>
      <c r="V11" s="194"/>
      <c r="W11" s="194"/>
      <c r="X11" s="194"/>
      <c r="Y11" s="194"/>
      <c r="Z11" s="194"/>
      <c r="AA11" s="194"/>
      <c r="AB11" s="194"/>
      <c r="AC11" s="115"/>
      <c r="AD11" s="199" t="s">
        <v>125</v>
      </c>
      <c r="AE11" s="115"/>
    </row>
    <row r="12" spans="1:32" x14ac:dyDescent="0.3">
      <c r="A12" s="28" t="s">
        <v>5</v>
      </c>
      <c r="B12" s="60"/>
      <c r="C12" s="60"/>
      <c r="D12" s="62"/>
      <c r="E12" s="70">
        <f>AVERAGE(I31:I41)</f>
        <v>18.638181818181817</v>
      </c>
      <c r="F12" s="61"/>
      <c r="G12" s="100"/>
      <c r="H12" s="101"/>
      <c r="I12" s="102"/>
      <c r="J12" s="102"/>
      <c r="K12" s="50"/>
      <c r="L12" s="50"/>
      <c r="T12" s="115" t="s">
        <v>98</v>
      </c>
      <c r="U12" s="715" t="s">
        <v>99</v>
      </c>
      <c r="V12" s="715"/>
      <c r="W12" s="715"/>
      <c r="X12" s="715"/>
      <c r="Y12" s="715"/>
      <c r="Z12" s="715"/>
      <c r="AA12" s="715"/>
      <c r="AB12" s="715"/>
      <c r="AC12" s="115"/>
      <c r="AD12" s="199" t="s">
        <v>127</v>
      </c>
      <c r="AE12" s="208"/>
      <c r="AF12" t="s">
        <v>303</v>
      </c>
    </row>
    <row r="13" spans="1:32" x14ac:dyDescent="0.3">
      <c r="A13" s="28" t="s">
        <v>6</v>
      </c>
      <c r="B13" s="60"/>
      <c r="C13" s="60"/>
      <c r="D13" s="62"/>
      <c r="E13" s="70">
        <f>_xlfn.STDEV.S(I31:I41)</f>
        <v>8.4601770881959926</v>
      </c>
      <c r="F13" s="63"/>
      <c r="G13" s="100"/>
      <c r="H13" s="103"/>
      <c r="I13" s="102"/>
      <c r="J13" s="102"/>
      <c r="K13" s="50"/>
      <c r="L13" s="50"/>
      <c r="T13" s="115" t="s">
        <v>100</v>
      </c>
      <c r="U13" s="715" t="s">
        <v>101</v>
      </c>
      <c r="V13" s="715"/>
      <c r="W13" s="715"/>
      <c r="X13" s="715"/>
      <c r="Y13" s="715"/>
      <c r="Z13" s="715"/>
      <c r="AA13" s="715"/>
      <c r="AB13" s="715"/>
      <c r="AC13" s="115"/>
      <c r="AD13" s="116" t="s">
        <v>125</v>
      </c>
      <c r="AE13" s="115"/>
    </row>
    <row r="14" spans="1:32" x14ac:dyDescent="0.3">
      <c r="A14" s="28" t="s">
        <v>29</v>
      </c>
      <c r="B14" s="60"/>
      <c r="C14" s="60"/>
      <c r="D14" s="62"/>
      <c r="E14" s="71">
        <f>(E13/E12)*100</f>
        <v>45.391643727517277</v>
      </c>
      <c r="F14" s="63"/>
      <c r="G14" s="100"/>
      <c r="H14" s="103"/>
      <c r="I14" s="104"/>
      <c r="J14" s="104"/>
      <c r="K14" s="50"/>
      <c r="L14" s="50"/>
      <c r="T14" s="208" t="s">
        <v>159</v>
      </c>
      <c r="U14" s="792" t="s">
        <v>160</v>
      </c>
      <c r="V14" s="792"/>
      <c r="W14" s="792"/>
      <c r="X14" s="792"/>
      <c r="Y14" s="792"/>
      <c r="Z14" s="792"/>
      <c r="AA14" s="792"/>
      <c r="AB14" s="792"/>
      <c r="AC14" s="792"/>
      <c r="AD14" s="199" t="s">
        <v>127</v>
      </c>
      <c r="AE14" s="115"/>
    </row>
    <row r="15" spans="1:32" x14ac:dyDescent="0.3">
      <c r="A15" s="28" t="s">
        <v>7</v>
      </c>
      <c r="B15" s="60"/>
      <c r="C15" s="60"/>
      <c r="D15" s="62"/>
      <c r="E15" s="131" t="str">
        <f>IF(E14&gt;25,"Mediana","Média")</f>
        <v>Mediana</v>
      </c>
      <c r="F15" s="64"/>
      <c r="G15" s="100"/>
      <c r="H15" s="105"/>
      <c r="I15" s="106"/>
      <c r="J15" s="107"/>
      <c r="K15" s="50"/>
      <c r="L15" s="50"/>
      <c r="T15" s="113"/>
      <c r="U15" s="792"/>
      <c r="V15" s="792"/>
      <c r="W15" s="792"/>
      <c r="X15" s="792"/>
      <c r="Y15" s="792"/>
      <c r="Z15" s="792"/>
      <c r="AA15" s="792"/>
      <c r="AB15" s="792"/>
      <c r="AC15" s="792"/>
      <c r="AD15" s="115"/>
      <c r="AE15" s="115"/>
    </row>
    <row r="16" spans="1:32" x14ac:dyDescent="0.3">
      <c r="A16" s="28" t="s">
        <v>8</v>
      </c>
      <c r="B16" s="60"/>
      <c r="C16" s="60"/>
      <c r="D16" s="62"/>
      <c r="E16" s="70">
        <f>MIN(I31:I41)</f>
        <v>8.9</v>
      </c>
      <c r="F16" s="61"/>
      <c r="G16" s="100"/>
      <c r="H16" s="101"/>
      <c r="I16" s="102"/>
      <c r="J16" s="102"/>
      <c r="K16" s="50"/>
      <c r="L16" s="50"/>
      <c r="T16" s="113" t="s">
        <v>102</v>
      </c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</row>
    <row r="17" spans="1:31" x14ac:dyDescent="0.3">
      <c r="A17" s="28"/>
      <c r="B17" s="60"/>
      <c r="C17" s="60"/>
      <c r="D17" s="62"/>
      <c r="E17" s="65"/>
      <c r="F17" s="65"/>
      <c r="G17" s="66"/>
      <c r="H17" s="66"/>
      <c r="I17" s="50"/>
      <c r="J17" s="50"/>
      <c r="K17" s="50"/>
      <c r="L17" s="50"/>
      <c r="T17" s="252" t="s">
        <v>104</v>
      </c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</row>
    <row r="18" spans="1:31" ht="36" customHeight="1" thickBot="1" x14ac:dyDescent="0.35">
      <c r="T18" s="252" t="s">
        <v>105</v>
      </c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</row>
    <row r="19" spans="1:31" ht="15" customHeight="1" x14ac:dyDescent="0.3">
      <c r="A19" s="708" t="s">
        <v>10</v>
      </c>
      <c r="B19" s="710" t="s">
        <v>11</v>
      </c>
      <c r="C19" s="712" t="s">
        <v>12</v>
      </c>
      <c r="D19" s="712" t="s">
        <v>13</v>
      </c>
      <c r="E19" s="712" t="s">
        <v>30</v>
      </c>
      <c r="F19" s="710" t="s">
        <v>31</v>
      </c>
      <c r="G19" s="710" t="s">
        <v>16</v>
      </c>
      <c r="H19" s="55" t="s">
        <v>17</v>
      </c>
      <c r="I19" s="728" t="s">
        <v>18</v>
      </c>
      <c r="J19" s="730" t="s">
        <v>66</v>
      </c>
      <c r="K19" s="702" t="s">
        <v>32</v>
      </c>
      <c r="L19" s="704" t="s">
        <v>33</v>
      </c>
      <c r="M19" s="698" t="s">
        <v>19</v>
      </c>
      <c r="N19" s="719" t="s">
        <v>119</v>
      </c>
      <c r="O19" s="720"/>
      <c r="P19" s="723" t="s">
        <v>20</v>
      </c>
      <c r="Q19" s="724"/>
      <c r="T19" s="115" t="s">
        <v>106</v>
      </c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</row>
    <row r="20" spans="1:31" s="6" customFormat="1" ht="29.4" customHeight="1" thickBot="1" x14ac:dyDescent="0.35">
      <c r="A20" s="709"/>
      <c r="B20" s="711"/>
      <c r="C20" s="713"/>
      <c r="D20" s="713"/>
      <c r="E20" s="713"/>
      <c r="F20" s="711"/>
      <c r="G20" s="711"/>
      <c r="H20" s="110"/>
      <c r="I20" s="729"/>
      <c r="J20" s="731"/>
      <c r="K20" s="703"/>
      <c r="L20" s="705"/>
      <c r="M20" s="699"/>
      <c r="N20" s="721"/>
      <c r="O20" s="722"/>
      <c r="P20" s="73" t="s">
        <v>21</v>
      </c>
      <c r="Q20" s="74" t="s">
        <v>22</v>
      </c>
      <c r="T20" s="793" t="s">
        <v>161</v>
      </c>
      <c r="U20" s="793"/>
      <c r="V20" s="793"/>
      <c r="W20" s="793"/>
      <c r="X20" s="793"/>
      <c r="Y20" s="793"/>
      <c r="Z20" s="793"/>
      <c r="AA20" s="793"/>
      <c r="AB20" s="793"/>
      <c r="AC20" s="793"/>
      <c r="AD20" s="793"/>
      <c r="AE20" s="793"/>
    </row>
    <row r="21" spans="1:31" ht="37.799999999999997" customHeight="1" x14ac:dyDescent="0.3">
      <c r="A21" s="586">
        <v>27</v>
      </c>
      <c r="B21" s="725" t="s">
        <v>180</v>
      </c>
      <c r="C21" s="592" t="s">
        <v>12</v>
      </c>
      <c r="D21" s="592">
        <f>200+100+200</f>
        <v>500</v>
      </c>
      <c r="E21" s="33" t="s">
        <v>254</v>
      </c>
      <c r="F21" s="33" t="s">
        <v>26</v>
      </c>
      <c r="G21" s="34" t="s">
        <v>252</v>
      </c>
      <c r="H21" s="38" t="s">
        <v>65</v>
      </c>
      <c r="I21" s="35">
        <v>2.9</v>
      </c>
      <c r="J21" s="596">
        <f>AVERAGE(I21:I30)</f>
        <v>5.7460000000000004</v>
      </c>
      <c r="K21" s="798">
        <f>(J21*30%)+J21</f>
        <v>7.4698000000000002</v>
      </c>
      <c r="L21" s="801">
        <f>70%*J21</f>
        <v>4.0221999999999998</v>
      </c>
      <c r="M21" s="218" t="str">
        <f t="shared" ref="M21:M30" si="0">IF(I21&gt;K$21,"EXCESSIVAMENTE ELEVADO",IF(I21&lt;L$21,"INEXEQUÍVEL","VÁLIDO"))</f>
        <v>INEXEQUÍVEL</v>
      </c>
      <c r="N21" s="201">
        <f>I21/$J$21</f>
        <v>0.50469892098851366</v>
      </c>
      <c r="O21" s="360" t="s">
        <v>456</v>
      </c>
      <c r="P21" s="795">
        <f>TRUNC(MEDIAN(I24:I28),2)</f>
        <v>5.5</v>
      </c>
      <c r="Q21" s="609">
        <f>D21*P21</f>
        <v>2750</v>
      </c>
      <c r="T21" s="793"/>
      <c r="U21" s="793"/>
      <c r="V21" s="793"/>
      <c r="W21" s="793"/>
      <c r="X21" s="793"/>
      <c r="Y21" s="793"/>
      <c r="Z21" s="793"/>
      <c r="AA21" s="793"/>
      <c r="AB21" s="793"/>
      <c r="AC21" s="793"/>
      <c r="AD21" s="793"/>
      <c r="AE21" s="793"/>
    </row>
    <row r="22" spans="1:31" ht="71.400000000000006" customHeight="1" x14ac:dyDescent="0.3">
      <c r="A22" s="587"/>
      <c r="B22" s="727"/>
      <c r="C22" s="584"/>
      <c r="D22" s="584"/>
      <c r="E22" s="36" t="s">
        <v>278</v>
      </c>
      <c r="F22" s="38" t="s">
        <v>24</v>
      </c>
      <c r="G22" s="41" t="s">
        <v>269</v>
      </c>
      <c r="H22" s="38" t="s">
        <v>68</v>
      </c>
      <c r="I22" s="35">
        <v>3.2</v>
      </c>
      <c r="J22" s="597"/>
      <c r="K22" s="799"/>
      <c r="L22" s="802"/>
      <c r="M22" s="185" t="str">
        <f t="shared" si="0"/>
        <v>INEXEQUÍVEL</v>
      </c>
      <c r="N22" s="202">
        <f>I22/$J$21</f>
        <v>0.55690915419422204</v>
      </c>
      <c r="O22" s="212" t="s">
        <v>456</v>
      </c>
      <c r="P22" s="796"/>
      <c r="Q22" s="610"/>
    </row>
    <row r="23" spans="1:31" ht="57" customHeight="1" x14ac:dyDescent="0.3">
      <c r="A23" s="587"/>
      <c r="B23" s="727"/>
      <c r="C23" s="584"/>
      <c r="D23" s="584"/>
      <c r="E23" s="36" t="s">
        <v>298</v>
      </c>
      <c r="F23" s="38" t="s">
        <v>24</v>
      </c>
      <c r="G23" s="41" t="s">
        <v>299</v>
      </c>
      <c r="H23" s="38" t="s">
        <v>65</v>
      </c>
      <c r="I23" s="35">
        <v>3.9</v>
      </c>
      <c r="J23" s="597"/>
      <c r="K23" s="799"/>
      <c r="L23" s="802"/>
      <c r="M23" s="185" t="str">
        <f t="shared" si="0"/>
        <v>INEXEQUÍVEL</v>
      </c>
      <c r="N23" s="202">
        <f>I23/$J$21</f>
        <v>0.67873303167420806</v>
      </c>
      <c r="O23" s="212" t="s">
        <v>456</v>
      </c>
      <c r="P23" s="796"/>
      <c r="Q23" s="610"/>
      <c r="Y23" s="25"/>
    </row>
    <row r="24" spans="1:31" ht="63.6" customHeight="1" x14ac:dyDescent="0.3">
      <c r="A24" s="587"/>
      <c r="B24" s="727"/>
      <c r="C24" s="584"/>
      <c r="D24" s="584"/>
      <c r="E24" s="36" t="s">
        <v>294</v>
      </c>
      <c r="F24" s="38" t="s">
        <v>24</v>
      </c>
      <c r="G24" s="41" t="s">
        <v>295</v>
      </c>
      <c r="H24" s="38" t="s">
        <v>68</v>
      </c>
      <c r="I24" s="35">
        <v>4.21</v>
      </c>
      <c r="J24" s="597"/>
      <c r="K24" s="799"/>
      <c r="L24" s="802"/>
      <c r="M24" s="185" t="str">
        <f t="shared" si="0"/>
        <v>VÁLIDO</v>
      </c>
      <c r="N24" s="202"/>
      <c r="O24" s="212"/>
      <c r="P24" s="797"/>
      <c r="Q24" s="611"/>
      <c r="Y24" s="25"/>
    </row>
    <row r="25" spans="1:31" ht="63.6" customHeight="1" x14ac:dyDescent="0.3">
      <c r="A25" s="587"/>
      <c r="B25" s="727"/>
      <c r="C25" s="584"/>
      <c r="D25" s="584"/>
      <c r="E25" s="33" t="s">
        <v>296</v>
      </c>
      <c r="F25" s="38" t="s">
        <v>24</v>
      </c>
      <c r="G25" s="41" t="s">
        <v>297</v>
      </c>
      <c r="H25" s="38" t="s">
        <v>68</v>
      </c>
      <c r="I25" s="35">
        <v>4.75</v>
      </c>
      <c r="J25" s="597"/>
      <c r="K25" s="799"/>
      <c r="L25" s="802"/>
      <c r="M25" s="185" t="str">
        <f t="shared" si="0"/>
        <v>VÁLIDO</v>
      </c>
      <c r="N25" s="210"/>
      <c r="O25" s="221"/>
      <c r="P25" s="797"/>
      <c r="Q25" s="611"/>
      <c r="Y25" s="25"/>
    </row>
    <row r="26" spans="1:31" ht="48" customHeight="1" x14ac:dyDescent="0.3">
      <c r="A26" s="587"/>
      <c r="B26" s="727"/>
      <c r="C26" s="584"/>
      <c r="D26" s="584"/>
      <c r="E26" s="36" t="s">
        <v>292</v>
      </c>
      <c r="F26" s="38" t="s">
        <v>24</v>
      </c>
      <c r="G26" s="41" t="s">
        <v>286</v>
      </c>
      <c r="H26" s="38" t="s">
        <v>65</v>
      </c>
      <c r="I26" s="35">
        <v>5.5</v>
      </c>
      <c r="J26" s="597"/>
      <c r="K26" s="799"/>
      <c r="L26" s="802"/>
      <c r="M26" s="185" t="str">
        <f t="shared" si="0"/>
        <v>VÁLIDO</v>
      </c>
      <c r="N26" s="148"/>
      <c r="O26" s="217"/>
      <c r="P26" s="797"/>
      <c r="Q26" s="611"/>
      <c r="Y26" s="25"/>
    </row>
    <row r="27" spans="1:31" ht="42" customHeight="1" x14ac:dyDescent="0.3">
      <c r="A27" s="587"/>
      <c r="B27" s="727"/>
      <c r="C27" s="584"/>
      <c r="D27" s="584"/>
      <c r="E27" s="36" t="s">
        <v>270</v>
      </c>
      <c r="F27" s="45" t="s">
        <v>24</v>
      </c>
      <c r="G27" s="41" t="s">
        <v>272</v>
      </c>
      <c r="H27" s="33" t="s">
        <v>68</v>
      </c>
      <c r="I27" s="35">
        <v>5.9</v>
      </c>
      <c r="J27" s="597"/>
      <c r="K27" s="799"/>
      <c r="L27" s="802"/>
      <c r="M27" s="185" t="str">
        <f t="shared" si="0"/>
        <v>VÁLIDO</v>
      </c>
      <c r="N27" s="148"/>
      <c r="O27" s="217"/>
      <c r="P27" s="797"/>
      <c r="Q27" s="611"/>
      <c r="Y27" s="25"/>
    </row>
    <row r="28" spans="1:31" ht="44.4" customHeight="1" x14ac:dyDescent="0.3">
      <c r="A28" s="587"/>
      <c r="B28" s="727"/>
      <c r="C28" s="584"/>
      <c r="D28" s="584"/>
      <c r="E28" s="36" t="s">
        <v>293</v>
      </c>
      <c r="F28" s="45" t="s">
        <v>24</v>
      </c>
      <c r="G28" s="41" t="s">
        <v>291</v>
      </c>
      <c r="H28" s="38" t="s">
        <v>65</v>
      </c>
      <c r="I28" s="35">
        <v>6</v>
      </c>
      <c r="J28" s="597"/>
      <c r="K28" s="799"/>
      <c r="L28" s="802"/>
      <c r="M28" s="250" t="str">
        <f t="shared" si="0"/>
        <v>VÁLIDO</v>
      </c>
      <c r="N28" s="148"/>
      <c r="O28" s="217"/>
      <c r="P28" s="797"/>
      <c r="Q28" s="611"/>
      <c r="Y28" s="25"/>
    </row>
    <row r="29" spans="1:31" ht="41.4" customHeight="1" x14ac:dyDescent="0.3">
      <c r="A29" s="587"/>
      <c r="B29" s="727"/>
      <c r="C29" s="584"/>
      <c r="D29" s="584"/>
      <c r="E29" s="40" t="s">
        <v>227</v>
      </c>
      <c r="F29" s="45" t="s">
        <v>26</v>
      </c>
      <c r="G29" s="41" t="s">
        <v>228</v>
      </c>
      <c r="H29" s="38" t="s">
        <v>65</v>
      </c>
      <c r="I29" s="75">
        <v>9</v>
      </c>
      <c r="J29" s="597"/>
      <c r="K29" s="799"/>
      <c r="L29" s="802"/>
      <c r="M29" s="250" t="str">
        <f t="shared" si="0"/>
        <v>EXCESSIVAMENTE ELEVADO</v>
      </c>
      <c r="N29" s="210">
        <f>(I29-J21)/J21</f>
        <v>0.56630699617124947</v>
      </c>
      <c r="O29" s="213" t="s">
        <v>120</v>
      </c>
      <c r="P29" s="797"/>
      <c r="Q29" s="611"/>
      <c r="Y29" s="25"/>
    </row>
    <row r="30" spans="1:31" ht="107.4" customHeight="1" thickBot="1" x14ac:dyDescent="0.35">
      <c r="A30" s="587"/>
      <c r="B30" s="727"/>
      <c r="C30" s="584"/>
      <c r="D30" s="584"/>
      <c r="E30" s="45" t="s">
        <v>265</v>
      </c>
      <c r="F30" s="45" t="s">
        <v>27</v>
      </c>
      <c r="G30" s="41" t="s">
        <v>266</v>
      </c>
      <c r="H30" s="200" t="s">
        <v>123</v>
      </c>
      <c r="I30" s="75">
        <f>11.4+0.7</f>
        <v>12.1</v>
      </c>
      <c r="J30" s="597"/>
      <c r="K30" s="800"/>
      <c r="L30" s="803"/>
      <c r="M30" s="362" t="str">
        <f t="shared" si="0"/>
        <v>EXCESSIVAMENTE ELEVADO</v>
      </c>
      <c r="N30" s="214">
        <f>(I30-J21)/J21</f>
        <v>1.1058127392969019</v>
      </c>
      <c r="O30" s="220" t="s">
        <v>120</v>
      </c>
      <c r="P30" s="797"/>
      <c r="Q30" s="611"/>
      <c r="Y30" s="25"/>
    </row>
    <row r="31" spans="1:31" ht="41.4" x14ac:dyDescent="0.3">
      <c r="A31" s="586">
        <v>28</v>
      </c>
      <c r="B31" s="780" t="s">
        <v>181</v>
      </c>
      <c r="C31" s="808" t="s">
        <v>12</v>
      </c>
      <c r="D31" s="592">
        <f>200+100+200</f>
        <v>500</v>
      </c>
      <c r="E31" s="310" t="s">
        <v>227</v>
      </c>
      <c r="F31" s="197" t="s">
        <v>26</v>
      </c>
      <c r="G31" s="198" t="s">
        <v>228</v>
      </c>
      <c r="H31" s="353" t="s">
        <v>65</v>
      </c>
      <c r="I31" s="285">
        <v>8.9</v>
      </c>
      <c r="J31" s="596">
        <f>AVERAGE(I31:I41)</f>
        <v>18.638181818181817</v>
      </c>
      <c r="K31" s="236">
        <f>(J31*30%)+J31</f>
        <v>24.229636363636363</v>
      </c>
      <c r="L31" s="355">
        <f>70%*J31</f>
        <v>13.046727272727271</v>
      </c>
      <c r="M31" s="204" t="str">
        <f t="shared" ref="M31:M41" si="1">IF(I31&gt;K$31,"EXCESSIVAMENTE ELEVADO",IF(I31&lt;L$31,"INEXEQUÍVEL","VÁLIDO"))</f>
        <v>INEXEQUÍVEL</v>
      </c>
      <c r="N31" s="201">
        <f>I31/$J$31</f>
        <v>0.47751438884011321</v>
      </c>
      <c r="O31" s="212" t="s">
        <v>456</v>
      </c>
      <c r="P31" s="599">
        <f>TRUNC(MEDIAN(I34:I38),2)</f>
        <v>16</v>
      </c>
      <c r="Q31" s="602">
        <f>D31*P31</f>
        <v>8000</v>
      </c>
      <c r="Y31" s="25"/>
    </row>
    <row r="32" spans="1:31" ht="62.4" customHeight="1" x14ac:dyDescent="0.3">
      <c r="A32" s="587"/>
      <c r="B32" s="727"/>
      <c r="C32" s="809"/>
      <c r="D32" s="584"/>
      <c r="E32" s="36" t="s">
        <v>283</v>
      </c>
      <c r="F32" s="45" t="s">
        <v>24</v>
      </c>
      <c r="G32" s="41" t="s">
        <v>284</v>
      </c>
      <c r="H32" s="38" t="s">
        <v>65</v>
      </c>
      <c r="I32" s="581">
        <f>2.83*4</f>
        <v>11.32</v>
      </c>
      <c r="J32" s="597"/>
      <c r="K32" s="93"/>
      <c r="L32" s="356"/>
      <c r="M32" s="185" t="str">
        <f t="shared" si="1"/>
        <v>INEXEQUÍVEL</v>
      </c>
      <c r="N32" s="202">
        <f>I32/$J$31</f>
        <v>0.60735537996293054</v>
      </c>
      <c r="O32" s="212" t="s">
        <v>300</v>
      </c>
      <c r="P32" s="600"/>
      <c r="Q32" s="603"/>
      <c r="Y32" s="25"/>
    </row>
    <row r="33" spans="1:25" ht="43.2" customHeight="1" x14ac:dyDescent="0.3">
      <c r="A33" s="587"/>
      <c r="B33" s="727"/>
      <c r="C33" s="809"/>
      <c r="D33" s="584"/>
      <c r="E33" s="33" t="s">
        <v>254</v>
      </c>
      <c r="F33" s="33" t="s">
        <v>26</v>
      </c>
      <c r="G33" s="34" t="s">
        <v>252</v>
      </c>
      <c r="H33" s="38" t="s">
        <v>65</v>
      </c>
      <c r="I33" s="581">
        <v>11.6</v>
      </c>
      <c r="J33" s="597"/>
      <c r="K33" s="195"/>
      <c r="L33" s="357"/>
      <c r="M33" s="185" t="str">
        <f t="shared" si="1"/>
        <v>INEXEQUÍVEL</v>
      </c>
      <c r="N33" s="202">
        <f>I33/$J$31</f>
        <v>0.62237830455565313</v>
      </c>
      <c r="O33" s="212" t="s">
        <v>300</v>
      </c>
      <c r="P33" s="600"/>
      <c r="Q33" s="603"/>
      <c r="R33" t="s">
        <v>268</v>
      </c>
      <c r="Y33" s="25"/>
    </row>
    <row r="34" spans="1:25" ht="47.25" customHeight="1" x14ac:dyDescent="0.3">
      <c r="A34" s="587"/>
      <c r="B34" s="727"/>
      <c r="C34" s="809"/>
      <c r="D34" s="584"/>
      <c r="E34" s="36" t="s">
        <v>281</v>
      </c>
      <c r="F34" s="45" t="s">
        <v>24</v>
      </c>
      <c r="G34" s="41" t="s">
        <v>282</v>
      </c>
      <c r="H34" s="38" t="s">
        <v>65</v>
      </c>
      <c r="I34" s="317">
        <v>14.36</v>
      </c>
      <c r="J34" s="597"/>
      <c r="K34" s="195"/>
      <c r="L34" s="358"/>
      <c r="M34" s="185" t="str">
        <f t="shared" si="1"/>
        <v>VÁLIDO</v>
      </c>
      <c r="N34" s="192"/>
      <c r="O34" s="219"/>
      <c r="P34" s="600"/>
      <c r="Q34" s="603"/>
      <c r="Y34" s="25"/>
    </row>
    <row r="35" spans="1:25" ht="75.599999999999994" customHeight="1" x14ac:dyDescent="0.3">
      <c r="A35" s="587"/>
      <c r="B35" s="727"/>
      <c r="C35" s="809"/>
      <c r="D35" s="584"/>
      <c r="E35" s="36" t="s">
        <v>287</v>
      </c>
      <c r="F35" s="45" t="s">
        <v>24</v>
      </c>
      <c r="G35" s="41" t="s">
        <v>288</v>
      </c>
      <c r="H35" s="38" t="s">
        <v>65</v>
      </c>
      <c r="I35" s="317">
        <f>3.85*4</f>
        <v>15.4</v>
      </c>
      <c r="J35" s="597"/>
      <c r="K35" s="195"/>
      <c r="L35" s="357"/>
      <c r="M35" s="185" t="str">
        <f t="shared" si="1"/>
        <v>VÁLIDO</v>
      </c>
      <c r="N35" s="151"/>
      <c r="O35" s="180"/>
      <c r="P35" s="600"/>
      <c r="Q35" s="603"/>
      <c r="Y35" s="25"/>
    </row>
    <row r="36" spans="1:25" ht="47.25" customHeight="1" x14ac:dyDescent="0.3">
      <c r="A36" s="587"/>
      <c r="B36" s="727"/>
      <c r="C36" s="809"/>
      <c r="D36" s="584"/>
      <c r="E36" s="36" t="s">
        <v>285</v>
      </c>
      <c r="F36" s="45" t="s">
        <v>24</v>
      </c>
      <c r="G36" s="41" t="s">
        <v>286</v>
      </c>
      <c r="H36" s="38" t="s">
        <v>65</v>
      </c>
      <c r="I36" s="317">
        <f>4*4</f>
        <v>16</v>
      </c>
      <c r="J36" s="597"/>
      <c r="K36" s="195"/>
      <c r="L36" s="357"/>
      <c r="M36" s="185" t="str">
        <f t="shared" si="1"/>
        <v>VÁLIDO</v>
      </c>
      <c r="N36" s="192"/>
      <c r="O36" s="219"/>
      <c r="P36" s="600"/>
      <c r="Q36" s="603"/>
      <c r="Y36" s="25"/>
    </row>
    <row r="37" spans="1:25" ht="54.6" customHeight="1" x14ac:dyDescent="0.3">
      <c r="A37" s="587"/>
      <c r="B37" s="727"/>
      <c r="C37" s="809"/>
      <c r="D37" s="584"/>
      <c r="E37" s="36" t="s">
        <v>289</v>
      </c>
      <c r="F37" s="45" t="s">
        <v>24</v>
      </c>
      <c r="G37" s="41" t="s">
        <v>290</v>
      </c>
      <c r="H37" s="38" t="s">
        <v>68</v>
      </c>
      <c r="I37" s="317">
        <f>4.04*4</f>
        <v>16.16</v>
      </c>
      <c r="J37" s="597"/>
      <c r="K37" s="195"/>
      <c r="L37" s="357"/>
      <c r="M37" s="185" t="str">
        <f t="shared" si="1"/>
        <v>VÁLIDO</v>
      </c>
      <c r="N37" s="151"/>
      <c r="O37" s="180"/>
      <c r="P37" s="600"/>
      <c r="Q37" s="603"/>
      <c r="Y37" s="25"/>
    </row>
    <row r="38" spans="1:25" ht="47.25" customHeight="1" x14ac:dyDescent="0.3">
      <c r="A38" s="587"/>
      <c r="B38" s="727"/>
      <c r="C38" s="809"/>
      <c r="D38" s="584"/>
      <c r="E38" s="36" t="s">
        <v>279</v>
      </c>
      <c r="F38" s="45" t="s">
        <v>24</v>
      </c>
      <c r="G38" s="41" t="s">
        <v>280</v>
      </c>
      <c r="H38" s="38" t="s">
        <v>65</v>
      </c>
      <c r="I38" s="317">
        <f>4.57*4</f>
        <v>18.28</v>
      </c>
      <c r="J38" s="597"/>
      <c r="K38" s="195"/>
      <c r="L38" s="357"/>
      <c r="M38" s="185" t="str">
        <f t="shared" si="1"/>
        <v>VÁLIDO</v>
      </c>
      <c r="N38" s="223"/>
      <c r="O38" s="219"/>
      <c r="P38" s="600"/>
      <c r="Q38" s="603"/>
      <c r="Y38" s="25"/>
    </row>
    <row r="39" spans="1:25" ht="85.95" customHeight="1" x14ac:dyDescent="0.3">
      <c r="A39" s="587"/>
      <c r="B39" s="727"/>
      <c r="C39" s="809"/>
      <c r="D39" s="584"/>
      <c r="E39" s="40" t="s">
        <v>267</v>
      </c>
      <c r="F39" s="45" t="s">
        <v>27</v>
      </c>
      <c r="G39" s="41" t="s">
        <v>233</v>
      </c>
      <c r="H39" s="200" t="s">
        <v>123</v>
      </c>
      <c r="I39" s="317">
        <f>27.1+0.7</f>
        <v>27.8</v>
      </c>
      <c r="J39" s="597"/>
      <c r="K39" s="195"/>
      <c r="L39" s="357"/>
      <c r="M39" s="250" t="str">
        <f t="shared" si="1"/>
        <v>EXCESSIVAMENTE ELEVADO</v>
      </c>
      <c r="N39" s="202">
        <f>(I39-J31)/J31</f>
        <v>0.49156179884889295</v>
      </c>
      <c r="O39" s="361" t="s">
        <v>120</v>
      </c>
      <c r="P39" s="600"/>
      <c r="Q39" s="603"/>
      <c r="Y39" s="25"/>
    </row>
    <row r="40" spans="1:25" ht="39" customHeight="1" x14ac:dyDescent="0.3">
      <c r="A40" s="587"/>
      <c r="B40" s="727"/>
      <c r="C40" s="809"/>
      <c r="D40" s="584"/>
      <c r="E40" s="36" t="s">
        <v>270</v>
      </c>
      <c r="F40" s="45" t="s">
        <v>24</v>
      </c>
      <c r="G40" s="41" t="s">
        <v>271</v>
      </c>
      <c r="H40" s="38" t="s">
        <v>68</v>
      </c>
      <c r="I40" s="317">
        <f>7.9*4</f>
        <v>31.6</v>
      </c>
      <c r="J40" s="597"/>
      <c r="K40" s="195"/>
      <c r="L40" s="357"/>
      <c r="M40" s="250" t="str">
        <f t="shared" si="1"/>
        <v>EXCESSIVAMENTE ELEVADO</v>
      </c>
      <c r="N40" s="223">
        <f>(I40-J31)/J31</f>
        <v>0.69544434689298629</v>
      </c>
      <c r="O40" s="361" t="s">
        <v>120</v>
      </c>
      <c r="P40" s="600"/>
      <c r="Q40" s="603"/>
      <c r="Y40" s="25"/>
    </row>
    <row r="41" spans="1:25" ht="101.4" customHeight="1" thickBot="1" x14ac:dyDescent="0.35">
      <c r="A41" s="588"/>
      <c r="B41" s="807"/>
      <c r="C41" s="810"/>
      <c r="D41" s="593"/>
      <c r="E41" s="132" t="s">
        <v>265</v>
      </c>
      <c r="F41" s="132" t="s">
        <v>27</v>
      </c>
      <c r="G41" s="53" t="s">
        <v>266</v>
      </c>
      <c r="H41" s="354" t="s">
        <v>123</v>
      </c>
      <c r="I41" s="315">
        <f>32.9+0.7</f>
        <v>33.6</v>
      </c>
      <c r="J41" s="598"/>
      <c r="K41" s="58"/>
      <c r="L41" s="359"/>
      <c r="M41" s="251" t="str">
        <f t="shared" si="1"/>
        <v>EXCESSIVAMENTE ELEVADO</v>
      </c>
      <c r="N41" s="214">
        <f>(I41-J31)/J31</f>
        <v>0.80275095112671957</v>
      </c>
      <c r="O41" s="220" t="s">
        <v>120</v>
      </c>
      <c r="P41" s="601"/>
      <c r="Q41" s="604"/>
      <c r="Y41" s="25"/>
    </row>
    <row r="42" spans="1:25" ht="22.95" customHeight="1" thickBot="1" x14ac:dyDescent="0.35">
      <c r="A42" s="804"/>
      <c r="B42" s="805"/>
      <c r="C42" s="805"/>
      <c r="D42" s="805"/>
      <c r="E42" s="805"/>
      <c r="F42" s="805"/>
      <c r="G42" s="805"/>
      <c r="H42" s="805"/>
      <c r="I42" s="805"/>
      <c r="J42" s="805"/>
      <c r="K42" s="805"/>
      <c r="L42" s="805"/>
      <c r="M42" s="805"/>
      <c r="N42" s="805"/>
      <c r="O42" s="805"/>
      <c r="P42" s="806"/>
      <c r="Q42" s="44">
        <f>SUM(Q21:Q41)</f>
        <v>10750</v>
      </c>
    </row>
    <row r="45" spans="1:25" ht="39" customHeight="1" x14ac:dyDescent="0.3">
      <c r="A45" s="789" t="s">
        <v>302</v>
      </c>
      <c r="B45" s="790"/>
      <c r="C45" s="790"/>
      <c r="D45" s="790"/>
      <c r="E45" s="790"/>
      <c r="F45" s="790"/>
      <c r="G45" s="790"/>
      <c r="H45" s="790"/>
      <c r="I45" s="790"/>
      <c r="J45" s="790"/>
      <c r="K45" s="790"/>
      <c r="L45" s="790"/>
      <c r="M45" s="790"/>
      <c r="N45" s="790"/>
      <c r="O45" s="790"/>
      <c r="P45" s="790"/>
      <c r="Q45" s="790"/>
    </row>
    <row r="46" spans="1:25" s="13" customFormat="1" x14ac:dyDescent="0.3">
      <c r="B46" s="80"/>
      <c r="C46" s="62"/>
      <c r="D46" s="62"/>
      <c r="E46" s="82"/>
      <c r="F46" s="82"/>
      <c r="G46" s="81"/>
      <c r="H46" s="81"/>
      <c r="I46" s="62"/>
      <c r="J46" s="62"/>
      <c r="P46"/>
      <c r="Q46"/>
      <c r="R46"/>
      <c r="S46"/>
      <c r="T46"/>
      <c r="U46"/>
      <c r="V46"/>
      <c r="W46"/>
      <c r="X46"/>
      <c r="Y46"/>
    </row>
    <row r="47" spans="1:25" s="13" customFormat="1" x14ac:dyDescent="0.3">
      <c r="A47" s="62"/>
      <c r="B47" s="80"/>
      <c r="C47" s="62"/>
      <c r="D47" s="62"/>
      <c r="E47" s="82"/>
      <c r="F47" s="82"/>
      <c r="G47" s="81"/>
      <c r="H47" s="81"/>
      <c r="I47" s="62"/>
      <c r="J47" s="62"/>
      <c r="P47"/>
      <c r="Q47"/>
      <c r="R47"/>
      <c r="S47"/>
      <c r="T47"/>
      <c r="U47"/>
      <c r="V47"/>
      <c r="W47"/>
      <c r="X47"/>
      <c r="Y47"/>
    </row>
    <row r="48" spans="1:25" s="13" customFormat="1" x14ac:dyDescent="0.3">
      <c r="A48" s="62"/>
      <c r="B48" s="80"/>
      <c r="C48" s="62"/>
      <c r="D48" s="62"/>
      <c r="E48" s="82"/>
      <c r="F48" s="82"/>
      <c r="G48" s="81"/>
      <c r="H48" s="81"/>
      <c r="I48" s="62"/>
      <c r="J48" s="62"/>
      <c r="P48"/>
      <c r="Q48"/>
      <c r="R48"/>
      <c r="S48"/>
      <c r="T48"/>
      <c r="U48"/>
      <c r="V48"/>
      <c r="W48"/>
      <c r="X48"/>
      <c r="Y48"/>
    </row>
    <row r="49" spans="1:25" s="13" customFormat="1" x14ac:dyDescent="0.3">
      <c r="A49" s="62"/>
      <c r="B49" s="80"/>
      <c r="C49" s="62"/>
      <c r="D49" s="62"/>
      <c r="E49" s="82"/>
      <c r="F49" s="82"/>
      <c r="G49" s="81"/>
      <c r="H49" s="81"/>
      <c r="I49" s="62"/>
      <c r="J49" s="62"/>
      <c r="P49"/>
      <c r="Q49"/>
      <c r="R49"/>
      <c r="S49"/>
      <c r="T49"/>
      <c r="U49"/>
      <c r="V49"/>
      <c r="W49"/>
      <c r="X49"/>
      <c r="Y49"/>
    </row>
  </sheetData>
  <mergeCells count="39">
    <mergeCell ref="J31:J41"/>
    <mergeCell ref="A42:P42"/>
    <mergeCell ref="A31:A41"/>
    <mergeCell ref="B31:B41"/>
    <mergeCell ref="C31:C41"/>
    <mergeCell ref="D31:D41"/>
    <mergeCell ref="P31:P41"/>
    <mergeCell ref="L21:L30"/>
    <mergeCell ref="M19:M20"/>
    <mergeCell ref="E19:E20"/>
    <mergeCell ref="N19:O20"/>
    <mergeCell ref="J19:J20"/>
    <mergeCell ref="J21:J30"/>
    <mergeCell ref="F19:F20"/>
    <mergeCell ref="G19:G20"/>
    <mergeCell ref="I19:I20"/>
    <mergeCell ref="K19:K20"/>
    <mergeCell ref="L19:L20"/>
    <mergeCell ref="A1:D1"/>
    <mergeCell ref="A19:A20"/>
    <mergeCell ref="B19:B20"/>
    <mergeCell ref="C19:C20"/>
    <mergeCell ref="D19:D20"/>
    <mergeCell ref="A45:Q45"/>
    <mergeCell ref="Q31:Q41"/>
    <mergeCell ref="T3:AB3"/>
    <mergeCell ref="U12:AB12"/>
    <mergeCell ref="U13:AB13"/>
    <mergeCell ref="P19:Q19"/>
    <mergeCell ref="Q21:Q30"/>
    <mergeCell ref="U14:AC15"/>
    <mergeCell ref="T20:AE21"/>
    <mergeCell ref="U10:AC10"/>
    <mergeCell ref="A21:A30"/>
    <mergeCell ref="B21:B30"/>
    <mergeCell ref="C21:C30"/>
    <mergeCell ref="D21:D30"/>
    <mergeCell ref="P21:P30"/>
    <mergeCell ref="K21:K30"/>
  </mergeCells>
  <conditionalFormatting sqref="M26:O28 N21:N25 M19:M25 M29:M30 M34:O37 M31:N33 M38:M41 O38">
    <cfRule type="containsText" dxfId="514" priority="56" operator="containsText" text="Excessivamente elevado">
      <formula>NOT(ISERROR(SEARCH("Excessivamente elevado",M19)))</formula>
    </cfRule>
  </conditionalFormatting>
  <conditionalFormatting sqref="M26:O28 M21:N25 M29:M30 M34:O37 M31:N33 M38:M41 O38">
    <cfRule type="cellIs" dxfId="513" priority="54" operator="lessThan">
      <formula>"K$25"</formula>
    </cfRule>
    <cfRule type="cellIs" dxfId="512" priority="55" operator="greaterThan">
      <formula>"J$25"</formula>
    </cfRule>
  </conditionalFormatting>
  <conditionalFormatting sqref="M26:O28 M21:N25 M29:M30 M34:O37 M31:N33 M38:M41 O38">
    <cfRule type="cellIs" dxfId="511" priority="52" operator="lessThan">
      <formula>"K$25"</formula>
    </cfRule>
    <cfRule type="cellIs" dxfId="510" priority="53" operator="greaterThan">
      <formula>"J&amp;25"</formula>
    </cfRule>
  </conditionalFormatting>
  <conditionalFormatting sqref="N19">
    <cfRule type="containsText" dxfId="509" priority="50" operator="containsText" text="Excessivamente elevado">
      <formula>NOT(ISERROR(SEARCH("Excessivamente elevado",N19)))</formula>
    </cfRule>
  </conditionalFormatting>
  <conditionalFormatting sqref="N29:N30">
    <cfRule type="containsText" dxfId="508" priority="45" operator="containsText" text="Excessivamente elevado">
      <formula>NOT(ISERROR(SEARCH("Excessivamente elevado",N29)))</formula>
    </cfRule>
  </conditionalFormatting>
  <conditionalFormatting sqref="N29:N30">
    <cfRule type="cellIs" dxfId="507" priority="43" operator="lessThan">
      <formula>"K$25"</formula>
    </cfRule>
    <cfRule type="cellIs" dxfId="506" priority="44" operator="greaterThan">
      <formula>"J$25"</formula>
    </cfRule>
  </conditionalFormatting>
  <conditionalFormatting sqref="N29:N30">
    <cfRule type="cellIs" dxfId="505" priority="41" operator="lessThan">
      <formula>"K$25"</formula>
    </cfRule>
    <cfRule type="cellIs" dxfId="504" priority="42" operator="greaterThan">
      <formula>"J&amp;25"</formula>
    </cfRule>
  </conditionalFormatting>
  <conditionalFormatting sqref="N29:N30">
    <cfRule type="containsText" priority="46" operator="containsText" text="Excessivamente elevado">
      <formula>NOT(ISERROR(SEARCH("Excessivamente elevado",N29)))</formula>
    </cfRule>
    <cfRule type="containsText" dxfId="503" priority="47" operator="containsText" text="Válido">
      <formula>NOT(ISERROR(SEARCH("Válido",N29)))</formula>
    </cfRule>
    <cfRule type="containsText" dxfId="502" priority="48" operator="containsText" text="Inexequível">
      <formula>NOT(ISERROR(SEARCH("Inexequível",N29)))</formula>
    </cfRule>
    <cfRule type="aboveAverage" dxfId="501" priority="49" aboveAverage="0"/>
  </conditionalFormatting>
  <conditionalFormatting sqref="N40:N41">
    <cfRule type="containsText" dxfId="500" priority="36" operator="containsText" text="Excessivamente elevado">
      <formula>NOT(ISERROR(SEARCH("Excessivamente elevado",N40)))</formula>
    </cfRule>
  </conditionalFormatting>
  <conditionalFormatting sqref="N40:N41">
    <cfRule type="cellIs" dxfId="499" priority="34" operator="lessThan">
      <formula>"K$25"</formula>
    </cfRule>
    <cfRule type="cellIs" dxfId="498" priority="35" operator="greaterThan">
      <formula>"J$25"</formula>
    </cfRule>
  </conditionalFormatting>
  <conditionalFormatting sqref="N40:N41">
    <cfRule type="cellIs" dxfId="497" priority="32" operator="lessThan">
      <formula>"K$25"</formula>
    </cfRule>
    <cfRule type="cellIs" dxfId="496" priority="33" operator="greaterThan">
      <formula>"J&amp;25"</formula>
    </cfRule>
  </conditionalFormatting>
  <conditionalFormatting sqref="N40:N41">
    <cfRule type="containsText" priority="37" operator="containsText" text="Excessivamente elevado">
      <formula>NOT(ISERROR(SEARCH("Excessivamente elevado",N40)))</formula>
    </cfRule>
    <cfRule type="containsText" dxfId="495" priority="38" operator="containsText" text="Válido">
      <formula>NOT(ISERROR(SEARCH("Válido",N40)))</formula>
    </cfRule>
    <cfRule type="containsText" dxfId="494" priority="39" operator="containsText" text="Inexequível">
      <formula>NOT(ISERROR(SEARCH("Inexequível",N40)))</formula>
    </cfRule>
    <cfRule type="aboveAverage" dxfId="493" priority="40" aboveAverage="0"/>
  </conditionalFormatting>
  <conditionalFormatting sqref="M26:O28 M34:O37 M21:M25 M29:M30 M31:N33 M38:M41 O38">
    <cfRule type="containsText" priority="2733" operator="containsText" text="Excessivamente elevado">
      <formula>NOT(ISERROR(SEARCH("Excessivamente elevado",M21)))</formula>
    </cfRule>
    <cfRule type="containsText" dxfId="492" priority="2734" operator="containsText" text="Válido">
      <formula>NOT(ISERROR(SEARCH("Válido",M21)))</formula>
    </cfRule>
    <cfRule type="containsText" dxfId="491" priority="2735" operator="containsText" text="Inexequível">
      <formula>NOT(ISERROR(SEARCH("Inexequível",M21)))</formula>
    </cfRule>
    <cfRule type="aboveAverage" dxfId="490" priority="2736" aboveAverage="0"/>
  </conditionalFormatting>
  <conditionalFormatting sqref="N21:N25">
    <cfRule type="containsText" priority="3048" operator="containsText" text="Excessivamente elevado">
      <formula>NOT(ISERROR(SEARCH("Excessivamente elevado",N21)))</formula>
    </cfRule>
    <cfRule type="containsText" dxfId="489" priority="3049" operator="containsText" text="Válido">
      <formula>NOT(ISERROR(SEARCH("Válido",N21)))</formula>
    </cfRule>
    <cfRule type="containsText" dxfId="488" priority="3050" operator="containsText" text="Inexequível">
      <formula>NOT(ISERROR(SEARCH("Inexequível",N21)))</formula>
    </cfRule>
    <cfRule type="aboveAverage" dxfId="487" priority="3051" aboveAverage="0"/>
  </conditionalFormatting>
  <conditionalFormatting sqref="N31:N33">
    <cfRule type="containsText" priority="19" operator="containsText" text="Excessivamente elevado">
      <formula>NOT(ISERROR(SEARCH("Excessivamente elevado",N31)))</formula>
    </cfRule>
    <cfRule type="containsText" dxfId="486" priority="20" operator="containsText" text="Válido">
      <formula>NOT(ISERROR(SEARCH("Válido",N31)))</formula>
    </cfRule>
    <cfRule type="containsText" dxfId="485" priority="21" operator="containsText" text="Inexequível">
      <formula>NOT(ISERROR(SEARCH("Inexequível",N31)))</formula>
    </cfRule>
    <cfRule type="aboveAverage" dxfId="484" priority="22" aboveAverage="0"/>
  </conditionalFormatting>
  <conditionalFormatting sqref="N38">
    <cfRule type="containsText" dxfId="483" priority="14" operator="containsText" text="Excessivamente elevado">
      <formula>NOT(ISERROR(SEARCH("Excessivamente elevado",N38)))</formula>
    </cfRule>
  </conditionalFormatting>
  <conditionalFormatting sqref="N38">
    <cfRule type="cellIs" dxfId="482" priority="12" operator="lessThan">
      <formula>"K$25"</formula>
    </cfRule>
    <cfRule type="cellIs" dxfId="481" priority="13" operator="greaterThan">
      <formula>"J$25"</formula>
    </cfRule>
  </conditionalFormatting>
  <conditionalFormatting sqref="N38">
    <cfRule type="cellIs" dxfId="480" priority="10" operator="lessThan">
      <formula>"K$25"</formula>
    </cfRule>
    <cfRule type="cellIs" dxfId="479" priority="11" operator="greaterThan">
      <formula>"J&amp;25"</formula>
    </cfRule>
  </conditionalFormatting>
  <conditionalFormatting sqref="N38">
    <cfRule type="containsText" priority="15" operator="containsText" text="Excessivamente elevado">
      <formula>NOT(ISERROR(SEARCH("Excessivamente elevado",N38)))</formula>
    </cfRule>
    <cfRule type="containsText" dxfId="478" priority="16" operator="containsText" text="Válido">
      <formula>NOT(ISERROR(SEARCH("Válido",N38)))</formula>
    </cfRule>
    <cfRule type="containsText" dxfId="477" priority="17" operator="containsText" text="Inexequível">
      <formula>NOT(ISERROR(SEARCH("Inexequível",N38)))</formula>
    </cfRule>
    <cfRule type="aboveAverage" dxfId="476" priority="18" aboveAverage="0"/>
  </conditionalFormatting>
  <conditionalFormatting sqref="N39">
    <cfRule type="containsText" dxfId="475" priority="5" operator="containsText" text="Excessivamente elevado">
      <formula>NOT(ISERROR(SEARCH("Excessivamente elevado",N39)))</formula>
    </cfRule>
  </conditionalFormatting>
  <conditionalFormatting sqref="N39">
    <cfRule type="cellIs" dxfId="474" priority="3" operator="lessThan">
      <formula>"K$25"</formula>
    </cfRule>
    <cfRule type="cellIs" dxfId="473" priority="4" operator="greaterThan">
      <formula>"J$25"</formula>
    </cfRule>
  </conditionalFormatting>
  <conditionalFormatting sqref="N39">
    <cfRule type="cellIs" dxfId="472" priority="1" operator="lessThan">
      <formula>"K$25"</formula>
    </cfRule>
    <cfRule type="cellIs" dxfId="471" priority="2" operator="greaterThan">
      <formula>"J&amp;25"</formula>
    </cfRule>
  </conditionalFormatting>
  <conditionalFormatting sqref="N39">
    <cfRule type="containsText" priority="6" operator="containsText" text="Excessivamente elevado">
      <formula>NOT(ISERROR(SEARCH("Excessivamente elevado",N39)))</formula>
    </cfRule>
    <cfRule type="containsText" dxfId="470" priority="7" operator="containsText" text="Válido">
      <formula>NOT(ISERROR(SEARCH("Válido",N39)))</formula>
    </cfRule>
    <cfRule type="containsText" dxfId="469" priority="8" operator="containsText" text="Inexequível">
      <formula>NOT(ISERROR(SEARCH("Inexequível",N39)))</formula>
    </cfRule>
    <cfRule type="aboveAverage" dxfId="468" priority="9" aboveAverage="0"/>
  </conditionalFormatting>
  <pageMargins left="0.23622047244094491" right="0.23622047244094491" top="0.74803149606299213" bottom="0.74803149606299213" header="0.31496062992125984" footer="0.31496062992125984"/>
  <pageSetup paperSize="9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E421F-B8D8-48D3-9516-79375E1F44C0}">
  <sheetPr>
    <tabColor theme="4" tint="-0.249977111117893"/>
  </sheetPr>
  <dimension ref="A1:AE103"/>
  <sheetViews>
    <sheetView showGridLines="0" topLeftCell="A15" zoomScaleNormal="100" workbookViewId="0">
      <selection activeCell="P42" sqref="P42:P50"/>
    </sheetView>
  </sheetViews>
  <sheetFormatPr defaultColWidth="9.109375" defaultRowHeight="14.4" x14ac:dyDescent="0.3"/>
  <cols>
    <col min="1" max="1" width="4.109375" style="20" customWidth="1"/>
    <col min="2" max="2" width="25.109375" customWidth="1"/>
    <col min="3" max="3" width="6.33203125" customWidth="1"/>
    <col min="4" max="4" width="5.44140625" style="20" customWidth="1"/>
    <col min="5" max="5" width="22" style="13" customWidth="1"/>
    <col min="6" max="6" width="10.33203125" style="46" customWidth="1"/>
    <col min="7" max="7" width="23.5546875" style="13" customWidth="1"/>
    <col min="8" max="8" width="5.6640625" style="13" customWidth="1"/>
    <col min="9" max="9" width="11.6640625" style="13" customWidth="1"/>
    <col min="10" max="10" width="12" style="13" customWidth="1"/>
    <col min="11" max="11" width="7.5546875" hidden="1" customWidth="1"/>
    <col min="12" max="12" width="9.5546875" hidden="1" customWidth="1"/>
    <col min="13" max="13" width="15" customWidth="1"/>
    <col min="14" max="14" width="7.33203125" customWidth="1"/>
    <col min="15" max="15" width="21.44140625" customWidth="1"/>
    <col min="16" max="16" width="11.6640625" customWidth="1"/>
    <col min="17" max="17" width="13.6640625" customWidth="1"/>
    <col min="18" max="18" width="7.88671875" customWidth="1"/>
    <col min="19" max="19" width="12" bestFit="1" customWidth="1"/>
    <col min="20" max="20" width="5.88671875" customWidth="1"/>
    <col min="23" max="23" width="11.5546875" bestFit="1" customWidth="1"/>
  </cols>
  <sheetData>
    <row r="1" spans="1:31" x14ac:dyDescent="0.3">
      <c r="A1" s="153"/>
      <c r="B1" s="154"/>
      <c r="C1" s="154"/>
      <c r="D1" s="155"/>
      <c r="E1" s="156"/>
    </row>
    <row r="2" spans="1:31" ht="18" thickBot="1" x14ac:dyDescent="0.4">
      <c r="A2" s="714" t="s">
        <v>332</v>
      </c>
      <c r="B2" s="714"/>
      <c r="C2" s="714"/>
      <c r="D2" s="714"/>
      <c r="E2" s="156"/>
    </row>
    <row r="3" spans="1:31" ht="15" thickTop="1" x14ac:dyDescent="0.3">
      <c r="A3" s="153"/>
      <c r="B3" s="154"/>
      <c r="C3" s="154"/>
      <c r="D3" s="155"/>
      <c r="E3" s="156"/>
    </row>
    <row r="4" spans="1:31" ht="25.8" customHeight="1" thickBot="1" x14ac:dyDescent="0.35">
      <c r="A4" s="59"/>
      <c r="T4" s="260" t="s">
        <v>79</v>
      </c>
      <c r="U4" s="260"/>
      <c r="V4" s="260"/>
      <c r="W4" s="260"/>
      <c r="X4" s="260"/>
      <c r="Y4" s="260"/>
      <c r="Z4" s="260"/>
      <c r="AA4" s="261"/>
      <c r="AB4" s="261"/>
      <c r="AC4" s="261"/>
      <c r="AD4" s="261"/>
      <c r="AE4" s="261"/>
    </row>
    <row r="5" spans="1:31" ht="18.600000000000001" thickTop="1" thickBot="1" x14ac:dyDescent="0.4">
      <c r="A5" s="120" t="s">
        <v>4</v>
      </c>
      <c r="B5" s="121"/>
      <c r="C5" s="121"/>
      <c r="D5" s="122"/>
      <c r="E5" s="123"/>
      <c r="F5" s="117"/>
      <c r="T5" s="260"/>
      <c r="U5" s="260"/>
      <c r="V5" s="260"/>
      <c r="W5" s="260"/>
      <c r="X5" s="260"/>
      <c r="Y5" s="260"/>
      <c r="Z5" s="260"/>
      <c r="AA5" s="261"/>
      <c r="AB5" s="261"/>
      <c r="AC5" s="261"/>
      <c r="AD5" s="261"/>
      <c r="AE5" s="261"/>
    </row>
    <row r="6" spans="1:31" ht="15.6" thickTop="1" thickBot="1" x14ac:dyDescent="0.35">
      <c r="A6" s="28"/>
      <c r="H6" s="369" t="s">
        <v>3</v>
      </c>
      <c r="I6" s="138"/>
      <c r="J6" s="138"/>
      <c r="K6" s="139"/>
      <c r="L6" s="139"/>
      <c r="M6" s="139"/>
      <c r="N6" s="139"/>
      <c r="O6" s="139"/>
      <c r="P6" s="139"/>
      <c r="T6" s="261"/>
      <c r="U6" s="262"/>
      <c r="V6" s="261"/>
      <c r="W6" s="261"/>
      <c r="X6" s="261"/>
      <c r="Y6" s="261"/>
      <c r="Z6" s="261"/>
      <c r="AA6" s="261"/>
      <c r="AB6" s="261"/>
      <c r="AC6" s="261"/>
      <c r="AD6" s="261"/>
      <c r="AE6" s="261"/>
    </row>
    <row r="7" spans="1:31" ht="18" customHeight="1" thickTop="1" thickBot="1" x14ac:dyDescent="0.35">
      <c r="A7" s="146"/>
      <c r="B7" s="118"/>
      <c r="C7" s="118"/>
      <c r="D7" s="118"/>
      <c r="E7" s="119"/>
      <c r="F7" s="76"/>
      <c r="G7" s="50"/>
      <c r="H7" s="136">
        <v>0.3</v>
      </c>
      <c r="I7" s="628" t="s">
        <v>124</v>
      </c>
      <c r="J7" s="628"/>
      <c r="K7" s="628"/>
      <c r="L7" s="628"/>
      <c r="M7" s="628"/>
      <c r="N7" s="628"/>
      <c r="O7" s="628"/>
      <c r="P7" s="628"/>
      <c r="R7" s="60"/>
      <c r="T7" s="265" t="s">
        <v>80</v>
      </c>
      <c r="U7" s="265"/>
      <c r="V7" s="265"/>
      <c r="W7" s="265"/>
      <c r="X7" s="265"/>
      <c r="Y7" s="265"/>
      <c r="Z7" s="265"/>
      <c r="AA7" s="265"/>
      <c r="AB7" s="265"/>
      <c r="AC7" s="261"/>
      <c r="AD7" s="262" t="s">
        <v>81</v>
      </c>
      <c r="AE7" s="261"/>
    </row>
    <row r="8" spans="1:31" ht="18" customHeight="1" x14ac:dyDescent="0.3">
      <c r="A8" s="147" t="s">
        <v>132</v>
      </c>
      <c r="B8" s="77"/>
      <c r="C8" s="77"/>
      <c r="D8" s="78"/>
      <c r="E8" s="79"/>
      <c r="F8" s="124"/>
      <c r="G8" s="50"/>
      <c r="H8" s="133">
        <v>0.7</v>
      </c>
      <c r="I8" s="140" t="s">
        <v>116</v>
      </c>
      <c r="J8" s="140"/>
      <c r="K8" s="140"/>
      <c r="L8" s="140"/>
      <c r="M8" s="140"/>
      <c r="N8" s="140"/>
      <c r="O8" s="140"/>
      <c r="P8" s="141"/>
      <c r="R8" s="60"/>
      <c r="T8" s="261" t="s">
        <v>82</v>
      </c>
      <c r="U8" s="286" t="s">
        <v>83</v>
      </c>
      <c r="V8" s="286"/>
      <c r="W8" s="286"/>
      <c r="X8" s="286"/>
      <c r="Y8" s="286"/>
      <c r="Z8" s="286"/>
      <c r="AA8" s="286"/>
      <c r="AB8" s="286"/>
      <c r="AC8" s="261"/>
      <c r="AD8" s="264" t="s">
        <v>125</v>
      </c>
      <c r="AE8" s="261"/>
    </row>
    <row r="9" spans="1:31" ht="21" customHeight="1" x14ac:dyDescent="0.3">
      <c r="A9" s="59" t="s">
        <v>5</v>
      </c>
      <c r="B9" s="60"/>
      <c r="C9" s="60"/>
      <c r="D9" s="62"/>
      <c r="E9" s="70">
        <f>AVERAGE(I42:I50)</f>
        <v>561.7166666666667</v>
      </c>
      <c r="F9" s="67"/>
      <c r="G9" s="50"/>
      <c r="H9" s="134"/>
      <c r="P9" s="135"/>
      <c r="Q9" s="135"/>
      <c r="R9" s="60"/>
      <c r="T9" s="261" t="s">
        <v>84</v>
      </c>
      <c r="U9" s="286" t="s">
        <v>85</v>
      </c>
      <c r="V9" s="286"/>
      <c r="W9" s="286"/>
      <c r="X9" s="286"/>
      <c r="Y9" s="286"/>
      <c r="Z9" s="286"/>
      <c r="AA9" s="286"/>
      <c r="AB9" s="286"/>
      <c r="AC9" s="261"/>
      <c r="AD9" s="264" t="s">
        <v>125</v>
      </c>
      <c r="AE9" s="261"/>
    </row>
    <row r="10" spans="1:31" ht="16.2" customHeight="1" x14ac:dyDescent="0.3">
      <c r="A10" s="59" t="s">
        <v>6</v>
      </c>
      <c r="B10" s="60"/>
      <c r="C10" s="60"/>
      <c r="D10" s="62"/>
      <c r="E10" s="70">
        <f>_xlfn.STDEV.S(I42:I50)</f>
        <v>77.281641739808322</v>
      </c>
      <c r="F10" s="68"/>
      <c r="G10" s="50"/>
      <c r="H10" s="145" t="s">
        <v>75</v>
      </c>
      <c r="I10" s="142"/>
      <c r="J10" s="143"/>
      <c r="K10" s="112"/>
      <c r="L10" s="112"/>
      <c r="M10" s="112"/>
      <c r="N10" s="112"/>
      <c r="O10" s="112"/>
      <c r="P10" s="112"/>
      <c r="Q10" s="112"/>
      <c r="R10" s="60"/>
      <c r="T10" s="261" t="s">
        <v>86</v>
      </c>
      <c r="U10" s="286" t="s">
        <v>87</v>
      </c>
      <c r="V10" s="286"/>
      <c r="W10" s="286"/>
      <c r="X10" s="286"/>
      <c r="Y10" s="286"/>
      <c r="Z10" s="286"/>
      <c r="AA10" s="286"/>
      <c r="AB10" s="286"/>
      <c r="AC10" s="261"/>
      <c r="AD10" s="264" t="s">
        <v>125</v>
      </c>
      <c r="AE10" s="261"/>
    </row>
    <row r="11" spans="1:31" ht="17.399999999999999" customHeight="1" x14ac:dyDescent="0.3">
      <c r="A11" s="59" t="s">
        <v>29</v>
      </c>
      <c r="B11" s="60"/>
      <c r="C11" s="60"/>
      <c r="D11" s="62"/>
      <c r="E11" s="71">
        <f>(E10/E9)*100</f>
        <v>13.758117984715007</v>
      </c>
      <c r="F11" s="68"/>
      <c r="G11" s="50"/>
      <c r="H11" s="143"/>
      <c r="I11" s="143"/>
      <c r="J11" s="143"/>
      <c r="K11" s="112"/>
      <c r="L11" s="112"/>
      <c r="M11" s="112"/>
      <c r="N11" s="112"/>
      <c r="O11" s="112"/>
      <c r="P11" s="112"/>
      <c r="Q11" s="112"/>
      <c r="R11" s="60"/>
      <c r="T11" s="261" t="s">
        <v>88</v>
      </c>
      <c r="U11" s="286" t="s">
        <v>89</v>
      </c>
      <c r="V11" s="286"/>
      <c r="W11" s="286"/>
      <c r="X11" s="286"/>
      <c r="Y11" s="286"/>
      <c r="Z11" s="286"/>
      <c r="AA11" s="286"/>
      <c r="AB11" s="286"/>
      <c r="AC11" s="261"/>
      <c r="AD11" s="264" t="s">
        <v>125</v>
      </c>
      <c r="AE11" s="261"/>
    </row>
    <row r="12" spans="1:31" ht="16.2" customHeight="1" x14ac:dyDescent="0.3">
      <c r="A12" s="59" t="s">
        <v>7</v>
      </c>
      <c r="B12" s="60"/>
      <c r="C12" s="60"/>
      <c r="D12" s="62"/>
      <c r="E12" s="378" t="str">
        <f>IF(E11&gt;25,"Mediana","Média")</f>
        <v>Média</v>
      </c>
      <c r="F12" s="69"/>
      <c r="G12" s="50"/>
      <c r="H12" s="144">
        <v>0.25</v>
      </c>
      <c r="I12" s="143" t="s">
        <v>76</v>
      </c>
      <c r="J12" s="143" t="s">
        <v>5</v>
      </c>
      <c r="K12" s="125"/>
      <c r="L12" s="126"/>
      <c r="M12" s="127"/>
      <c r="N12" s="127"/>
      <c r="O12" s="127"/>
      <c r="P12" s="112"/>
      <c r="Q12" s="112"/>
      <c r="R12" s="60"/>
      <c r="T12" s="261" t="s">
        <v>90</v>
      </c>
      <c r="U12" s="286" t="s">
        <v>156</v>
      </c>
      <c r="V12" s="286"/>
      <c r="W12" s="286"/>
      <c r="X12" s="286"/>
      <c r="Y12" s="286"/>
      <c r="Z12" s="286"/>
      <c r="AA12" s="286"/>
      <c r="AB12" s="286"/>
      <c r="AC12" s="261"/>
      <c r="AD12" s="264" t="s">
        <v>125</v>
      </c>
      <c r="AE12" s="261"/>
    </row>
    <row r="13" spans="1:31" ht="22.2" customHeight="1" x14ac:dyDescent="0.3">
      <c r="A13" s="59" t="s">
        <v>8</v>
      </c>
      <c r="B13" s="60"/>
      <c r="C13" s="60"/>
      <c r="D13" s="62"/>
      <c r="E13" s="70">
        <f>MIN(I42:I50)</f>
        <v>440</v>
      </c>
      <c r="F13" s="67"/>
      <c r="G13" s="50"/>
      <c r="H13" s="143"/>
      <c r="I13" s="143" t="s">
        <v>77</v>
      </c>
      <c r="J13" s="143" t="s">
        <v>78</v>
      </c>
      <c r="K13" s="129"/>
      <c r="L13" s="102"/>
      <c r="M13" s="127"/>
      <c r="N13" s="127"/>
      <c r="O13" s="127"/>
      <c r="P13" s="112"/>
      <c r="Q13" s="112"/>
      <c r="R13" s="60"/>
      <c r="T13" s="261" t="s">
        <v>92</v>
      </c>
      <c r="U13" s="286" t="s">
        <v>157</v>
      </c>
      <c r="V13" s="286"/>
      <c r="W13" s="286"/>
      <c r="X13" s="286"/>
      <c r="Y13" s="286"/>
      <c r="Z13" s="286"/>
      <c r="AA13" s="286"/>
      <c r="AB13" s="286"/>
      <c r="AC13" s="261"/>
      <c r="AD13" s="264" t="s">
        <v>127</v>
      </c>
      <c r="AE13" s="261"/>
    </row>
    <row r="14" spans="1:31" ht="13.2" customHeight="1" x14ac:dyDescent="0.3">
      <c r="A14" s="147" t="s">
        <v>211</v>
      </c>
      <c r="B14" s="77"/>
      <c r="C14" s="77"/>
      <c r="D14" s="78"/>
      <c r="E14" s="79"/>
      <c r="F14" s="76"/>
      <c r="G14" s="50"/>
      <c r="K14" s="129"/>
      <c r="L14" s="102"/>
      <c r="M14" s="127"/>
      <c r="N14" s="127"/>
      <c r="O14" s="127"/>
      <c r="P14" s="112"/>
      <c r="Q14" s="112"/>
      <c r="R14" s="60"/>
      <c r="T14" s="261" t="s">
        <v>94</v>
      </c>
      <c r="U14" s="286" t="s">
        <v>158</v>
      </c>
      <c r="V14" s="286"/>
      <c r="W14" s="286"/>
      <c r="X14" s="286"/>
      <c r="Y14" s="286"/>
      <c r="Z14" s="286"/>
      <c r="AA14" s="286"/>
      <c r="AB14" s="286"/>
      <c r="AC14" s="261"/>
      <c r="AD14" s="264" t="s">
        <v>127</v>
      </c>
      <c r="AE14" s="261"/>
    </row>
    <row r="15" spans="1:31" ht="15.6" customHeight="1" x14ac:dyDescent="0.3">
      <c r="A15" s="59" t="s">
        <v>5</v>
      </c>
      <c r="B15" s="60"/>
      <c r="C15" s="60"/>
      <c r="D15" s="62"/>
      <c r="E15" s="70">
        <f>AVERAGE(I51:I56)</f>
        <v>599.76</v>
      </c>
      <c r="F15" s="76"/>
      <c r="G15" s="50"/>
      <c r="H15" s="129"/>
      <c r="I15" s="128"/>
      <c r="J15" s="128"/>
      <c r="K15" s="129"/>
      <c r="L15" s="104"/>
      <c r="M15" s="127"/>
      <c r="N15" s="127"/>
      <c r="O15" s="127"/>
      <c r="P15" s="112"/>
      <c r="Q15" s="112"/>
      <c r="R15" s="60"/>
      <c r="T15" s="261" t="s">
        <v>96</v>
      </c>
      <c r="U15" s="286" t="s">
        <v>97</v>
      </c>
      <c r="V15" s="286"/>
      <c r="W15" s="286"/>
      <c r="X15" s="286"/>
      <c r="Y15" s="286"/>
      <c r="Z15" s="286"/>
      <c r="AA15" s="286"/>
      <c r="AB15" s="286"/>
      <c r="AC15" s="261"/>
      <c r="AD15" s="264" t="s">
        <v>125</v>
      </c>
      <c r="AE15" s="261"/>
    </row>
    <row r="16" spans="1:31" ht="13.2" customHeight="1" x14ac:dyDescent="0.3">
      <c r="A16" s="59" t="s">
        <v>6</v>
      </c>
      <c r="B16" s="60"/>
      <c r="C16" s="60"/>
      <c r="D16" s="62"/>
      <c r="E16" s="70">
        <f>_xlfn.STDEV.S(I51:I56)</f>
        <v>37.386155726418302</v>
      </c>
      <c r="F16" s="76"/>
      <c r="G16" s="147" t="s">
        <v>134</v>
      </c>
      <c r="H16" s="370"/>
      <c r="I16" s="79"/>
      <c r="J16" s="157"/>
      <c r="K16" s="125"/>
      <c r="L16" s="126"/>
      <c r="M16" s="127"/>
      <c r="N16" s="127"/>
      <c r="O16" s="127"/>
      <c r="P16" s="112"/>
      <c r="Q16" s="112"/>
      <c r="R16" s="60"/>
      <c r="T16" s="261" t="s">
        <v>98</v>
      </c>
      <c r="U16" s="286" t="s">
        <v>99</v>
      </c>
      <c r="V16" s="286"/>
      <c r="W16" s="286"/>
      <c r="X16" s="286"/>
      <c r="Y16" s="286"/>
      <c r="Z16" s="286"/>
      <c r="AA16" s="286"/>
      <c r="AB16" s="286"/>
      <c r="AC16" s="261"/>
      <c r="AD16" s="264" t="s">
        <v>125</v>
      </c>
      <c r="AE16" s="261"/>
    </row>
    <row r="17" spans="1:31" ht="13.95" customHeight="1" x14ac:dyDescent="0.3">
      <c r="A17" s="59" t="s">
        <v>29</v>
      </c>
      <c r="B17" s="60"/>
      <c r="C17" s="60"/>
      <c r="D17" s="62"/>
      <c r="E17" s="71">
        <f>(E16/E15)*100</f>
        <v>6.2335193621479092</v>
      </c>
      <c r="F17" s="76"/>
      <c r="G17" s="59" t="s">
        <v>5</v>
      </c>
      <c r="H17" s="65"/>
      <c r="I17" s="70">
        <f>AVERAGE($I$80:$I$85)</f>
        <v>595.54666666666662</v>
      </c>
      <c r="J17" s="128"/>
      <c r="K17" s="129"/>
      <c r="L17" s="102"/>
      <c r="M17" s="127"/>
      <c r="N17" s="127"/>
      <c r="O17" s="127"/>
      <c r="P17" s="112"/>
      <c r="Q17" s="112"/>
      <c r="R17" s="60"/>
      <c r="T17" s="261" t="s">
        <v>100</v>
      </c>
      <c r="U17" s="286" t="s">
        <v>101</v>
      </c>
      <c r="V17" s="286"/>
      <c r="W17" s="286"/>
      <c r="X17" s="286"/>
      <c r="Y17" s="286"/>
      <c r="Z17" s="286"/>
      <c r="AA17" s="286"/>
      <c r="AB17" s="286"/>
      <c r="AC17" s="261"/>
      <c r="AD17" s="264" t="s">
        <v>125</v>
      </c>
      <c r="AE17" s="261"/>
    </row>
    <row r="18" spans="1:31" ht="15" customHeight="1" x14ac:dyDescent="0.3">
      <c r="A18" s="59" t="s">
        <v>7</v>
      </c>
      <c r="B18" s="60"/>
      <c r="C18" s="60"/>
      <c r="D18" s="62"/>
      <c r="E18" s="378" t="str">
        <f>IF(E17&gt;25,"Mediana","Média")</f>
        <v>Média</v>
      </c>
      <c r="F18" s="76"/>
      <c r="G18" s="59" t="s">
        <v>6</v>
      </c>
      <c r="H18" s="65"/>
      <c r="I18" s="70">
        <f>_xlfn.STDEV.S($I$80:$I$85)</f>
        <v>69.205032957630749</v>
      </c>
      <c r="J18" s="128"/>
      <c r="K18" s="129"/>
      <c r="L18" s="102"/>
      <c r="M18" s="112"/>
      <c r="N18" s="112"/>
      <c r="O18" s="112"/>
      <c r="P18" s="112"/>
      <c r="Q18" s="112"/>
      <c r="R18" s="60"/>
      <c r="T18" s="261" t="s">
        <v>150</v>
      </c>
      <c r="U18" s="261" t="s">
        <v>151</v>
      </c>
      <c r="V18" s="261"/>
      <c r="W18" s="261"/>
      <c r="X18" s="261"/>
      <c r="Y18" s="261"/>
      <c r="Z18" s="261"/>
      <c r="AA18" s="261"/>
      <c r="AB18" s="261"/>
      <c r="AC18" s="261"/>
      <c r="AD18" s="264" t="s">
        <v>127</v>
      </c>
      <c r="AE18" s="261"/>
    </row>
    <row r="19" spans="1:31" ht="18.600000000000001" customHeight="1" x14ac:dyDescent="0.3">
      <c r="A19" s="59" t="s">
        <v>8</v>
      </c>
      <c r="B19" s="60"/>
      <c r="C19" s="60"/>
      <c r="D19" s="62"/>
      <c r="E19" s="70">
        <f>MIN(I51:I56)</f>
        <v>535</v>
      </c>
      <c r="F19" s="124"/>
      <c r="G19" s="59" t="s">
        <v>29</v>
      </c>
      <c r="H19" s="65"/>
      <c r="I19" s="71">
        <f>(I18/I17)*100</f>
        <v>11.62042151037099</v>
      </c>
      <c r="J19" s="128"/>
      <c r="K19" s="129"/>
      <c r="L19" s="104"/>
      <c r="M19" s="60"/>
      <c r="N19" s="60"/>
      <c r="O19" s="60"/>
      <c r="P19" s="60"/>
      <c r="Q19" s="60"/>
      <c r="R19" s="60"/>
      <c r="T19" s="262" t="s">
        <v>102</v>
      </c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</row>
    <row r="20" spans="1:31" ht="19.95" customHeight="1" x14ac:dyDescent="0.3">
      <c r="A20" s="147" t="s">
        <v>133</v>
      </c>
      <c r="B20" s="147"/>
      <c r="C20" s="77"/>
      <c r="D20" s="78"/>
      <c r="E20" s="79"/>
      <c r="F20"/>
      <c r="G20" s="59" t="s">
        <v>7</v>
      </c>
      <c r="H20" s="65"/>
      <c r="I20" s="378" t="str">
        <f>IF(I19&gt;25,"Mediana","Média")</f>
        <v>Média</v>
      </c>
      <c r="J20" s="128"/>
      <c r="K20" s="129"/>
      <c r="L20" s="158"/>
      <c r="R20" s="60"/>
      <c r="T20" s="286" t="s">
        <v>152</v>
      </c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</row>
    <row r="21" spans="1:31" x14ac:dyDescent="0.3">
      <c r="A21" s="59" t="s">
        <v>5</v>
      </c>
      <c r="B21" s="60"/>
      <c r="C21" s="60"/>
      <c r="D21" s="62"/>
      <c r="E21" s="70">
        <f>AVERAGE(I58:I64)</f>
        <v>588.91571428571422</v>
      </c>
      <c r="F21" s="117"/>
      <c r="G21" s="59" t="s">
        <v>8</v>
      </c>
      <c r="H21" s="65"/>
      <c r="I21" s="70">
        <f>MIN($I$80:$I85)</f>
        <v>483.12</v>
      </c>
      <c r="J21" s="128"/>
      <c r="K21" s="129"/>
      <c r="L21" s="102"/>
      <c r="T21" s="286" t="s">
        <v>153</v>
      </c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</row>
    <row r="22" spans="1:31" x14ac:dyDescent="0.3">
      <c r="A22" s="59" t="s">
        <v>6</v>
      </c>
      <c r="B22" s="60"/>
      <c r="C22" s="60"/>
      <c r="D22" s="62"/>
      <c r="E22" s="70">
        <f>_xlfn.STDEV.S(I58:I64)</f>
        <v>87.82746796174554</v>
      </c>
      <c r="F22" s="67"/>
      <c r="G22" s="325"/>
      <c r="H22" s="371"/>
      <c r="I22" s="326"/>
      <c r="J22" s="157"/>
      <c r="K22" s="125"/>
      <c r="L22" s="126"/>
      <c r="T22" s="261" t="s">
        <v>154</v>
      </c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</row>
    <row r="23" spans="1:31" x14ac:dyDescent="0.3">
      <c r="A23" s="59" t="s">
        <v>29</v>
      </c>
      <c r="B23" s="60"/>
      <c r="C23" s="60"/>
      <c r="D23" s="62"/>
      <c r="E23" s="71">
        <f>(E22/E21)*100</f>
        <v>14.913418988703667</v>
      </c>
      <c r="F23" s="68"/>
      <c r="G23" s="321"/>
      <c r="H23" s="372"/>
      <c r="I23" s="322"/>
      <c r="J23" s="128"/>
      <c r="K23" s="129"/>
      <c r="L23" s="102"/>
      <c r="T23" s="626" t="s">
        <v>155</v>
      </c>
      <c r="U23" s="626"/>
      <c r="V23" s="626"/>
      <c r="W23" s="626"/>
      <c r="X23" s="626"/>
      <c r="Y23" s="626"/>
      <c r="Z23" s="626"/>
      <c r="AA23" s="626"/>
      <c r="AB23" s="626"/>
      <c r="AC23" s="626"/>
      <c r="AD23" s="626"/>
      <c r="AE23" s="261"/>
    </row>
    <row r="24" spans="1:31" ht="14.4" customHeight="1" x14ac:dyDescent="0.3">
      <c r="A24" s="59" t="s">
        <v>7</v>
      </c>
      <c r="B24" s="60"/>
      <c r="C24" s="60"/>
      <c r="D24" s="62"/>
      <c r="E24" s="378" t="str">
        <f>IF(E23&gt;25,"Mediana","Média")</f>
        <v>Média</v>
      </c>
      <c r="F24" s="68"/>
      <c r="G24" s="321"/>
      <c r="H24" s="372"/>
      <c r="I24" s="322"/>
      <c r="J24" s="128"/>
      <c r="K24" s="129"/>
      <c r="L24" s="102"/>
      <c r="T24" s="627" t="s">
        <v>103</v>
      </c>
      <c r="U24" s="627"/>
      <c r="V24" s="627"/>
      <c r="W24" s="627"/>
      <c r="X24" s="627"/>
      <c r="Y24" s="627"/>
      <c r="Z24" s="627"/>
      <c r="AA24" s="627"/>
      <c r="AB24" s="627"/>
      <c r="AC24" s="627"/>
      <c r="AD24" s="627"/>
      <c r="AE24" s="261"/>
    </row>
    <row r="25" spans="1:31" ht="14.4" customHeight="1" x14ac:dyDescent="0.3">
      <c r="A25" s="59" t="s">
        <v>8</v>
      </c>
      <c r="B25" s="60"/>
      <c r="C25" s="60"/>
      <c r="D25" s="62"/>
      <c r="E25" s="70">
        <f>MIN(I58:I64)</f>
        <v>410</v>
      </c>
      <c r="F25" s="69"/>
      <c r="G25" s="321"/>
      <c r="H25" s="372"/>
      <c r="I25" s="323"/>
      <c r="J25" s="128"/>
      <c r="K25" s="129"/>
      <c r="L25" s="104"/>
      <c r="T25" s="626" t="s">
        <v>155</v>
      </c>
      <c r="U25" s="626"/>
      <c r="V25" s="626"/>
      <c r="W25" s="626"/>
      <c r="X25" s="626"/>
      <c r="Y25" s="626"/>
      <c r="Z25" s="626"/>
      <c r="AA25" s="626"/>
      <c r="AB25" s="626"/>
      <c r="AC25" s="626"/>
      <c r="AD25" s="626"/>
      <c r="AE25" s="261"/>
    </row>
    <row r="26" spans="1:31" x14ac:dyDescent="0.3">
      <c r="A26" s="147" t="s">
        <v>212</v>
      </c>
      <c r="B26" s="77"/>
      <c r="C26" s="77"/>
      <c r="D26" s="78"/>
      <c r="E26" s="79"/>
      <c r="F26" s="67"/>
      <c r="G26" s="321"/>
      <c r="H26" s="372"/>
      <c r="I26" s="324"/>
      <c r="J26" s="128"/>
      <c r="K26" s="129"/>
      <c r="L26" s="158"/>
      <c r="T26" s="627" t="s">
        <v>103</v>
      </c>
      <c r="U26" s="627"/>
      <c r="V26" s="627"/>
      <c r="W26" s="627"/>
      <c r="X26" s="627"/>
      <c r="Y26" s="627"/>
      <c r="Z26" s="627"/>
      <c r="AA26" s="627"/>
      <c r="AB26" s="627"/>
      <c r="AC26" s="627"/>
      <c r="AD26" s="627"/>
      <c r="AE26" s="261"/>
    </row>
    <row r="27" spans="1:31" x14ac:dyDescent="0.3">
      <c r="A27" s="59" t="s">
        <v>5</v>
      </c>
      <c r="B27" s="60"/>
      <c r="C27" s="60"/>
      <c r="D27" s="62"/>
      <c r="E27" s="70">
        <f>AVERAGE($I$65:$I$72)</f>
        <v>577.30500000000006</v>
      </c>
      <c r="F27" s="66"/>
      <c r="G27" s="321"/>
      <c r="H27" s="372"/>
      <c r="I27" s="322"/>
      <c r="J27" s="128"/>
      <c r="K27" s="129"/>
      <c r="L27" s="102"/>
    </row>
    <row r="28" spans="1:31" x14ac:dyDescent="0.3">
      <c r="A28" s="59" t="s">
        <v>6</v>
      </c>
      <c r="B28" s="60"/>
      <c r="C28" s="60"/>
      <c r="D28" s="62"/>
      <c r="E28" s="70">
        <f>_xlfn.STDEV.S($I$65:$I$72)</f>
        <v>89.101066852679082</v>
      </c>
      <c r="F28" s="130"/>
      <c r="G28" s="325"/>
      <c r="H28" s="371"/>
      <c r="I28" s="326"/>
      <c r="J28" s="157"/>
      <c r="K28" s="125"/>
      <c r="L28" s="126"/>
    </row>
    <row r="29" spans="1:31" ht="14.4" customHeight="1" x14ac:dyDescent="0.3">
      <c r="A29" s="59" t="s">
        <v>29</v>
      </c>
      <c r="B29" s="60"/>
      <c r="C29" s="60"/>
      <c r="D29" s="62"/>
      <c r="E29" s="71">
        <f>(E28/E27)*100</f>
        <v>15.433967634556964</v>
      </c>
      <c r="F29" s="67"/>
      <c r="G29" s="321"/>
      <c r="H29" s="372"/>
      <c r="I29" s="322"/>
      <c r="J29" s="128"/>
      <c r="K29" s="129"/>
      <c r="L29" s="102"/>
    </row>
    <row r="30" spans="1:31" ht="18" customHeight="1" x14ac:dyDescent="0.3">
      <c r="A30" s="59" t="s">
        <v>7</v>
      </c>
      <c r="B30" s="60"/>
      <c r="C30" s="60"/>
      <c r="D30" s="62"/>
      <c r="E30" s="378" t="str">
        <f>IF(E29&gt;25,"Mediana","Média")</f>
        <v>Média</v>
      </c>
      <c r="F30" s="68"/>
      <c r="G30" s="321"/>
      <c r="H30" s="372"/>
      <c r="I30" s="322"/>
      <c r="J30" s="128"/>
      <c r="K30" s="129"/>
      <c r="L30" s="102"/>
    </row>
    <row r="31" spans="1:31" ht="14.4" customHeight="1" x14ac:dyDescent="0.3">
      <c r="A31" s="59" t="s">
        <v>8</v>
      </c>
      <c r="B31" s="60"/>
      <c r="C31" s="60"/>
      <c r="D31" s="62"/>
      <c r="E31" s="70">
        <f>MIN($I$65:$I$72)</f>
        <v>410</v>
      </c>
      <c r="F31" s="68"/>
      <c r="G31" s="321"/>
      <c r="H31" s="372"/>
      <c r="I31" s="323"/>
      <c r="J31" s="128"/>
      <c r="K31" s="129"/>
      <c r="L31" s="104"/>
    </row>
    <row r="32" spans="1:31" x14ac:dyDescent="0.3">
      <c r="A32" s="147" t="s">
        <v>213</v>
      </c>
      <c r="B32" s="77"/>
      <c r="C32" s="77"/>
      <c r="D32" s="78"/>
      <c r="E32" s="79"/>
      <c r="F32" s="69"/>
      <c r="G32" s="321"/>
      <c r="H32" s="372"/>
      <c r="I32" s="324"/>
      <c r="J32" s="128"/>
      <c r="K32" s="129"/>
      <c r="L32" s="158"/>
    </row>
    <row r="33" spans="1:24" x14ac:dyDescent="0.3">
      <c r="A33" s="59" t="s">
        <v>5</v>
      </c>
      <c r="B33" s="60"/>
      <c r="C33" s="60"/>
      <c r="D33" s="62"/>
      <c r="E33" s="70">
        <f>AVERAGE(I73:I79)</f>
        <v>601.10714285714289</v>
      </c>
      <c r="F33" s="67"/>
      <c r="G33" s="321"/>
      <c r="H33" s="372"/>
      <c r="I33" s="322"/>
      <c r="J33" s="128"/>
      <c r="K33" s="129"/>
      <c r="L33" s="102"/>
    </row>
    <row r="34" spans="1:24" x14ac:dyDescent="0.3">
      <c r="A34" s="59" t="s">
        <v>6</v>
      </c>
      <c r="B34" s="60"/>
      <c r="C34" s="60"/>
      <c r="D34" s="62"/>
      <c r="E34" s="70">
        <f>_xlfn.STDEV.S(I73:I79)</f>
        <v>65.415316940883287</v>
      </c>
      <c r="F34" s="67"/>
      <c r="G34" s="328"/>
      <c r="H34" s="329"/>
      <c r="I34" s="329"/>
      <c r="J34" s="98"/>
      <c r="K34" s="97"/>
      <c r="L34" s="97"/>
    </row>
    <row r="35" spans="1:24" x14ac:dyDescent="0.3">
      <c r="A35" s="59" t="s">
        <v>29</v>
      </c>
      <c r="B35" s="60"/>
      <c r="C35" s="60"/>
      <c r="D35" s="62"/>
      <c r="E35" s="71">
        <f>(E34/E33)*100</f>
        <v>10.882472071443953</v>
      </c>
      <c r="F35" s="67"/>
      <c r="G35" s="50"/>
    </row>
    <row r="36" spans="1:24" x14ac:dyDescent="0.3">
      <c r="A36" s="59" t="s">
        <v>7</v>
      </c>
      <c r="B36" s="60"/>
      <c r="C36" s="60"/>
      <c r="D36" s="62"/>
      <c r="E36" s="378" t="str">
        <f>IF(E35&gt;25,"Mediana","Média")</f>
        <v>Média</v>
      </c>
      <c r="F36" s="67"/>
      <c r="G36" s="50"/>
    </row>
    <row r="37" spans="1:24" x14ac:dyDescent="0.3">
      <c r="A37" s="59" t="s">
        <v>8</v>
      </c>
      <c r="B37" s="60"/>
      <c r="C37" s="60"/>
      <c r="D37" s="62"/>
      <c r="E37" s="70">
        <f>MIN(I73:I79)</f>
        <v>483</v>
      </c>
      <c r="F37" s="67"/>
      <c r="G37" s="50"/>
    </row>
    <row r="38" spans="1:24" x14ac:dyDescent="0.3">
      <c r="A38" s="59"/>
      <c r="B38" s="60"/>
      <c r="C38" s="60"/>
      <c r="D38" s="62"/>
      <c r="E38" s="70"/>
      <c r="F38" s="67"/>
      <c r="G38" s="50"/>
    </row>
    <row r="39" spans="1:24" ht="15" thickBot="1" x14ac:dyDescent="0.35">
      <c r="A39" s="59"/>
      <c r="B39" s="60"/>
      <c r="C39" s="60"/>
      <c r="D39" s="62"/>
      <c r="E39" s="70"/>
      <c r="F39" s="67"/>
      <c r="G39" s="50"/>
    </row>
    <row r="40" spans="1:24" ht="15" customHeight="1" x14ac:dyDescent="0.3">
      <c r="A40" s="706" t="s">
        <v>10</v>
      </c>
      <c r="B40" s="656" t="s">
        <v>11</v>
      </c>
      <c r="C40" s="656" t="s">
        <v>12</v>
      </c>
      <c r="D40" s="656" t="s">
        <v>13</v>
      </c>
      <c r="E40" s="656" t="s">
        <v>14</v>
      </c>
      <c r="F40" s="656" t="s">
        <v>15</v>
      </c>
      <c r="G40" s="656" t="s">
        <v>16</v>
      </c>
      <c r="H40" s="700" t="s">
        <v>17</v>
      </c>
      <c r="I40" s="638" t="s">
        <v>18</v>
      </c>
      <c r="J40" s="638" t="s">
        <v>66</v>
      </c>
      <c r="K40" s="702" t="s">
        <v>118</v>
      </c>
      <c r="L40" s="704" t="s">
        <v>117</v>
      </c>
      <c r="M40" s="698" t="s">
        <v>19</v>
      </c>
      <c r="N40" s="815" t="s">
        <v>119</v>
      </c>
      <c r="O40" s="816"/>
      <c r="P40" s="679" t="s">
        <v>20</v>
      </c>
      <c r="Q40" s="680"/>
    </row>
    <row r="41" spans="1:24" s="6" customFormat="1" ht="21" customHeight="1" thickBot="1" x14ac:dyDescent="0.35">
      <c r="A41" s="812"/>
      <c r="B41" s="813"/>
      <c r="C41" s="813"/>
      <c r="D41" s="813"/>
      <c r="E41" s="813"/>
      <c r="F41" s="813"/>
      <c r="G41" s="813"/>
      <c r="H41" s="820"/>
      <c r="I41" s="821"/>
      <c r="J41" s="821"/>
      <c r="K41" s="811"/>
      <c r="L41" s="819"/>
      <c r="M41" s="814"/>
      <c r="N41" s="817"/>
      <c r="O41" s="818"/>
      <c r="P41" s="388" t="s">
        <v>21</v>
      </c>
      <c r="Q41" s="389" t="s">
        <v>22</v>
      </c>
    </row>
    <row r="42" spans="1:24" ht="58.95" customHeight="1" x14ac:dyDescent="0.3">
      <c r="A42" s="665">
        <v>29</v>
      </c>
      <c r="B42" s="822" t="s">
        <v>214</v>
      </c>
      <c r="C42" s="649" t="s">
        <v>12</v>
      </c>
      <c r="D42" s="651">
        <v>6</v>
      </c>
      <c r="E42" s="54" t="s">
        <v>321</v>
      </c>
      <c r="F42" s="33" t="s">
        <v>166</v>
      </c>
      <c r="G42" s="86" t="s">
        <v>322</v>
      </c>
      <c r="H42" s="33" t="s">
        <v>65</v>
      </c>
      <c r="I42" s="446">
        <v>440</v>
      </c>
      <c r="J42" s="688">
        <f>AVERAGE(I42:I50)</f>
        <v>561.7166666666667</v>
      </c>
      <c r="K42" s="629">
        <f>((0.3*J42)+J42)</f>
        <v>730.23166666666668</v>
      </c>
      <c r="L42" s="613">
        <f>70%*J42</f>
        <v>393.20166666666665</v>
      </c>
      <c r="M42" s="176" t="str">
        <f>IF(I42&gt;K$42,"EXCESSIVAMENTE ELEVADO",IF(I42&lt;L$42,"INEXEQUÍVEL","VÁLIDO"))</f>
        <v>VÁLIDO</v>
      </c>
      <c r="N42" s="201"/>
      <c r="O42" s="241"/>
      <c r="P42" s="605">
        <f>TRUNC(AVERAGE(I43:I50),2)</f>
        <v>576.92999999999995</v>
      </c>
      <c r="Q42" s="609">
        <f>P42*D42</f>
        <v>3461.58</v>
      </c>
      <c r="X42" s="52"/>
    </row>
    <row r="43" spans="1:24" ht="52.95" customHeight="1" x14ac:dyDescent="0.3">
      <c r="A43" s="669"/>
      <c r="B43" s="683"/>
      <c r="C43" s="620"/>
      <c r="D43" s="623"/>
      <c r="E43" s="373" t="s">
        <v>326</v>
      </c>
      <c r="F43" s="33" t="s">
        <v>9</v>
      </c>
      <c r="G43" s="90" t="s">
        <v>327</v>
      </c>
      <c r="H43" s="90" t="s">
        <v>65</v>
      </c>
      <c r="I43" s="446">
        <v>475</v>
      </c>
      <c r="J43" s="662"/>
      <c r="K43" s="630"/>
      <c r="L43" s="637"/>
      <c r="M43" s="177" t="str">
        <f>IF(I43&gt;K$42,"EXCESSIVAMENTE ELEVADO",IF(I43&lt;L$42,"INEXEQUÍVEL","VÁLIDO"))</f>
        <v>VÁLIDO</v>
      </c>
      <c r="N43" s="211"/>
      <c r="O43" s="242"/>
      <c r="P43" s="687"/>
      <c r="Q43" s="681"/>
    </row>
    <row r="44" spans="1:24" ht="52.95" customHeight="1" x14ac:dyDescent="0.3">
      <c r="A44" s="669"/>
      <c r="B44" s="683"/>
      <c r="C44" s="620"/>
      <c r="D44" s="623"/>
      <c r="E44" s="54" t="s">
        <v>328</v>
      </c>
      <c r="F44" s="33" t="s">
        <v>9</v>
      </c>
      <c r="G44" s="90" t="s">
        <v>329</v>
      </c>
      <c r="H44" s="84" t="s">
        <v>65</v>
      </c>
      <c r="I44" s="446">
        <v>500</v>
      </c>
      <c r="J44" s="662"/>
      <c r="K44" s="630"/>
      <c r="L44" s="637"/>
      <c r="M44" s="177" t="str">
        <f>IF(I44&gt;K$42,"EXCESSIVAMENTE ELEVADO",IF(I44&lt;L$42,"INEXEQUÍVEL","VÁLIDO"))</f>
        <v>VÁLIDO</v>
      </c>
      <c r="N44" s="211"/>
      <c r="O44" s="242"/>
      <c r="P44" s="687"/>
      <c r="Q44" s="681"/>
    </row>
    <row r="45" spans="1:24" ht="55.2" x14ac:dyDescent="0.3">
      <c r="A45" s="669"/>
      <c r="B45" s="683"/>
      <c r="C45" s="620"/>
      <c r="D45" s="623"/>
      <c r="E45" s="48" t="s">
        <v>317</v>
      </c>
      <c r="F45" s="90" t="s">
        <v>9</v>
      </c>
      <c r="G45" s="469" t="s">
        <v>318</v>
      </c>
      <c r="H45" s="33" t="s">
        <v>65</v>
      </c>
      <c r="I45" s="449">
        <v>535</v>
      </c>
      <c r="J45" s="662"/>
      <c r="K45" s="630"/>
      <c r="L45" s="637"/>
      <c r="M45" s="177" t="str">
        <f>IF(I45&gt;K$42,"EXCESSIVAMENTE ELEVADO",IF(I45&lt;L$42,"INEXEQUÍVEL","VÁLIDO"))</f>
        <v>VÁLIDO</v>
      </c>
      <c r="N45" s="211"/>
      <c r="O45" s="242"/>
      <c r="P45" s="687"/>
      <c r="Q45" s="681"/>
    </row>
    <row r="46" spans="1:24" ht="66.599999999999994" customHeight="1" x14ac:dyDescent="0.3">
      <c r="A46" s="666"/>
      <c r="B46" s="684"/>
      <c r="C46" s="621"/>
      <c r="D46" s="624"/>
      <c r="E46" s="54" t="s">
        <v>324</v>
      </c>
      <c r="F46" s="33" t="s">
        <v>9</v>
      </c>
      <c r="G46" s="86" t="s">
        <v>325</v>
      </c>
      <c r="H46" s="39" t="s">
        <v>65</v>
      </c>
      <c r="I46" s="441">
        <v>582.66</v>
      </c>
      <c r="J46" s="663"/>
      <c r="K46" s="631"/>
      <c r="L46" s="614"/>
      <c r="M46" s="177" t="str">
        <f t="shared" ref="M46:M52" si="0">IF(I46&gt;K$42,"EXCESSIVAMENTE ELEVADO",IF(I46&lt;L$42,"Inexequível","VÁLIDO"))</f>
        <v>VÁLIDO</v>
      </c>
      <c r="N46" s="202"/>
      <c r="O46" s="243"/>
      <c r="P46" s="606"/>
      <c r="Q46" s="610"/>
    </row>
    <row r="47" spans="1:24" ht="47.25" customHeight="1" x14ac:dyDescent="0.3">
      <c r="A47" s="666"/>
      <c r="B47" s="684"/>
      <c r="C47" s="621"/>
      <c r="D47" s="624"/>
      <c r="E47" s="54" t="s">
        <v>314</v>
      </c>
      <c r="F47" s="33" t="s">
        <v>166</v>
      </c>
      <c r="G47" s="86" t="s">
        <v>316</v>
      </c>
      <c r="H47" s="33" t="s">
        <v>65</v>
      </c>
      <c r="I47" s="441">
        <v>598.79</v>
      </c>
      <c r="J47" s="663"/>
      <c r="K47" s="631"/>
      <c r="L47" s="614"/>
      <c r="M47" s="177" t="str">
        <f t="shared" si="0"/>
        <v>VÁLIDO</v>
      </c>
      <c r="N47" s="151"/>
      <c r="O47" s="238"/>
      <c r="P47" s="606"/>
      <c r="Q47" s="610"/>
    </row>
    <row r="48" spans="1:24" ht="57" customHeight="1" x14ac:dyDescent="0.3">
      <c r="A48" s="666"/>
      <c r="B48" s="684"/>
      <c r="C48" s="621"/>
      <c r="D48" s="624"/>
      <c r="E48" s="54" t="s">
        <v>330</v>
      </c>
      <c r="F48" s="33" t="s">
        <v>166</v>
      </c>
      <c r="G48" s="34" t="s">
        <v>331</v>
      </c>
      <c r="H48" s="179" t="s">
        <v>123</v>
      </c>
      <c r="I48" s="441">
        <v>636</v>
      </c>
      <c r="J48" s="663"/>
      <c r="K48" s="631"/>
      <c r="L48" s="614"/>
      <c r="M48" s="177" t="str">
        <f t="shared" si="0"/>
        <v>VÁLIDO</v>
      </c>
      <c r="N48" s="151"/>
      <c r="O48" s="238"/>
      <c r="P48" s="606"/>
      <c r="Q48" s="610"/>
    </row>
    <row r="49" spans="1:17" ht="57" customHeight="1" x14ac:dyDescent="0.3">
      <c r="A49" s="667"/>
      <c r="B49" s="685"/>
      <c r="C49" s="622"/>
      <c r="D49" s="625"/>
      <c r="E49" s="45" t="s">
        <v>334</v>
      </c>
      <c r="F49" s="38" t="s">
        <v>27</v>
      </c>
      <c r="G49" s="41" t="s">
        <v>335</v>
      </c>
      <c r="H49" s="179" t="s">
        <v>123</v>
      </c>
      <c r="I49" s="442">
        <v>639</v>
      </c>
      <c r="J49" s="664"/>
      <c r="K49" s="632"/>
      <c r="L49" s="616"/>
      <c r="M49" s="177" t="str">
        <f t="shared" si="0"/>
        <v>VÁLIDO</v>
      </c>
      <c r="N49" s="148"/>
      <c r="O49" s="239"/>
      <c r="P49" s="607"/>
      <c r="Q49" s="611"/>
    </row>
    <row r="50" spans="1:17" ht="52.2" customHeight="1" thickBot="1" x14ac:dyDescent="0.35">
      <c r="A50" s="668"/>
      <c r="B50" s="823"/>
      <c r="C50" s="650"/>
      <c r="D50" s="652"/>
      <c r="E50" s="132" t="s">
        <v>25</v>
      </c>
      <c r="F50" s="42" t="s">
        <v>26</v>
      </c>
      <c r="G50" s="53" t="s">
        <v>455</v>
      </c>
      <c r="H50" s="383" t="s">
        <v>65</v>
      </c>
      <c r="I50" s="444">
        <v>649</v>
      </c>
      <c r="J50" s="689"/>
      <c r="K50" s="633"/>
      <c r="L50" s="615"/>
      <c r="M50" s="280" t="str">
        <f t="shared" si="0"/>
        <v>VÁLIDO</v>
      </c>
      <c r="N50" s="214"/>
      <c r="O50" s="247"/>
      <c r="P50" s="608"/>
      <c r="Q50" s="612"/>
    </row>
    <row r="51" spans="1:17" ht="55.5" customHeight="1" x14ac:dyDescent="0.3">
      <c r="A51" s="587">
        <v>30</v>
      </c>
      <c r="B51" s="590" t="s">
        <v>215</v>
      </c>
      <c r="C51" s="584" t="s">
        <v>12</v>
      </c>
      <c r="D51" s="585">
        <v>6</v>
      </c>
      <c r="E51" s="48" t="s">
        <v>317</v>
      </c>
      <c r="F51" s="90" t="s">
        <v>9</v>
      </c>
      <c r="G51" s="469" t="s">
        <v>318</v>
      </c>
      <c r="H51" s="90" t="s">
        <v>65</v>
      </c>
      <c r="I51" s="440">
        <v>535</v>
      </c>
      <c r="J51" s="597">
        <f>AVERAGE(I51:I56)</f>
        <v>599.76</v>
      </c>
      <c r="K51" s="694">
        <f>((0.3*J51)+J51)</f>
        <v>779.68799999999999</v>
      </c>
      <c r="L51" s="641">
        <f>0.7*J51</f>
        <v>419.83199999999999</v>
      </c>
      <c r="M51" s="193" t="str">
        <f t="shared" si="0"/>
        <v>VÁLIDO</v>
      </c>
      <c r="N51" s="211"/>
      <c r="O51" s="242"/>
      <c r="P51" s="600">
        <f>TRUNC(AVERAGE(I51:I56),2)</f>
        <v>599.76</v>
      </c>
      <c r="Q51" s="603">
        <f>P51*D51</f>
        <v>3598.56</v>
      </c>
    </row>
    <row r="52" spans="1:17" ht="58.5" customHeight="1" x14ac:dyDescent="0.3">
      <c r="A52" s="587"/>
      <c r="B52" s="590"/>
      <c r="C52" s="584"/>
      <c r="D52" s="585"/>
      <c r="E52" s="373" t="s">
        <v>333</v>
      </c>
      <c r="F52" s="33" t="s">
        <v>9</v>
      </c>
      <c r="G52" s="90" t="s">
        <v>327</v>
      </c>
      <c r="H52" s="90" t="s">
        <v>65</v>
      </c>
      <c r="I52" s="35">
        <v>577.78</v>
      </c>
      <c r="J52" s="597"/>
      <c r="K52" s="694"/>
      <c r="L52" s="641"/>
      <c r="M52" s="177" t="str">
        <f t="shared" si="0"/>
        <v>VÁLIDO</v>
      </c>
      <c r="N52" s="202"/>
      <c r="O52" s="243"/>
      <c r="P52" s="600"/>
      <c r="Q52" s="603"/>
    </row>
    <row r="53" spans="1:17" ht="72.75" customHeight="1" x14ac:dyDescent="0.3">
      <c r="A53" s="587"/>
      <c r="B53" s="590"/>
      <c r="C53" s="584"/>
      <c r="D53" s="585"/>
      <c r="E53" s="40" t="s">
        <v>334</v>
      </c>
      <c r="F53" s="33" t="s">
        <v>27</v>
      </c>
      <c r="G53" s="34" t="s">
        <v>335</v>
      </c>
      <c r="H53" s="179" t="s">
        <v>123</v>
      </c>
      <c r="I53" s="35">
        <v>612.79999999999995</v>
      </c>
      <c r="J53" s="597"/>
      <c r="K53" s="694"/>
      <c r="L53" s="641"/>
      <c r="M53" s="258" t="str">
        <f>IF(I52&gt;K$51,"EXCESSIVAMENTE ELEVADO",IF(I52&lt;L$51,"Inexequível","VÁLIDO"))</f>
        <v>VÁLIDO</v>
      </c>
      <c r="N53" s="151"/>
      <c r="O53" s="238"/>
      <c r="P53" s="600"/>
      <c r="Q53" s="603"/>
    </row>
    <row r="54" spans="1:17" ht="73.8" customHeight="1" x14ac:dyDescent="0.3">
      <c r="A54" s="587"/>
      <c r="B54" s="590"/>
      <c r="C54" s="584"/>
      <c r="D54" s="585"/>
      <c r="E54" s="54" t="s">
        <v>324</v>
      </c>
      <c r="F54" s="33" t="s">
        <v>9</v>
      </c>
      <c r="G54" s="86" t="s">
        <v>323</v>
      </c>
      <c r="H54" s="39" t="s">
        <v>65</v>
      </c>
      <c r="I54" s="35">
        <v>614.98</v>
      </c>
      <c r="J54" s="597"/>
      <c r="K54" s="694"/>
      <c r="L54" s="641"/>
      <c r="M54" s="258" t="str">
        <f>IF(I53&gt;K$51,"EXCESSIVAMENTE ELEVADO",IF(I53&lt;L$51,"Inexequível","VÁLIDO"))</f>
        <v>VÁLIDO</v>
      </c>
      <c r="N54" s="151"/>
      <c r="O54" s="238"/>
      <c r="P54" s="600"/>
      <c r="Q54" s="603"/>
    </row>
    <row r="55" spans="1:17" ht="53.25" customHeight="1" x14ac:dyDescent="0.3">
      <c r="A55" s="587"/>
      <c r="B55" s="590"/>
      <c r="C55" s="584"/>
      <c r="D55" s="585"/>
      <c r="E55" s="373" t="s">
        <v>320</v>
      </c>
      <c r="F55" s="33" t="s">
        <v>24</v>
      </c>
      <c r="G55" s="34" t="s">
        <v>319</v>
      </c>
      <c r="H55" s="33" t="s">
        <v>68</v>
      </c>
      <c r="I55" s="35">
        <v>619</v>
      </c>
      <c r="J55" s="597"/>
      <c r="K55" s="694"/>
      <c r="L55" s="641"/>
      <c r="M55" s="177" t="str">
        <f>IF(I54&gt;K$51,"EXCESSIVAMENTE ELEVADO",IF(I54&lt;L$51,"Inexequível","VÁLIDO"))</f>
        <v>VÁLIDO</v>
      </c>
      <c r="N55" s="151"/>
      <c r="O55" s="238"/>
      <c r="P55" s="600"/>
      <c r="Q55" s="603"/>
    </row>
    <row r="56" spans="1:17" ht="56.4" customHeight="1" x14ac:dyDescent="0.3">
      <c r="A56" s="587"/>
      <c r="B56" s="590"/>
      <c r="C56" s="584"/>
      <c r="D56" s="585"/>
      <c r="E56" s="380" t="s">
        <v>330</v>
      </c>
      <c r="F56" s="38" t="s">
        <v>166</v>
      </c>
      <c r="G56" s="41" t="s">
        <v>331</v>
      </c>
      <c r="H56" s="179" t="s">
        <v>123</v>
      </c>
      <c r="I56" s="367">
        <v>639</v>
      </c>
      <c r="J56" s="597"/>
      <c r="K56" s="694"/>
      <c r="L56" s="641"/>
      <c r="M56" s="177" t="str">
        <f>IF(I55&gt;K$51,"EXCESSIVAMENTE ELEVADO",IF(I55&lt;L$51,"Inexequível","VÁLIDO"))</f>
        <v>VÁLIDO</v>
      </c>
      <c r="N56" s="151"/>
      <c r="O56" s="238"/>
      <c r="P56" s="600"/>
      <c r="Q56" s="603"/>
    </row>
    <row r="57" spans="1:17" ht="51.75" customHeight="1" thickBot="1" x14ac:dyDescent="0.35">
      <c r="A57" s="588"/>
      <c r="B57" s="591"/>
      <c r="C57" s="593"/>
      <c r="D57" s="595"/>
      <c r="E57" s="132" t="s">
        <v>25</v>
      </c>
      <c r="F57" s="42" t="s">
        <v>26</v>
      </c>
      <c r="G57" s="53" t="s">
        <v>455</v>
      </c>
      <c r="H57" s="383" t="s">
        <v>65</v>
      </c>
      <c r="I57" s="444">
        <v>649</v>
      </c>
      <c r="J57" s="598"/>
      <c r="K57" s="695"/>
      <c r="L57" s="642"/>
      <c r="M57" s="178" t="str">
        <f>IF(I56&gt;K$51,"EXCESSIVAMENTE ELEVADO",IF(I56&lt;L$51,"Inexequível","VÁLIDO"))</f>
        <v>VÁLIDO</v>
      </c>
      <c r="N57" s="214"/>
      <c r="O57" s="247"/>
      <c r="P57" s="601"/>
      <c r="Q57" s="604"/>
    </row>
    <row r="58" spans="1:17" ht="55.2" customHeight="1" x14ac:dyDescent="0.3">
      <c r="A58" s="665">
        <v>31</v>
      </c>
      <c r="B58" s="647" t="s">
        <v>217</v>
      </c>
      <c r="C58" s="649" t="s">
        <v>12</v>
      </c>
      <c r="D58" s="651">
        <v>6</v>
      </c>
      <c r="E58" s="373" t="s">
        <v>326</v>
      </c>
      <c r="F58" s="33" t="s">
        <v>9</v>
      </c>
      <c r="G58" s="90" t="s">
        <v>327</v>
      </c>
      <c r="H58" s="90" t="s">
        <v>65</v>
      </c>
      <c r="I58" s="449">
        <v>410</v>
      </c>
      <c r="J58" s="824">
        <f>AVERAGE(I58:I64)</f>
        <v>588.91571428571422</v>
      </c>
      <c r="K58" s="634">
        <f>((0.3*J58)+J58)</f>
        <v>765.59042857142845</v>
      </c>
      <c r="L58" s="629">
        <f>0.7*J58</f>
        <v>412.24099999999993</v>
      </c>
      <c r="M58" s="193" t="str">
        <f>IF(I58&gt;K$58,"EXCESSIVAMENTE ELEVADO",IF(I58&lt;L$58,"Inexequível","VÁLIDO"))</f>
        <v>Inexequível</v>
      </c>
      <c r="N58" s="202">
        <f>I58/$J$58</f>
        <v>0.69619470164297104</v>
      </c>
      <c r="O58" s="206" t="s">
        <v>638</v>
      </c>
      <c r="P58" s="599">
        <f>TRUNC(AVERAGE(I59:I64),2)</f>
        <v>618.73</v>
      </c>
      <c r="Q58" s="602">
        <f>P58*D58</f>
        <v>3712.38</v>
      </c>
    </row>
    <row r="59" spans="1:17" ht="60.75" customHeight="1" x14ac:dyDescent="0.3">
      <c r="A59" s="669"/>
      <c r="B59" s="617"/>
      <c r="C59" s="620"/>
      <c r="D59" s="623"/>
      <c r="E59" s="379" t="s">
        <v>317</v>
      </c>
      <c r="F59" s="33" t="s">
        <v>9</v>
      </c>
      <c r="G59" s="86" t="s">
        <v>318</v>
      </c>
      <c r="H59" s="33" t="s">
        <v>65</v>
      </c>
      <c r="I59" s="446">
        <v>535</v>
      </c>
      <c r="J59" s="825"/>
      <c r="K59" s="635"/>
      <c r="L59" s="630"/>
      <c r="M59" s="193" t="str">
        <f t="shared" ref="M59:M63" si="1">IF(I59&gt;K$58,"EXCESSIVAMENTE ELEVADO",IF(I59&lt;L$58,"Inexequível","VÁLIDO"))</f>
        <v>VÁLIDO</v>
      </c>
      <c r="N59" s="211"/>
      <c r="O59" s="242"/>
      <c r="P59" s="600"/>
      <c r="Q59" s="603"/>
    </row>
    <row r="60" spans="1:17" ht="51" customHeight="1" x14ac:dyDescent="0.3">
      <c r="A60" s="669"/>
      <c r="B60" s="617"/>
      <c r="C60" s="620"/>
      <c r="D60" s="623"/>
      <c r="E60" s="373" t="s">
        <v>320</v>
      </c>
      <c r="F60" s="33" t="s">
        <v>24</v>
      </c>
      <c r="G60" s="34" t="s">
        <v>319</v>
      </c>
      <c r="H60" s="33" t="s">
        <v>68</v>
      </c>
      <c r="I60" s="446">
        <v>618</v>
      </c>
      <c r="J60" s="825"/>
      <c r="K60" s="635"/>
      <c r="L60" s="630"/>
      <c r="M60" s="193" t="str">
        <f t="shared" si="1"/>
        <v>VÁLIDO</v>
      </c>
      <c r="N60" s="202"/>
      <c r="O60" s="243"/>
      <c r="P60" s="600"/>
      <c r="Q60" s="603"/>
    </row>
    <row r="61" spans="1:17" ht="58.5" customHeight="1" x14ac:dyDescent="0.3">
      <c r="A61" s="666"/>
      <c r="B61" s="618"/>
      <c r="C61" s="621"/>
      <c r="D61" s="624"/>
      <c r="E61" s="54" t="s">
        <v>324</v>
      </c>
      <c r="F61" s="33" t="s">
        <v>9</v>
      </c>
      <c r="G61" s="86" t="s">
        <v>323</v>
      </c>
      <c r="H61" s="39" t="s">
        <v>65</v>
      </c>
      <c r="I61" s="450">
        <v>632.44000000000005</v>
      </c>
      <c r="J61" s="826"/>
      <c r="K61" s="635"/>
      <c r="L61" s="631"/>
      <c r="M61" s="177" t="str">
        <f t="shared" si="1"/>
        <v>VÁLIDO</v>
      </c>
      <c r="N61" s="151"/>
      <c r="O61" s="238"/>
      <c r="P61" s="600"/>
      <c r="Q61" s="603"/>
    </row>
    <row r="62" spans="1:17" ht="58.5" customHeight="1" x14ac:dyDescent="0.3">
      <c r="A62" s="667"/>
      <c r="B62" s="619"/>
      <c r="C62" s="622"/>
      <c r="D62" s="625"/>
      <c r="E62" s="40" t="s">
        <v>334</v>
      </c>
      <c r="F62" s="33" t="s">
        <v>27</v>
      </c>
      <c r="G62" s="34" t="s">
        <v>335</v>
      </c>
      <c r="H62" s="179" t="s">
        <v>123</v>
      </c>
      <c r="I62" s="35">
        <v>638.97</v>
      </c>
      <c r="J62" s="827"/>
      <c r="K62" s="635"/>
      <c r="L62" s="632"/>
      <c r="M62" s="177" t="str">
        <f t="shared" si="1"/>
        <v>VÁLIDO</v>
      </c>
      <c r="N62" s="148"/>
      <c r="O62" s="239"/>
      <c r="P62" s="600"/>
      <c r="Q62" s="603"/>
    </row>
    <row r="63" spans="1:17" ht="58.5" customHeight="1" x14ac:dyDescent="0.3">
      <c r="A63" s="667"/>
      <c r="B63" s="619"/>
      <c r="C63" s="622"/>
      <c r="D63" s="625"/>
      <c r="E63" s="380" t="s">
        <v>330</v>
      </c>
      <c r="F63" s="38" t="s">
        <v>166</v>
      </c>
      <c r="G63" s="41" t="s">
        <v>331</v>
      </c>
      <c r="H63" s="179" t="s">
        <v>123</v>
      </c>
      <c r="I63" s="450">
        <v>639</v>
      </c>
      <c r="J63" s="827"/>
      <c r="K63" s="635"/>
      <c r="L63" s="632"/>
      <c r="M63" s="177" t="str">
        <f t="shared" si="1"/>
        <v>VÁLIDO</v>
      </c>
      <c r="N63" s="148"/>
      <c r="O63" s="239"/>
      <c r="P63" s="600"/>
      <c r="Q63" s="603"/>
    </row>
    <row r="64" spans="1:17" ht="51.6" customHeight="1" thickBot="1" x14ac:dyDescent="0.35">
      <c r="A64" s="667"/>
      <c r="B64" s="619"/>
      <c r="C64" s="622"/>
      <c r="D64" s="625"/>
      <c r="E64" s="132" t="s">
        <v>25</v>
      </c>
      <c r="F64" s="42" t="s">
        <v>26</v>
      </c>
      <c r="G64" s="53" t="s">
        <v>455</v>
      </c>
      <c r="H64" s="383" t="s">
        <v>65</v>
      </c>
      <c r="I64" s="447">
        <v>649</v>
      </c>
      <c r="J64" s="827"/>
      <c r="K64" s="635"/>
      <c r="L64" s="632"/>
      <c r="M64" s="177" t="str">
        <f>IF(I64&gt;K$58,"EXCESSIVAMENTE ELEVADO",IF(I64&lt;L$58,"Inexequível","VÁLIDO"))</f>
        <v>VÁLIDO</v>
      </c>
      <c r="N64" s="148"/>
      <c r="O64" s="239"/>
      <c r="P64" s="600"/>
      <c r="Q64" s="603"/>
    </row>
    <row r="65" spans="1:17" ht="55.2" x14ac:dyDescent="0.3">
      <c r="A65" s="670">
        <v>32</v>
      </c>
      <c r="B65" s="829" t="s">
        <v>216</v>
      </c>
      <c r="C65" s="592" t="s">
        <v>12</v>
      </c>
      <c r="D65" s="651">
        <v>6</v>
      </c>
      <c r="E65" s="374" t="s">
        <v>326</v>
      </c>
      <c r="F65" s="85" t="s">
        <v>9</v>
      </c>
      <c r="G65" s="85" t="s">
        <v>327</v>
      </c>
      <c r="H65" s="85" t="s">
        <v>65</v>
      </c>
      <c r="I65" s="443">
        <v>410</v>
      </c>
      <c r="J65" s="824">
        <f>AVERAGE(I65:I72)</f>
        <v>577.30500000000006</v>
      </c>
      <c r="K65" s="629">
        <f>((0.3*J65)+J65)</f>
        <v>750.49650000000008</v>
      </c>
      <c r="L65" s="613">
        <f>0.7*J65</f>
        <v>404.11350000000004</v>
      </c>
      <c r="M65" s="182" t="str">
        <f>IF(I65&gt;K$65,"EXCESSIVAMENTE ELEVADO",IF(I65&lt;L$65,"Inexequível","VÁLIDO"))</f>
        <v>VÁLIDO</v>
      </c>
      <c r="N65" s="209"/>
      <c r="O65" s="216"/>
      <c r="P65" s="605">
        <f>TRUNC(AVERAGE(I65:I72),2)</f>
        <v>577.29999999999995</v>
      </c>
      <c r="Q65" s="609">
        <f>P65*D65</f>
        <v>3463.7999999999997</v>
      </c>
    </row>
    <row r="66" spans="1:17" ht="57.75" customHeight="1" x14ac:dyDescent="0.3">
      <c r="A66" s="672"/>
      <c r="B66" s="830"/>
      <c r="C66" s="584"/>
      <c r="D66" s="624"/>
      <c r="E66" s="54" t="s">
        <v>315</v>
      </c>
      <c r="F66" s="33" t="s">
        <v>166</v>
      </c>
      <c r="G66" s="86" t="s">
        <v>316</v>
      </c>
      <c r="H66" s="33" t="s">
        <v>65</v>
      </c>
      <c r="I66" s="441">
        <v>490.01</v>
      </c>
      <c r="J66" s="826"/>
      <c r="K66" s="631"/>
      <c r="L66" s="614"/>
      <c r="M66" s="177" t="str">
        <f>IF(I66&gt;K$65,"EXCESSIVAMENTE ELEVADO",IF(I66&lt;L$65,"Inexequível","VÁLIDO"))</f>
        <v>VÁLIDO</v>
      </c>
      <c r="N66" s="202"/>
      <c r="O66" s="206"/>
      <c r="P66" s="606"/>
      <c r="Q66" s="610"/>
    </row>
    <row r="67" spans="1:17" ht="57.75" customHeight="1" x14ac:dyDescent="0.3">
      <c r="A67" s="672"/>
      <c r="B67" s="830"/>
      <c r="C67" s="584"/>
      <c r="D67" s="624"/>
      <c r="E67" s="54" t="s">
        <v>317</v>
      </c>
      <c r="F67" s="33" t="s">
        <v>9</v>
      </c>
      <c r="G67" s="86" t="s">
        <v>318</v>
      </c>
      <c r="H67" s="33"/>
      <c r="I67" s="441">
        <v>535</v>
      </c>
      <c r="J67" s="826"/>
      <c r="K67" s="631"/>
      <c r="L67" s="614"/>
      <c r="M67" s="177" t="str">
        <f>IF(I66&gt;K$65,"EXCESSIVAMENTE ELEVADO",IF(I66&lt;L$65,"Inexequível","VÁLIDO"))</f>
        <v>VÁLIDO</v>
      </c>
      <c r="N67" s="202"/>
      <c r="O67" s="206"/>
      <c r="P67" s="606"/>
      <c r="Q67" s="610"/>
    </row>
    <row r="68" spans="1:17" ht="49.5" customHeight="1" x14ac:dyDescent="0.3">
      <c r="A68" s="672"/>
      <c r="B68" s="830"/>
      <c r="C68" s="584"/>
      <c r="D68" s="624"/>
      <c r="E68" s="373" t="s">
        <v>320</v>
      </c>
      <c r="F68" s="33" t="s">
        <v>24</v>
      </c>
      <c r="G68" s="34" t="s">
        <v>319</v>
      </c>
      <c r="H68" s="33" t="s">
        <v>68</v>
      </c>
      <c r="I68" s="441">
        <v>619</v>
      </c>
      <c r="J68" s="826"/>
      <c r="K68" s="631"/>
      <c r="L68" s="614"/>
      <c r="M68" s="177" t="str">
        <f>IF(I68&gt;K$65,"EXCESSIVAMENTE ELEVADO",IF(I68&lt;L$65,"Inexequível","VÁLIDO"))</f>
        <v>VÁLIDO</v>
      </c>
      <c r="N68" s="151"/>
      <c r="O68" s="240"/>
      <c r="P68" s="606"/>
      <c r="Q68" s="610"/>
    </row>
    <row r="69" spans="1:17" ht="57.6" customHeight="1" x14ac:dyDescent="0.3">
      <c r="A69" s="672"/>
      <c r="B69" s="830"/>
      <c r="C69" s="584"/>
      <c r="D69" s="624"/>
      <c r="E69" s="54" t="s">
        <v>324</v>
      </c>
      <c r="F69" s="33" t="s">
        <v>9</v>
      </c>
      <c r="G69" s="86" t="s">
        <v>325</v>
      </c>
      <c r="H69" s="39" t="s">
        <v>65</v>
      </c>
      <c r="I69" s="441">
        <v>632.42999999999995</v>
      </c>
      <c r="J69" s="826"/>
      <c r="K69" s="631"/>
      <c r="L69" s="614"/>
      <c r="M69" s="177" t="str">
        <f>IF(I69&gt;K$65,"EXCESSIVAMENTE ELEVADO",IF(I69&lt;L$65,"Inexequível","VÁLIDO"))</f>
        <v>VÁLIDO</v>
      </c>
      <c r="N69" s="151"/>
      <c r="O69" s="240"/>
      <c r="P69" s="606"/>
      <c r="Q69" s="610"/>
    </row>
    <row r="70" spans="1:17" ht="57.6" customHeight="1" x14ac:dyDescent="0.3">
      <c r="A70" s="672"/>
      <c r="B70" s="830"/>
      <c r="C70" s="584"/>
      <c r="D70" s="624"/>
      <c r="E70" s="54" t="s">
        <v>330</v>
      </c>
      <c r="F70" s="33" t="s">
        <v>166</v>
      </c>
      <c r="G70" s="34" t="s">
        <v>331</v>
      </c>
      <c r="H70" s="179" t="s">
        <v>123</v>
      </c>
      <c r="I70" s="441">
        <v>639</v>
      </c>
      <c r="J70" s="826"/>
      <c r="K70" s="631"/>
      <c r="L70" s="614"/>
      <c r="M70" s="177" t="str">
        <f>IF(I70&gt;K$65,"EXCESSIVAMENTE ELEVADO",IF(I70&lt;L$65,"Inexequível","VÁLIDO"))</f>
        <v>VÁLIDO</v>
      </c>
      <c r="N70" s="151"/>
      <c r="O70" s="240"/>
      <c r="P70" s="606"/>
      <c r="Q70" s="610"/>
    </row>
    <row r="71" spans="1:17" ht="58.5" customHeight="1" x14ac:dyDescent="0.3">
      <c r="A71" s="672"/>
      <c r="B71" s="830"/>
      <c r="C71" s="584"/>
      <c r="D71" s="624"/>
      <c r="E71" s="40" t="s">
        <v>334</v>
      </c>
      <c r="F71" s="33" t="s">
        <v>27</v>
      </c>
      <c r="G71" s="34" t="s">
        <v>335</v>
      </c>
      <c r="H71" s="179" t="s">
        <v>123</v>
      </c>
      <c r="I71" s="441">
        <v>644</v>
      </c>
      <c r="J71" s="826"/>
      <c r="K71" s="631"/>
      <c r="L71" s="614"/>
      <c r="M71" s="177" t="str">
        <f>IF(I71&gt;K$65,"EXCESSIVAMENTE ELEVADO",IF(I71&lt;L$65,"Inexequível","VÁLIDO"))</f>
        <v>VÁLIDO</v>
      </c>
      <c r="N71" s="151"/>
      <c r="O71" s="240"/>
      <c r="P71" s="606"/>
      <c r="Q71" s="610"/>
    </row>
    <row r="72" spans="1:17" ht="44.4" customHeight="1" thickBot="1" x14ac:dyDescent="0.35">
      <c r="A72" s="673"/>
      <c r="B72" s="831"/>
      <c r="C72" s="593"/>
      <c r="D72" s="652"/>
      <c r="E72" s="382" t="s">
        <v>25</v>
      </c>
      <c r="F72" s="383" t="s">
        <v>26</v>
      </c>
      <c r="G72" s="384" t="s">
        <v>455</v>
      </c>
      <c r="H72" s="383" t="s">
        <v>65</v>
      </c>
      <c r="I72" s="439">
        <v>649</v>
      </c>
      <c r="J72" s="828"/>
      <c r="K72" s="633"/>
      <c r="L72" s="615"/>
      <c r="M72" s="178" t="str">
        <f>IF(I72&gt;K$65,"EXCESSIVAMENTE ELEVADO",IF(I72&lt;L$65,"Inexequível","VÁLIDO"))</f>
        <v>VÁLIDO</v>
      </c>
      <c r="N72" s="152"/>
      <c r="O72" s="387"/>
      <c r="P72" s="608"/>
      <c r="Q72" s="612"/>
    </row>
    <row r="73" spans="1:17" ht="73.5" customHeight="1" x14ac:dyDescent="0.3">
      <c r="A73" s="671">
        <v>33</v>
      </c>
      <c r="B73" s="833" t="s">
        <v>218</v>
      </c>
      <c r="C73" s="620" t="s">
        <v>12</v>
      </c>
      <c r="D73" s="623">
        <v>6</v>
      </c>
      <c r="E73" s="385" t="s">
        <v>326</v>
      </c>
      <c r="F73" s="90" t="s">
        <v>9</v>
      </c>
      <c r="G73" s="90" t="s">
        <v>327</v>
      </c>
      <c r="H73" s="90" t="s">
        <v>65</v>
      </c>
      <c r="I73" s="365">
        <v>483</v>
      </c>
      <c r="J73" s="662">
        <f>AVERAGE(I73:I79)</f>
        <v>601.10714285714289</v>
      </c>
      <c r="K73" s="630">
        <f>((0.3*J73)+J73)</f>
        <v>781.43928571428569</v>
      </c>
      <c r="L73" s="637">
        <f>0.7*J73</f>
        <v>420.77499999999998</v>
      </c>
      <c r="M73" s="193" t="str">
        <f t="shared" ref="M73:M79" si="2">IF(I73&gt;K$73,"EXCESSIVAMENTE ELEVADO",IF(I73&lt;L$73,"Inexequível","VÁLIDO"))</f>
        <v>VÁLIDO</v>
      </c>
      <c r="N73" s="211"/>
      <c r="O73" s="377"/>
      <c r="P73" s="687">
        <f>TRUNC(AVERAGE(I73:I79),2)</f>
        <v>601.1</v>
      </c>
      <c r="Q73" s="681">
        <f>P73*D73</f>
        <v>3606.6000000000004</v>
      </c>
    </row>
    <row r="74" spans="1:17" ht="56.25" customHeight="1" x14ac:dyDescent="0.3">
      <c r="A74" s="672"/>
      <c r="B74" s="830"/>
      <c r="C74" s="621"/>
      <c r="D74" s="624"/>
      <c r="E74" s="54" t="s">
        <v>317</v>
      </c>
      <c r="F74" s="33" t="s">
        <v>9</v>
      </c>
      <c r="G74" s="86" t="s">
        <v>318</v>
      </c>
      <c r="H74" s="33"/>
      <c r="I74" s="366">
        <v>535</v>
      </c>
      <c r="J74" s="663"/>
      <c r="K74" s="631"/>
      <c r="L74" s="614"/>
      <c r="M74" s="177" t="str">
        <f t="shared" si="2"/>
        <v>VÁLIDO</v>
      </c>
      <c r="N74" s="202"/>
      <c r="O74" s="206"/>
      <c r="P74" s="606"/>
      <c r="Q74" s="610"/>
    </row>
    <row r="75" spans="1:17" ht="49.5" customHeight="1" x14ac:dyDescent="0.3">
      <c r="A75" s="672"/>
      <c r="B75" s="830"/>
      <c r="C75" s="621"/>
      <c r="D75" s="624"/>
      <c r="E75" s="373" t="s">
        <v>320</v>
      </c>
      <c r="F75" s="33" t="s">
        <v>24</v>
      </c>
      <c r="G75" s="34" t="s">
        <v>319</v>
      </c>
      <c r="H75" s="33" t="s">
        <v>68</v>
      </c>
      <c r="I75" s="366">
        <v>618</v>
      </c>
      <c r="J75" s="663"/>
      <c r="K75" s="631"/>
      <c r="L75" s="614"/>
      <c r="M75" s="177" t="str">
        <f t="shared" si="2"/>
        <v>VÁLIDO</v>
      </c>
      <c r="N75" s="202"/>
      <c r="O75" s="206"/>
      <c r="P75" s="606"/>
      <c r="Q75" s="610"/>
    </row>
    <row r="76" spans="1:17" ht="56.25" customHeight="1" x14ac:dyDescent="0.3">
      <c r="A76" s="672"/>
      <c r="B76" s="830"/>
      <c r="C76" s="621"/>
      <c r="D76" s="624"/>
      <c r="E76" s="54" t="s">
        <v>324</v>
      </c>
      <c r="F76" s="33" t="s">
        <v>9</v>
      </c>
      <c r="G76" s="34" t="s">
        <v>323</v>
      </c>
      <c r="H76" s="33" t="s">
        <v>65</v>
      </c>
      <c r="I76" s="366">
        <v>644.75</v>
      </c>
      <c r="J76" s="663"/>
      <c r="K76" s="631"/>
      <c r="L76" s="614"/>
      <c r="M76" s="177" t="str">
        <f t="shared" si="2"/>
        <v>VÁLIDO</v>
      </c>
      <c r="N76" s="151"/>
      <c r="O76" s="240"/>
      <c r="P76" s="606"/>
      <c r="Q76" s="610"/>
    </row>
    <row r="77" spans="1:17" ht="48.75" customHeight="1" x14ac:dyDescent="0.3">
      <c r="A77" s="672"/>
      <c r="B77" s="830"/>
      <c r="C77" s="621"/>
      <c r="D77" s="624"/>
      <c r="E77" s="380" t="s">
        <v>330</v>
      </c>
      <c r="F77" s="38" t="s">
        <v>166</v>
      </c>
      <c r="G77" s="41" t="s">
        <v>331</v>
      </c>
      <c r="H77" s="200" t="s">
        <v>123</v>
      </c>
      <c r="I77" s="442">
        <v>639</v>
      </c>
      <c r="J77" s="663"/>
      <c r="K77" s="631"/>
      <c r="L77" s="614"/>
      <c r="M77" s="177" t="str">
        <f t="shared" si="2"/>
        <v>VÁLIDO</v>
      </c>
      <c r="N77" s="151"/>
      <c r="O77" s="240"/>
      <c r="P77" s="606"/>
      <c r="Q77" s="610"/>
    </row>
    <row r="78" spans="1:17" ht="57.6" customHeight="1" x14ac:dyDescent="0.3">
      <c r="A78" s="673"/>
      <c r="B78" s="834"/>
      <c r="C78" s="622"/>
      <c r="D78" s="625"/>
      <c r="E78" s="40" t="s">
        <v>334</v>
      </c>
      <c r="F78" s="33" t="s">
        <v>27</v>
      </c>
      <c r="G78" s="34" t="s">
        <v>335</v>
      </c>
      <c r="H78" s="179" t="s">
        <v>123</v>
      </c>
      <c r="I78" s="441">
        <v>639</v>
      </c>
      <c r="J78" s="664"/>
      <c r="K78" s="632"/>
      <c r="L78" s="616"/>
      <c r="M78" s="177" t="str">
        <f t="shared" si="2"/>
        <v>VÁLIDO</v>
      </c>
      <c r="N78" s="148"/>
      <c r="O78" s="470"/>
      <c r="P78" s="607"/>
      <c r="Q78" s="611"/>
    </row>
    <row r="79" spans="1:17" ht="51" customHeight="1" thickBot="1" x14ac:dyDescent="0.35">
      <c r="A79" s="674"/>
      <c r="B79" s="831"/>
      <c r="C79" s="650"/>
      <c r="D79" s="652"/>
      <c r="E79" s="382" t="s">
        <v>25</v>
      </c>
      <c r="F79" s="383" t="s">
        <v>26</v>
      </c>
      <c r="G79" s="384" t="s">
        <v>455</v>
      </c>
      <c r="H79" s="383" t="s">
        <v>65</v>
      </c>
      <c r="I79" s="439">
        <v>649</v>
      </c>
      <c r="J79" s="689"/>
      <c r="K79" s="633"/>
      <c r="L79" s="615"/>
      <c r="M79" s="237" t="str">
        <f t="shared" si="2"/>
        <v>VÁLIDO</v>
      </c>
      <c r="N79" s="214"/>
      <c r="O79" s="220"/>
      <c r="P79" s="608"/>
      <c r="Q79" s="612"/>
    </row>
    <row r="80" spans="1:17" ht="49.5" customHeight="1" x14ac:dyDescent="0.3">
      <c r="A80" s="665">
        <v>34</v>
      </c>
      <c r="B80" s="647" t="s">
        <v>219</v>
      </c>
      <c r="C80" s="649" t="s">
        <v>12</v>
      </c>
      <c r="D80" s="651">
        <v>6</v>
      </c>
      <c r="E80" s="183" t="s">
        <v>315</v>
      </c>
      <c r="F80" s="85" t="s">
        <v>166</v>
      </c>
      <c r="G80" s="529" t="s">
        <v>316</v>
      </c>
      <c r="H80" s="85" t="s">
        <v>65</v>
      </c>
      <c r="I80" s="445">
        <v>483.12</v>
      </c>
      <c r="J80" s="596">
        <f>AVERAGE(I80:I85)</f>
        <v>595.54666666666662</v>
      </c>
      <c r="K80" s="451">
        <f>(30%*J80)+J80</f>
        <v>774.21066666666661</v>
      </c>
      <c r="L80" s="457">
        <f>70%*J80</f>
        <v>416.88266666666664</v>
      </c>
      <c r="M80" s="182" t="str">
        <f t="shared" ref="M80:M85" si="3">IF(I80&gt;K$80,"EXCESSIVAMENTE ELEVADO",IF(I80&lt;L$80,"Inexequível","VÁLIDO"))</f>
        <v>VÁLIDO</v>
      </c>
      <c r="N80" s="201"/>
      <c r="O80" s="360"/>
      <c r="P80" s="599">
        <f>TRUNC(AVERAGE(I80:I85),2)</f>
        <v>595.54</v>
      </c>
      <c r="Q80" s="602">
        <f>P80*D80</f>
        <v>3573.24</v>
      </c>
    </row>
    <row r="81" spans="1:17" ht="46.2" customHeight="1" x14ac:dyDescent="0.3">
      <c r="A81" s="666"/>
      <c r="B81" s="618"/>
      <c r="C81" s="621"/>
      <c r="D81" s="624"/>
      <c r="E81" s="54" t="s">
        <v>317</v>
      </c>
      <c r="F81" s="33" t="s">
        <v>9</v>
      </c>
      <c r="G81" s="375" t="s">
        <v>318</v>
      </c>
      <c r="H81" s="33"/>
      <c r="I81" s="446">
        <v>535</v>
      </c>
      <c r="J81" s="597"/>
      <c r="K81" s="452"/>
      <c r="L81" s="458"/>
      <c r="M81" s="177" t="str">
        <f t="shared" si="3"/>
        <v>VÁLIDO</v>
      </c>
      <c r="N81" s="202"/>
      <c r="O81" s="243"/>
      <c r="P81" s="600"/>
      <c r="Q81" s="603"/>
    </row>
    <row r="82" spans="1:17" ht="58.2" customHeight="1" x14ac:dyDescent="0.3">
      <c r="A82" s="666"/>
      <c r="B82" s="618"/>
      <c r="C82" s="621"/>
      <c r="D82" s="624"/>
      <c r="E82" s="380" t="s">
        <v>324</v>
      </c>
      <c r="F82" s="38" t="s">
        <v>9</v>
      </c>
      <c r="G82" s="386" t="s">
        <v>325</v>
      </c>
      <c r="H82" s="39" t="s">
        <v>65</v>
      </c>
      <c r="I82" s="450">
        <v>632.46</v>
      </c>
      <c r="J82" s="597"/>
      <c r="K82" s="452"/>
      <c r="L82" s="458"/>
      <c r="M82" s="177" t="str">
        <f t="shared" si="3"/>
        <v>VÁLIDO</v>
      </c>
      <c r="N82" s="202"/>
      <c r="O82" s="246"/>
      <c r="P82" s="600"/>
      <c r="Q82" s="603"/>
    </row>
    <row r="83" spans="1:17" ht="139.19999999999999" customHeight="1" x14ac:dyDescent="0.3">
      <c r="A83" s="667"/>
      <c r="B83" s="619"/>
      <c r="C83" s="622"/>
      <c r="D83" s="625"/>
      <c r="E83" s="40" t="s">
        <v>336</v>
      </c>
      <c r="F83" s="33" t="s">
        <v>27</v>
      </c>
      <c r="G83" s="34" t="s">
        <v>337</v>
      </c>
      <c r="H83" s="179" t="s">
        <v>123</v>
      </c>
      <c r="I83" s="446">
        <v>634.70000000000005</v>
      </c>
      <c r="J83" s="597"/>
      <c r="K83" s="453"/>
      <c r="L83" s="459"/>
      <c r="M83" s="258" t="str">
        <f t="shared" si="3"/>
        <v>VÁLIDO</v>
      </c>
      <c r="N83" s="202"/>
      <c r="O83" s="246"/>
      <c r="P83" s="600"/>
      <c r="Q83" s="603"/>
    </row>
    <row r="84" spans="1:17" ht="54.6" customHeight="1" x14ac:dyDescent="0.3">
      <c r="A84" s="667"/>
      <c r="B84" s="619"/>
      <c r="C84" s="622"/>
      <c r="D84" s="625"/>
      <c r="E84" s="48" t="s">
        <v>330</v>
      </c>
      <c r="F84" s="90" t="s">
        <v>166</v>
      </c>
      <c r="G84" s="57" t="s">
        <v>331</v>
      </c>
      <c r="H84" s="381" t="s">
        <v>123</v>
      </c>
      <c r="I84" s="449">
        <v>639</v>
      </c>
      <c r="J84" s="597"/>
      <c r="K84" s="453"/>
      <c r="L84" s="459"/>
      <c r="M84" s="177" t="str">
        <f t="shared" si="3"/>
        <v>VÁLIDO</v>
      </c>
      <c r="N84" s="202"/>
      <c r="O84" s="246"/>
      <c r="P84" s="600"/>
      <c r="Q84" s="603"/>
    </row>
    <row r="85" spans="1:17" ht="51.6" customHeight="1" thickBot="1" x14ac:dyDescent="0.35">
      <c r="A85" s="668"/>
      <c r="B85" s="648"/>
      <c r="C85" s="650"/>
      <c r="D85" s="652"/>
      <c r="E85" s="382" t="s">
        <v>25</v>
      </c>
      <c r="F85" s="383" t="s">
        <v>26</v>
      </c>
      <c r="G85" s="384" t="s">
        <v>455</v>
      </c>
      <c r="H85" s="383" t="s">
        <v>65</v>
      </c>
      <c r="I85" s="461">
        <v>649</v>
      </c>
      <c r="J85" s="598"/>
      <c r="K85" s="455"/>
      <c r="L85" s="460"/>
      <c r="M85" s="178" t="str">
        <f t="shared" si="3"/>
        <v>VÁLIDO</v>
      </c>
      <c r="N85" s="248"/>
      <c r="O85" s="249"/>
      <c r="P85" s="601"/>
      <c r="Q85" s="604"/>
    </row>
    <row r="86" spans="1:17" s="20" customFormat="1" ht="21.75" customHeight="1" thickBot="1" x14ac:dyDescent="0.35">
      <c r="A86" s="832" t="s">
        <v>28</v>
      </c>
      <c r="B86" s="655"/>
      <c r="C86" s="655"/>
      <c r="D86" s="655"/>
      <c r="E86" s="655"/>
      <c r="F86" s="655"/>
      <c r="G86" s="655"/>
      <c r="H86" s="655"/>
      <c r="I86" s="655"/>
      <c r="J86" s="655"/>
      <c r="K86" s="655"/>
      <c r="L86" s="655"/>
      <c r="M86" s="655"/>
      <c r="N86" s="655"/>
      <c r="O86" s="655"/>
      <c r="P86" s="655"/>
      <c r="Q86" s="44">
        <f>SUM(Q42:Q85)</f>
        <v>21416.159999999996</v>
      </c>
    </row>
    <row r="87" spans="1:17" x14ac:dyDescent="0.3">
      <c r="Q87" s="25"/>
    </row>
    <row r="88" spans="1:17" x14ac:dyDescent="0.3">
      <c r="Q88" s="25"/>
    </row>
    <row r="89" spans="1:17" x14ac:dyDescent="0.3">
      <c r="Q89" s="25"/>
    </row>
    <row r="90" spans="1:17" x14ac:dyDescent="0.3">
      <c r="Q90" s="25"/>
    </row>
    <row r="91" spans="1:17" x14ac:dyDescent="0.3">
      <c r="Q91" s="25"/>
    </row>
    <row r="92" spans="1:17" x14ac:dyDescent="0.3">
      <c r="Q92" s="25"/>
    </row>
    <row r="93" spans="1:17" x14ac:dyDescent="0.3">
      <c r="Q93" s="25"/>
    </row>
    <row r="94" spans="1:17" x14ac:dyDescent="0.3">
      <c r="Q94" s="25"/>
    </row>
    <row r="95" spans="1:17" x14ac:dyDescent="0.3">
      <c r="Q95" s="25"/>
    </row>
    <row r="96" spans="1:17" x14ac:dyDescent="0.3">
      <c r="Q96" s="25"/>
    </row>
    <row r="97" spans="17:23" x14ac:dyDescent="0.3">
      <c r="Q97" s="25"/>
    </row>
    <row r="98" spans="17:23" x14ac:dyDescent="0.3">
      <c r="Q98" s="25"/>
    </row>
    <row r="99" spans="17:23" x14ac:dyDescent="0.3">
      <c r="Q99" s="25"/>
    </row>
    <row r="100" spans="17:23" x14ac:dyDescent="0.3">
      <c r="Q100" s="25"/>
    </row>
    <row r="101" spans="17:23" x14ac:dyDescent="0.3">
      <c r="Q101" s="25"/>
    </row>
    <row r="102" spans="17:23" x14ac:dyDescent="0.3">
      <c r="Q102" s="25"/>
    </row>
    <row r="103" spans="17:23" x14ac:dyDescent="0.3">
      <c r="W103" s="25">
        <f>SUM(Q42:Q85)</f>
        <v>21416.159999999996</v>
      </c>
    </row>
  </sheetData>
  <mergeCells count="74">
    <mergeCell ref="A2:D2"/>
    <mergeCell ref="A86:P86"/>
    <mergeCell ref="P73:P79"/>
    <mergeCell ref="Q73:Q79"/>
    <mergeCell ref="A80:A85"/>
    <mergeCell ref="B80:B85"/>
    <mergeCell ref="C80:C85"/>
    <mergeCell ref="D80:D85"/>
    <mergeCell ref="J80:J85"/>
    <mergeCell ref="P80:P85"/>
    <mergeCell ref="Q80:Q85"/>
    <mergeCell ref="K73:K79"/>
    <mergeCell ref="L73:L79"/>
    <mergeCell ref="A73:A79"/>
    <mergeCell ref="B73:B79"/>
    <mergeCell ref="C73:C79"/>
    <mergeCell ref="D73:D79"/>
    <mergeCell ref="A65:A72"/>
    <mergeCell ref="B65:B72"/>
    <mergeCell ref="C65:C72"/>
    <mergeCell ref="D65:D72"/>
    <mergeCell ref="J65:J72"/>
    <mergeCell ref="J73:J79"/>
    <mergeCell ref="K58:K64"/>
    <mergeCell ref="L58:L64"/>
    <mergeCell ref="P58:P64"/>
    <mergeCell ref="Q58:Q64"/>
    <mergeCell ref="L65:L72"/>
    <mergeCell ref="P65:P72"/>
    <mergeCell ref="Q65:Q72"/>
    <mergeCell ref="K65:K72"/>
    <mergeCell ref="A58:A64"/>
    <mergeCell ref="B58:B64"/>
    <mergeCell ref="C58:C64"/>
    <mergeCell ref="D58:D64"/>
    <mergeCell ref="J58:J64"/>
    <mergeCell ref="P42:P50"/>
    <mergeCell ref="Q42:Q50"/>
    <mergeCell ref="A51:A57"/>
    <mergeCell ref="B51:B57"/>
    <mergeCell ref="C51:C57"/>
    <mergeCell ref="D51:D57"/>
    <mergeCell ref="J51:J57"/>
    <mergeCell ref="K51:K57"/>
    <mergeCell ref="L51:L57"/>
    <mergeCell ref="P51:P57"/>
    <mergeCell ref="Q51:Q57"/>
    <mergeCell ref="K42:K50"/>
    <mergeCell ref="L42:L50"/>
    <mergeCell ref="A42:A50"/>
    <mergeCell ref="B42:B50"/>
    <mergeCell ref="C42:C50"/>
    <mergeCell ref="D42:D50"/>
    <mergeCell ref="J42:J50"/>
    <mergeCell ref="I7:P7"/>
    <mergeCell ref="T23:AD23"/>
    <mergeCell ref="T24:AD24"/>
    <mergeCell ref="T25:AD25"/>
    <mergeCell ref="T26:AD26"/>
    <mergeCell ref="M40:M41"/>
    <mergeCell ref="N40:O41"/>
    <mergeCell ref="P40:Q40"/>
    <mergeCell ref="L40:L41"/>
    <mergeCell ref="F40:F41"/>
    <mergeCell ref="G40:G41"/>
    <mergeCell ref="H40:H41"/>
    <mergeCell ref="I40:I41"/>
    <mergeCell ref="J40:J41"/>
    <mergeCell ref="K40:K41"/>
    <mergeCell ref="A40:A41"/>
    <mergeCell ref="B40:B41"/>
    <mergeCell ref="C40:C41"/>
    <mergeCell ref="D40:D41"/>
    <mergeCell ref="E40:E41"/>
  </mergeCells>
  <conditionalFormatting sqref="N82:N83 N76:O78 M80:M81 M42 M43:N45">
    <cfRule type="cellIs" dxfId="467" priority="884" operator="lessThan">
      <formula>"K$25"</formula>
    </cfRule>
    <cfRule type="cellIs" dxfId="466" priority="885" operator="greaterThan">
      <formula>"J$25"</formula>
    </cfRule>
  </conditionalFormatting>
  <conditionalFormatting sqref="N47:O49 N68:O72 N53:O56 N82:N83 N76:O78 M80:M81 M42 M43:N45">
    <cfRule type="cellIs" dxfId="465" priority="882" operator="lessThan">
      <formula>"K$25"</formula>
    </cfRule>
    <cfRule type="cellIs" dxfId="464" priority="883" operator="greaterThan">
      <formula>"J&amp;25"</formula>
    </cfRule>
  </conditionalFormatting>
  <conditionalFormatting sqref="M19:O20 M1:O6 N47:O49 N68:O72 M86:O1048576 N53:O56 N82:N83 M24:O39 N76:O78 M80:M81 M40:M42 M43:N45">
    <cfRule type="containsText" dxfId="463" priority="881" operator="containsText" text="Excessivamente elevado">
      <formula>NOT(ISERROR(SEARCH("Excessivamente elevado",M1)))</formula>
    </cfRule>
  </conditionalFormatting>
  <conditionalFormatting sqref="N55:O55">
    <cfRule type="cellIs" dxfId="462" priority="871" operator="lessThan">
      <formula>"K$25"</formula>
    </cfRule>
    <cfRule type="cellIs" dxfId="461" priority="872" operator="greaterThan">
      <formula>"J$25"</formula>
    </cfRule>
  </conditionalFormatting>
  <conditionalFormatting sqref="M79">
    <cfRule type="cellIs" dxfId="460" priority="847" operator="lessThan">
      <formula>"K$25"</formula>
    </cfRule>
    <cfRule type="cellIs" dxfId="459" priority="848" operator="greaterThan">
      <formula>"J$25"</formula>
    </cfRule>
  </conditionalFormatting>
  <conditionalFormatting sqref="M79">
    <cfRule type="cellIs" dxfId="458" priority="845" operator="lessThan">
      <formula>"K$25"</formula>
    </cfRule>
    <cfRule type="cellIs" dxfId="457" priority="846" operator="greaterThan">
      <formula>"J&amp;25"</formula>
    </cfRule>
  </conditionalFormatting>
  <conditionalFormatting sqref="M79">
    <cfRule type="containsText" dxfId="456" priority="844" operator="containsText" text="Excessivamente elevado">
      <formula>NOT(ISERROR(SEARCH("Excessivamente elevado",M79)))</formula>
    </cfRule>
  </conditionalFormatting>
  <conditionalFormatting sqref="M79">
    <cfRule type="containsText" priority="849" operator="containsText" text="Excessivamente elevado">
      <formula>NOT(ISERROR(SEARCH("Excessivamente elevado",M79)))</formula>
    </cfRule>
    <cfRule type="containsText" dxfId="455" priority="850" operator="containsText" text="Válido">
      <formula>NOT(ISERROR(SEARCH("Válido",M79)))</formula>
    </cfRule>
    <cfRule type="containsText" dxfId="454" priority="851" operator="containsText" text="Inexequível">
      <formula>NOT(ISERROR(SEARCH("Inexequível",M79)))</formula>
    </cfRule>
    <cfRule type="aboveAverage" dxfId="453" priority="852" aboveAverage="0"/>
  </conditionalFormatting>
  <conditionalFormatting sqref="N40 N42">
    <cfRule type="containsText" dxfId="452" priority="839" operator="containsText" text="Excessivamente elevado">
      <formula>NOT(ISERROR(SEARCH("Excessivamente elevado",N40)))</formula>
    </cfRule>
  </conditionalFormatting>
  <conditionalFormatting sqref="N42">
    <cfRule type="cellIs" dxfId="451" priority="837" operator="lessThan">
      <formula>"K$25"</formula>
    </cfRule>
    <cfRule type="cellIs" dxfId="450" priority="838" operator="greaterThan">
      <formula>"J$25"</formula>
    </cfRule>
  </conditionalFormatting>
  <conditionalFormatting sqref="N42">
    <cfRule type="cellIs" dxfId="449" priority="835" operator="lessThan">
      <formula>"K$25"</formula>
    </cfRule>
    <cfRule type="cellIs" dxfId="448" priority="836" operator="greaterThan">
      <formula>"J&amp;25"</formula>
    </cfRule>
  </conditionalFormatting>
  <conditionalFormatting sqref="N42">
    <cfRule type="containsText" priority="840" operator="containsText" text="Excessivamente elevado">
      <formula>NOT(ISERROR(SEARCH("Excessivamente elevado",N42)))</formula>
    </cfRule>
    <cfRule type="containsText" dxfId="447" priority="841" operator="containsText" text="Válido">
      <formula>NOT(ISERROR(SEARCH("Válido",N42)))</formula>
    </cfRule>
    <cfRule type="containsText" dxfId="446" priority="842" operator="containsText" text="Inexequível">
      <formula>NOT(ISERROR(SEARCH("Inexequível",N42)))</formula>
    </cfRule>
    <cfRule type="aboveAverage" dxfId="445" priority="843" aboveAverage="0"/>
  </conditionalFormatting>
  <conditionalFormatting sqref="M46">
    <cfRule type="cellIs" dxfId="444" priority="829" operator="lessThan">
      <formula>"K$25"</formula>
    </cfRule>
    <cfRule type="cellIs" dxfId="443" priority="830" operator="greaterThan">
      <formula>"J$25"</formula>
    </cfRule>
  </conditionalFormatting>
  <conditionalFormatting sqref="M46">
    <cfRule type="cellIs" dxfId="442" priority="827" operator="lessThan">
      <formula>"K$25"</formula>
    </cfRule>
    <cfRule type="cellIs" dxfId="441" priority="828" operator="greaterThan">
      <formula>"J&amp;25"</formula>
    </cfRule>
  </conditionalFormatting>
  <conditionalFormatting sqref="M46">
    <cfRule type="containsText" dxfId="440" priority="826" operator="containsText" text="Excessivamente elevado">
      <formula>NOT(ISERROR(SEARCH("Excessivamente elevado",M46)))</formula>
    </cfRule>
  </conditionalFormatting>
  <conditionalFormatting sqref="M46">
    <cfRule type="containsText" priority="831" operator="containsText" text="Excessivamente elevado">
      <formula>NOT(ISERROR(SEARCH("Excessivamente elevado",M46)))</formula>
    </cfRule>
    <cfRule type="containsText" dxfId="439" priority="832" operator="containsText" text="Válido">
      <formula>NOT(ISERROR(SEARCH("Válido",M46)))</formula>
    </cfRule>
    <cfRule type="containsText" dxfId="438" priority="833" operator="containsText" text="Inexequível">
      <formula>NOT(ISERROR(SEARCH("Inexequível",M46)))</formula>
    </cfRule>
    <cfRule type="aboveAverage" dxfId="437" priority="834" aboveAverage="0"/>
  </conditionalFormatting>
  <conditionalFormatting sqref="M47">
    <cfRule type="cellIs" dxfId="436" priority="820" operator="lessThan">
      <formula>"K$25"</formula>
    </cfRule>
    <cfRule type="cellIs" dxfId="435" priority="821" operator="greaterThan">
      <formula>"J$25"</formula>
    </cfRule>
  </conditionalFormatting>
  <conditionalFormatting sqref="M47">
    <cfRule type="cellIs" dxfId="434" priority="818" operator="lessThan">
      <formula>"K$25"</formula>
    </cfRule>
    <cfRule type="cellIs" dxfId="433" priority="819" operator="greaterThan">
      <formula>"J&amp;25"</formula>
    </cfRule>
  </conditionalFormatting>
  <conditionalFormatting sqref="M47">
    <cfRule type="containsText" dxfId="432" priority="817" operator="containsText" text="Excessivamente elevado">
      <formula>NOT(ISERROR(SEARCH("Excessivamente elevado",M47)))</formula>
    </cfRule>
  </conditionalFormatting>
  <conditionalFormatting sqref="M47">
    <cfRule type="containsText" priority="822" operator="containsText" text="Excessivamente elevado">
      <formula>NOT(ISERROR(SEARCH("Excessivamente elevado",M47)))</formula>
    </cfRule>
    <cfRule type="containsText" dxfId="431" priority="823" operator="containsText" text="Válido">
      <formula>NOT(ISERROR(SEARCH("Válido",M47)))</formula>
    </cfRule>
    <cfRule type="containsText" dxfId="430" priority="824" operator="containsText" text="Inexequível">
      <formula>NOT(ISERROR(SEARCH("Inexequível",M47)))</formula>
    </cfRule>
    <cfRule type="aboveAverage" dxfId="429" priority="825" aboveAverage="0"/>
  </conditionalFormatting>
  <conditionalFormatting sqref="M48:M49">
    <cfRule type="cellIs" dxfId="428" priority="811" operator="lessThan">
      <formula>"K$25"</formula>
    </cfRule>
    <cfRule type="cellIs" dxfId="427" priority="812" operator="greaterThan">
      <formula>"J$25"</formula>
    </cfRule>
  </conditionalFormatting>
  <conditionalFormatting sqref="M48:M49">
    <cfRule type="cellIs" dxfId="426" priority="809" operator="lessThan">
      <formula>"K$25"</formula>
    </cfRule>
    <cfRule type="cellIs" dxfId="425" priority="810" operator="greaterThan">
      <formula>"J&amp;25"</formula>
    </cfRule>
  </conditionalFormatting>
  <conditionalFormatting sqref="M48:M49">
    <cfRule type="containsText" dxfId="424" priority="808" operator="containsText" text="Excessivamente elevado">
      <formula>NOT(ISERROR(SEARCH("Excessivamente elevado",M48)))</formula>
    </cfRule>
  </conditionalFormatting>
  <conditionalFormatting sqref="M48:M49">
    <cfRule type="containsText" priority="813" operator="containsText" text="Excessivamente elevado">
      <formula>NOT(ISERROR(SEARCH("Excessivamente elevado",M48)))</formula>
    </cfRule>
    <cfRule type="containsText" dxfId="423" priority="814" operator="containsText" text="Válido">
      <formula>NOT(ISERROR(SEARCH("Válido",M48)))</formula>
    </cfRule>
    <cfRule type="containsText" dxfId="422" priority="815" operator="containsText" text="Inexequível">
      <formula>NOT(ISERROR(SEARCH("Inexequível",M48)))</formula>
    </cfRule>
    <cfRule type="aboveAverage" dxfId="421" priority="816" aboveAverage="0"/>
  </conditionalFormatting>
  <conditionalFormatting sqref="M50">
    <cfRule type="cellIs" dxfId="420" priority="793" operator="lessThan">
      <formula>"K$25"</formula>
    </cfRule>
    <cfRule type="cellIs" dxfId="419" priority="794" operator="greaterThan">
      <formula>"J$25"</formula>
    </cfRule>
  </conditionalFormatting>
  <conditionalFormatting sqref="M50">
    <cfRule type="cellIs" dxfId="418" priority="791" operator="lessThan">
      <formula>"K$25"</formula>
    </cfRule>
    <cfRule type="cellIs" dxfId="417" priority="792" operator="greaterThan">
      <formula>"J&amp;25"</formula>
    </cfRule>
  </conditionalFormatting>
  <conditionalFormatting sqref="M50">
    <cfRule type="containsText" dxfId="416" priority="790" operator="containsText" text="Excessivamente elevado">
      <formula>NOT(ISERROR(SEARCH("Excessivamente elevado",M50)))</formula>
    </cfRule>
  </conditionalFormatting>
  <conditionalFormatting sqref="M50">
    <cfRule type="containsText" priority="795" operator="containsText" text="Excessivamente elevado">
      <formula>NOT(ISERROR(SEARCH("Excessivamente elevado",M50)))</formula>
    </cfRule>
    <cfRule type="containsText" dxfId="415" priority="796" operator="containsText" text="Válido">
      <formula>NOT(ISERROR(SEARCH("Válido",M50)))</formula>
    </cfRule>
    <cfRule type="containsText" dxfId="414" priority="797" operator="containsText" text="Inexequível">
      <formula>NOT(ISERROR(SEARCH("Inexequível",M50)))</formula>
    </cfRule>
    <cfRule type="aboveAverage" dxfId="413" priority="798" aboveAverage="0"/>
  </conditionalFormatting>
  <conditionalFormatting sqref="N50">
    <cfRule type="containsText" dxfId="412" priority="785" operator="containsText" text="Excessivamente elevado">
      <formula>NOT(ISERROR(SEARCH("Excessivamente elevado",N50)))</formula>
    </cfRule>
  </conditionalFormatting>
  <conditionalFormatting sqref="N50">
    <cfRule type="cellIs" dxfId="411" priority="783" operator="lessThan">
      <formula>"K$25"</formula>
    </cfRule>
    <cfRule type="cellIs" dxfId="410" priority="784" operator="greaterThan">
      <formula>"J$25"</formula>
    </cfRule>
  </conditionalFormatting>
  <conditionalFormatting sqref="N50">
    <cfRule type="cellIs" dxfId="409" priority="781" operator="lessThan">
      <formula>"K$25"</formula>
    </cfRule>
    <cfRule type="cellIs" dxfId="408" priority="782" operator="greaterThan">
      <formula>"J&amp;25"</formula>
    </cfRule>
  </conditionalFormatting>
  <conditionalFormatting sqref="N50">
    <cfRule type="containsText" priority="786" operator="containsText" text="Excessivamente elevado">
      <formula>NOT(ISERROR(SEARCH("Excessivamente elevado",N50)))</formula>
    </cfRule>
    <cfRule type="containsText" dxfId="407" priority="787" operator="containsText" text="Válido">
      <formula>NOT(ISERROR(SEARCH("Válido",N50)))</formula>
    </cfRule>
    <cfRule type="containsText" dxfId="406" priority="788" operator="containsText" text="Inexequível">
      <formula>NOT(ISERROR(SEARCH("Inexequível",N50)))</formula>
    </cfRule>
    <cfRule type="aboveAverage" dxfId="405" priority="789" aboveAverage="0"/>
  </conditionalFormatting>
  <conditionalFormatting sqref="N46">
    <cfRule type="containsText" dxfId="404" priority="767" operator="containsText" text="Excessivamente elevado">
      <formula>NOT(ISERROR(SEARCH("Excessivamente elevado",N46)))</formula>
    </cfRule>
  </conditionalFormatting>
  <conditionalFormatting sqref="N46">
    <cfRule type="cellIs" dxfId="403" priority="765" operator="lessThan">
      <formula>"K$25"</formula>
    </cfRule>
    <cfRule type="cellIs" dxfId="402" priority="766" operator="greaterThan">
      <formula>"J$25"</formula>
    </cfRule>
  </conditionalFormatting>
  <conditionalFormatting sqref="N46">
    <cfRule type="cellIs" dxfId="401" priority="763" operator="lessThan">
      <formula>"K$25"</formula>
    </cfRule>
    <cfRule type="cellIs" dxfId="400" priority="764" operator="greaterThan">
      <formula>"J&amp;25"</formula>
    </cfRule>
  </conditionalFormatting>
  <conditionalFormatting sqref="N46">
    <cfRule type="containsText" priority="768" operator="containsText" text="Excessivamente elevado">
      <formula>NOT(ISERROR(SEARCH("Excessivamente elevado",N46)))</formula>
    </cfRule>
    <cfRule type="containsText" dxfId="399" priority="769" operator="containsText" text="Válido">
      <formula>NOT(ISERROR(SEARCH("Válido",N46)))</formula>
    </cfRule>
    <cfRule type="containsText" dxfId="398" priority="770" operator="containsText" text="Inexequível">
      <formula>NOT(ISERROR(SEARCH("Inexequível",N46)))</formula>
    </cfRule>
    <cfRule type="aboveAverage" dxfId="397" priority="771" aboveAverage="0"/>
  </conditionalFormatting>
  <conditionalFormatting sqref="M55">
    <cfRule type="cellIs" dxfId="396" priority="757" operator="lessThan">
      <formula>"K$25"</formula>
    </cfRule>
    <cfRule type="cellIs" dxfId="395" priority="758" operator="greaterThan">
      <formula>"J$25"</formula>
    </cfRule>
  </conditionalFormatting>
  <conditionalFormatting sqref="M55">
    <cfRule type="cellIs" dxfId="394" priority="755" operator="lessThan">
      <formula>"K$25"</formula>
    </cfRule>
    <cfRule type="cellIs" dxfId="393" priority="756" operator="greaterThan">
      <formula>"J&amp;25"</formula>
    </cfRule>
  </conditionalFormatting>
  <conditionalFormatting sqref="M55">
    <cfRule type="containsText" dxfId="392" priority="754" operator="containsText" text="Excessivamente elevado">
      <formula>NOT(ISERROR(SEARCH("Excessivamente elevado",M55)))</formula>
    </cfRule>
  </conditionalFormatting>
  <conditionalFormatting sqref="M55">
    <cfRule type="containsText" priority="759" operator="containsText" text="Excessivamente elevado">
      <formula>NOT(ISERROR(SEARCH("Excessivamente elevado",M55)))</formula>
    </cfRule>
    <cfRule type="containsText" dxfId="391" priority="760" operator="containsText" text="Válido">
      <formula>NOT(ISERROR(SEARCH("Válido",M55)))</formula>
    </cfRule>
    <cfRule type="containsText" dxfId="390" priority="761" operator="containsText" text="Inexequível">
      <formula>NOT(ISERROR(SEARCH("Inexequível",M55)))</formula>
    </cfRule>
    <cfRule type="aboveAverage" dxfId="389" priority="762" aboveAverage="0"/>
  </conditionalFormatting>
  <conditionalFormatting sqref="M53:M54">
    <cfRule type="cellIs" dxfId="388" priority="752" operator="lessThan">
      <formula>"K$25"</formula>
    </cfRule>
    <cfRule type="cellIs" dxfId="387" priority="753" operator="greaterThan">
      <formula>"J$25"</formula>
    </cfRule>
  </conditionalFormatting>
  <conditionalFormatting sqref="M53:M54">
    <cfRule type="cellIs" dxfId="386" priority="750" operator="lessThan">
      <formula>"K$25"</formula>
    </cfRule>
    <cfRule type="cellIs" dxfId="385" priority="751" operator="greaterThan">
      <formula>"J&amp;25"</formula>
    </cfRule>
  </conditionalFormatting>
  <conditionalFormatting sqref="M53:M54">
    <cfRule type="containsText" dxfId="384" priority="749" operator="containsText" text="Excessivamente elevado">
      <formula>NOT(ISERROR(SEARCH("Excessivamente elevado",M53)))</formula>
    </cfRule>
  </conditionalFormatting>
  <conditionalFormatting sqref="M56">
    <cfRule type="cellIs" dxfId="383" priority="743" operator="lessThan">
      <formula>"K$25"</formula>
    </cfRule>
    <cfRule type="cellIs" dxfId="382" priority="744" operator="greaterThan">
      <formula>"J$25"</formula>
    </cfRule>
  </conditionalFormatting>
  <conditionalFormatting sqref="M56">
    <cfRule type="cellIs" dxfId="381" priority="741" operator="lessThan">
      <formula>"K$25"</formula>
    </cfRule>
    <cfRule type="cellIs" dxfId="380" priority="742" operator="greaterThan">
      <formula>"J&amp;25"</formula>
    </cfRule>
  </conditionalFormatting>
  <conditionalFormatting sqref="M56">
    <cfRule type="containsText" dxfId="379" priority="740" operator="containsText" text="Excessivamente elevado">
      <formula>NOT(ISERROR(SEARCH("Excessivamente elevado",M56)))</formula>
    </cfRule>
  </conditionalFormatting>
  <conditionalFormatting sqref="M56">
    <cfRule type="containsText" priority="745" operator="containsText" text="Excessivamente elevado">
      <formula>NOT(ISERROR(SEARCH("Excessivamente elevado",M56)))</formula>
    </cfRule>
    <cfRule type="containsText" dxfId="378" priority="746" operator="containsText" text="Válido">
      <formula>NOT(ISERROR(SEARCH("Válido",M56)))</formula>
    </cfRule>
    <cfRule type="containsText" dxfId="377" priority="747" operator="containsText" text="Inexequível">
      <formula>NOT(ISERROR(SEARCH("Inexequível",M56)))</formula>
    </cfRule>
    <cfRule type="aboveAverage" dxfId="376" priority="748" aboveAverage="0"/>
  </conditionalFormatting>
  <conditionalFormatting sqref="M57">
    <cfRule type="cellIs" dxfId="375" priority="734" operator="lessThan">
      <formula>"K$25"</formula>
    </cfRule>
    <cfRule type="cellIs" dxfId="374" priority="735" operator="greaterThan">
      <formula>"J$25"</formula>
    </cfRule>
  </conditionalFormatting>
  <conditionalFormatting sqref="M57">
    <cfRule type="cellIs" dxfId="373" priority="732" operator="lessThan">
      <formula>"K$25"</formula>
    </cfRule>
    <cfRule type="cellIs" dxfId="372" priority="733" operator="greaterThan">
      <formula>"J&amp;25"</formula>
    </cfRule>
  </conditionalFormatting>
  <conditionalFormatting sqref="M57">
    <cfRule type="containsText" dxfId="371" priority="731" operator="containsText" text="Excessivamente elevado">
      <formula>NOT(ISERROR(SEARCH("Excessivamente elevado",M57)))</formula>
    </cfRule>
  </conditionalFormatting>
  <conditionalFormatting sqref="M57">
    <cfRule type="containsText" priority="736" operator="containsText" text="Excessivamente elevado">
      <formula>NOT(ISERROR(SEARCH("Excessivamente elevado",M57)))</formula>
    </cfRule>
    <cfRule type="containsText" dxfId="370" priority="737" operator="containsText" text="Válido">
      <formula>NOT(ISERROR(SEARCH("Válido",M57)))</formula>
    </cfRule>
    <cfRule type="containsText" dxfId="369" priority="738" operator="containsText" text="Inexequível">
      <formula>NOT(ISERROR(SEARCH("Inexequível",M57)))</formula>
    </cfRule>
    <cfRule type="aboveAverage" dxfId="368" priority="739" aboveAverage="0"/>
  </conditionalFormatting>
  <conditionalFormatting sqref="N51">
    <cfRule type="containsText" dxfId="367" priority="717" operator="containsText" text="Excessivamente elevado">
      <formula>NOT(ISERROR(SEARCH("Excessivamente elevado",N51)))</formula>
    </cfRule>
  </conditionalFormatting>
  <conditionalFormatting sqref="N51">
    <cfRule type="cellIs" dxfId="366" priority="715" operator="lessThan">
      <formula>"K$25"</formula>
    </cfRule>
    <cfRule type="cellIs" dxfId="365" priority="716" operator="greaterThan">
      <formula>"J$25"</formula>
    </cfRule>
  </conditionalFormatting>
  <conditionalFormatting sqref="N51">
    <cfRule type="cellIs" dxfId="364" priority="713" operator="lessThan">
      <formula>"K$25"</formula>
    </cfRule>
    <cfRule type="cellIs" dxfId="363" priority="714" operator="greaterThan">
      <formula>"J&amp;25"</formula>
    </cfRule>
  </conditionalFormatting>
  <conditionalFormatting sqref="N51">
    <cfRule type="containsText" priority="718" operator="containsText" text="Excessivamente elevado">
      <formula>NOT(ISERROR(SEARCH("Excessivamente elevado",N51)))</formula>
    </cfRule>
    <cfRule type="containsText" dxfId="362" priority="719" operator="containsText" text="Válido">
      <formula>NOT(ISERROR(SEARCH("Válido",N51)))</formula>
    </cfRule>
    <cfRule type="containsText" dxfId="361" priority="720" operator="containsText" text="Inexequível">
      <formula>NOT(ISERROR(SEARCH("Inexequível",N51)))</formula>
    </cfRule>
    <cfRule type="aboveAverage" dxfId="360" priority="721" aboveAverage="0"/>
  </conditionalFormatting>
  <conditionalFormatting sqref="N52">
    <cfRule type="containsText" dxfId="359" priority="708" operator="containsText" text="Excessivamente elevado">
      <formula>NOT(ISERROR(SEARCH("Excessivamente elevado",N52)))</formula>
    </cfRule>
  </conditionalFormatting>
  <conditionalFormatting sqref="N52">
    <cfRule type="cellIs" dxfId="358" priority="706" operator="lessThan">
      <formula>"K$25"</formula>
    </cfRule>
    <cfRule type="cellIs" dxfId="357" priority="707" operator="greaterThan">
      <formula>"J$25"</formula>
    </cfRule>
  </conditionalFormatting>
  <conditionalFormatting sqref="N52">
    <cfRule type="cellIs" dxfId="356" priority="704" operator="lessThan">
      <formula>"K$25"</formula>
    </cfRule>
    <cfRule type="cellIs" dxfId="355" priority="705" operator="greaterThan">
      <formula>"J&amp;25"</formula>
    </cfRule>
  </conditionalFormatting>
  <conditionalFormatting sqref="N52">
    <cfRule type="containsText" priority="709" operator="containsText" text="Excessivamente elevado">
      <formula>NOT(ISERROR(SEARCH("Excessivamente elevado",N52)))</formula>
    </cfRule>
    <cfRule type="containsText" dxfId="354" priority="710" operator="containsText" text="Válido">
      <formula>NOT(ISERROR(SEARCH("Válido",N52)))</formula>
    </cfRule>
    <cfRule type="containsText" dxfId="353" priority="711" operator="containsText" text="Inexequível">
      <formula>NOT(ISERROR(SEARCH("Inexequível",N52)))</formula>
    </cfRule>
    <cfRule type="aboveAverage" dxfId="352" priority="712" aboveAverage="0"/>
  </conditionalFormatting>
  <conditionalFormatting sqref="N57">
    <cfRule type="containsText" dxfId="351" priority="699" operator="containsText" text="Excessivamente elevado">
      <formula>NOT(ISERROR(SEARCH("Excessivamente elevado",N57)))</formula>
    </cfRule>
  </conditionalFormatting>
  <conditionalFormatting sqref="N57">
    <cfRule type="cellIs" dxfId="350" priority="697" operator="lessThan">
      <formula>"K$25"</formula>
    </cfRule>
    <cfRule type="cellIs" dxfId="349" priority="698" operator="greaterThan">
      <formula>"J$25"</formula>
    </cfRule>
  </conditionalFormatting>
  <conditionalFormatting sqref="N57">
    <cfRule type="cellIs" dxfId="348" priority="695" operator="lessThan">
      <formula>"K$25"</formula>
    </cfRule>
    <cfRule type="cellIs" dxfId="347" priority="696" operator="greaterThan">
      <formula>"J&amp;25"</formula>
    </cfRule>
  </conditionalFormatting>
  <conditionalFormatting sqref="N57">
    <cfRule type="containsText" priority="700" operator="containsText" text="Excessivamente elevado">
      <formula>NOT(ISERROR(SEARCH("Excessivamente elevado",N57)))</formula>
    </cfRule>
    <cfRule type="containsText" dxfId="346" priority="701" operator="containsText" text="Válido">
      <formula>NOT(ISERROR(SEARCH("Válido",N57)))</formula>
    </cfRule>
    <cfRule type="containsText" dxfId="345" priority="702" operator="containsText" text="Inexequível">
      <formula>NOT(ISERROR(SEARCH("Inexequível",N57)))</formula>
    </cfRule>
    <cfRule type="aboveAverage" dxfId="344" priority="703" aboveAverage="0"/>
  </conditionalFormatting>
  <conditionalFormatting sqref="M58:M60">
    <cfRule type="cellIs" dxfId="343" priority="680" operator="lessThan">
      <formula>"K$25"</formula>
    </cfRule>
    <cfRule type="cellIs" dxfId="342" priority="681" operator="greaterThan">
      <formula>"J$25"</formula>
    </cfRule>
  </conditionalFormatting>
  <conditionalFormatting sqref="M58:M60">
    <cfRule type="cellIs" dxfId="341" priority="678" operator="lessThan">
      <formula>"K$25"</formula>
    </cfRule>
    <cfRule type="cellIs" dxfId="340" priority="679" operator="greaterThan">
      <formula>"J&amp;25"</formula>
    </cfRule>
  </conditionalFormatting>
  <conditionalFormatting sqref="M58:M60">
    <cfRule type="containsText" dxfId="339" priority="677" operator="containsText" text="Excessivamente elevado">
      <formula>NOT(ISERROR(SEARCH("Excessivamente elevado",M58)))</formula>
    </cfRule>
  </conditionalFormatting>
  <conditionalFormatting sqref="M58:M60">
    <cfRule type="containsText" priority="682" operator="containsText" text="Excessivamente elevado">
      <formula>NOT(ISERROR(SEARCH("Excessivamente elevado",M58)))</formula>
    </cfRule>
    <cfRule type="containsText" dxfId="338" priority="683" operator="containsText" text="Válido">
      <formula>NOT(ISERROR(SEARCH("Válido",M58)))</formula>
    </cfRule>
    <cfRule type="containsText" dxfId="337" priority="684" operator="containsText" text="Inexequível">
      <formula>NOT(ISERROR(SEARCH("Inexequível",M58)))</formula>
    </cfRule>
    <cfRule type="aboveAverage" dxfId="336" priority="685" aboveAverage="0"/>
  </conditionalFormatting>
  <conditionalFormatting sqref="M61:M62">
    <cfRule type="cellIs" dxfId="335" priority="671" operator="lessThan">
      <formula>"K$25"</formula>
    </cfRule>
    <cfRule type="cellIs" dxfId="334" priority="672" operator="greaterThan">
      <formula>"J$25"</formula>
    </cfRule>
  </conditionalFormatting>
  <conditionalFormatting sqref="M61:M62">
    <cfRule type="cellIs" dxfId="333" priority="669" operator="lessThan">
      <formula>"K$25"</formula>
    </cfRule>
    <cfRule type="cellIs" dxfId="332" priority="670" operator="greaterThan">
      <formula>"J&amp;25"</formula>
    </cfRule>
  </conditionalFormatting>
  <conditionalFormatting sqref="M61:M62">
    <cfRule type="containsText" dxfId="331" priority="668" operator="containsText" text="Excessivamente elevado">
      <formula>NOT(ISERROR(SEARCH("Excessivamente elevado",M61)))</formula>
    </cfRule>
  </conditionalFormatting>
  <conditionalFormatting sqref="M61:M62">
    <cfRule type="containsText" priority="673" operator="containsText" text="Excessivamente elevado">
      <formula>NOT(ISERROR(SEARCH("Excessivamente elevado",M61)))</formula>
    </cfRule>
    <cfRule type="containsText" dxfId="330" priority="674" operator="containsText" text="Válido">
      <formula>NOT(ISERROR(SEARCH("Válido",M61)))</formula>
    </cfRule>
    <cfRule type="containsText" dxfId="329" priority="675" operator="containsText" text="Inexequível">
      <formula>NOT(ISERROR(SEARCH("Inexequível",M61)))</formula>
    </cfRule>
    <cfRule type="aboveAverage" dxfId="328" priority="676" aboveAverage="0"/>
  </conditionalFormatting>
  <conditionalFormatting sqref="N61:O64">
    <cfRule type="cellIs" dxfId="327" priority="657" operator="lessThan">
      <formula>"K$25"</formula>
    </cfRule>
    <cfRule type="cellIs" dxfId="326" priority="658" operator="greaterThan">
      <formula>"J&amp;25"</formula>
    </cfRule>
  </conditionalFormatting>
  <conditionalFormatting sqref="N61:O64">
    <cfRule type="containsText" dxfId="325" priority="656" operator="containsText" text="Excessivamente elevado">
      <formula>NOT(ISERROR(SEARCH("Excessivamente elevado",N61)))</formula>
    </cfRule>
  </conditionalFormatting>
  <conditionalFormatting sqref="N59">
    <cfRule type="containsText" dxfId="324" priority="649" operator="containsText" text="Excessivamente elevado">
      <formula>NOT(ISERROR(SEARCH("Excessivamente elevado",N59)))</formula>
    </cfRule>
  </conditionalFormatting>
  <conditionalFormatting sqref="N59">
    <cfRule type="cellIs" dxfId="323" priority="647" operator="lessThan">
      <formula>"K$25"</formula>
    </cfRule>
    <cfRule type="cellIs" dxfId="322" priority="648" operator="greaterThan">
      <formula>"J$25"</formula>
    </cfRule>
  </conditionalFormatting>
  <conditionalFormatting sqref="N59">
    <cfRule type="cellIs" dxfId="321" priority="645" operator="lessThan">
      <formula>"K$25"</formula>
    </cfRule>
    <cfRule type="cellIs" dxfId="320" priority="646" operator="greaterThan">
      <formula>"J&amp;25"</formula>
    </cfRule>
  </conditionalFormatting>
  <conditionalFormatting sqref="N59">
    <cfRule type="containsText" priority="650" operator="containsText" text="Excessivamente elevado">
      <formula>NOT(ISERROR(SEARCH("Excessivamente elevado",N59)))</formula>
    </cfRule>
    <cfRule type="containsText" dxfId="319" priority="651" operator="containsText" text="Válido">
      <formula>NOT(ISERROR(SEARCH("Válido",N59)))</formula>
    </cfRule>
    <cfRule type="containsText" dxfId="318" priority="652" operator="containsText" text="Inexequível">
      <formula>NOT(ISERROR(SEARCH("Inexequível",N59)))</formula>
    </cfRule>
    <cfRule type="aboveAverage" dxfId="317" priority="653" aboveAverage="0"/>
  </conditionalFormatting>
  <conditionalFormatting sqref="N60">
    <cfRule type="containsText" dxfId="316" priority="640" operator="containsText" text="Excessivamente elevado">
      <formula>NOT(ISERROR(SEARCH("Excessivamente elevado",N60)))</formula>
    </cfRule>
  </conditionalFormatting>
  <conditionalFormatting sqref="N60">
    <cfRule type="cellIs" dxfId="315" priority="638" operator="lessThan">
      <formula>"K$25"</formula>
    </cfRule>
    <cfRule type="cellIs" dxfId="314" priority="639" operator="greaterThan">
      <formula>"J$25"</formula>
    </cfRule>
  </conditionalFormatting>
  <conditionalFormatting sqref="N60">
    <cfRule type="cellIs" dxfId="313" priority="636" operator="lessThan">
      <formula>"K$25"</formula>
    </cfRule>
    <cfRule type="cellIs" dxfId="312" priority="637" operator="greaterThan">
      <formula>"J&amp;25"</formula>
    </cfRule>
  </conditionalFormatting>
  <conditionalFormatting sqref="N60">
    <cfRule type="containsText" priority="641" operator="containsText" text="Excessivamente elevado">
      <formula>NOT(ISERROR(SEARCH("Excessivamente elevado",N60)))</formula>
    </cfRule>
    <cfRule type="containsText" dxfId="311" priority="642" operator="containsText" text="Válido">
      <formula>NOT(ISERROR(SEARCH("Válido",N60)))</formula>
    </cfRule>
    <cfRule type="containsText" dxfId="310" priority="643" operator="containsText" text="Inexequível">
      <formula>NOT(ISERROR(SEARCH("Inexequível",N60)))</formula>
    </cfRule>
    <cfRule type="aboveAverage" dxfId="309" priority="644" aboveAverage="0"/>
  </conditionalFormatting>
  <conditionalFormatting sqref="M68:M72">
    <cfRule type="cellIs" dxfId="308" priority="621" operator="lessThan">
      <formula>"K$25"</formula>
    </cfRule>
    <cfRule type="cellIs" dxfId="307" priority="622" operator="greaterThan">
      <formula>"J$25"</formula>
    </cfRule>
  </conditionalFormatting>
  <conditionalFormatting sqref="M68:M72">
    <cfRule type="cellIs" dxfId="306" priority="619" operator="lessThan">
      <formula>"K$25"</formula>
    </cfRule>
    <cfRule type="cellIs" dxfId="305" priority="620" operator="greaterThan">
      <formula>"J&amp;25"</formula>
    </cfRule>
  </conditionalFormatting>
  <conditionalFormatting sqref="M68:M72">
    <cfRule type="containsText" dxfId="304" priority="618" operator="containsText" text="Excessivamente elevado">
      <formula>NOT(ISERROR(SEARCH("Excessivamente elevado",M68)))</formula>
    </cfRule>
  </conditionalFormatting>
  <conditionalFormatting sqref="N65">
    <cfRule type="containsText" dxfId="303" priority="586" operator="containsText" text="Excessivamente elevado">
      <formula>NOT(ISERROR(SEARCH("Excessivamente elevado",N65)))</formula>
    </cfRule>
  </conditionalFormatting>
  <conditionalFormatting sqref="N65">
    <cfRule type="cellIs" dxfId="302" priority="584" operator="lessThan">
      <formula>"K$25"</formula>
    </cfRule>
    <cfRule type="cellIs" dxfId="301" priority="585" operator="greaterThan">
      <formula>"J$25"</formula>
    </cfRule>
  </conditionalFormatting>
  <conditionalFormatting sqref="N65">
    <cfRule type="cellIs" dxfId="300" priority="582" operator="lessThan">
      <formula>"K$25"</formula>
    </cfRule>
    <cfRule type="cellIs" dxfId="299" priority="583" operator="greaterThan">
      <formula>"J&amp;25"</formula>
    </cfRule>
  </conditionalFormatting>
  <conditionalFormatting sqref="N65">
    <cfRule type="containsText" priority="587" operator="containsText" text="Excessivamente elevado">
      <formula>NOT(ISERROR(SEARCH("Excessivamente elevado",N65)))</formula>
    </cfRule>
    <cfRule type="containsText" dxfId="298" priority="588" operator="containsText" text="Válido">
      <formula>NOT(ISERROR(SEARCH("Válido",N65)))</formula>
    </cfRule>
    <cfRule type="containsText" dxfId="297" priority="589" operator="containsText" text="Inexequível">
      <formula>NOT(ISERROR(SEARCH("Inexequível",N65)))</formula>
    </cfRule>
    <cfRule type="aboveAverage" dxfId="296" priority="590" aboveAverage="0"/>
  </conditionalFormatting>
  <conditionalFormatting sqref="N66:N67">
    <cfRule type="containsText" dxfId="295" priority="577" operator="containsText" text="Excessivamente elevado">
      <formula>NOT(ISERROR(SEARCH("Excessivamente elevado",N66)))</formula>
    </cfRule>
  </conditionalFormatting>
  <conditionalFormatting sqref="N66:N67">
    <cfRule type="cellIs" dxfId="294" priority="575" operator="lessThan">
      <formula>"K$25"</formula>
    </cfRule>
    <cfRule type="cellIs" dxfId="293" priority="576" operator="greaterThan">
      <formula>"J$25"</formula>
    </cfRule>
  </conditionalFormatting>
  <conditionalFormatting sqref="N66:N67">
    <cfRule type="cellIs" dxfId="292" priority="573" operator="lessThan">
      <formula>"K$25"</formula>
    </cfRule>
    <cfRule type="cellIs" dxfId="291" priority="574" operator="greaterThan">
      <formula>"J&amp;25"</formula>
    </cfRule>
  </conditionalFormatting>
  <conditionalFormatting sqref="N66:N67">
    <cfRule type="containsText" priority="578" operator="containsText" text="Excessivamente elevado">
      <formula>NOT(ISERROR(SEARCH("Excessivamente elevado",N66)))</formula>
    </cfRule>
    <cfRule type="containsText" dxfId="290" priority="579" operator="containsText" text="Válido">
      <formula>NOT(ISERROR(SEARCH("Válido",N66)))</formula>
    </cfRule>
    <cfRule type="containsText" dxfId="289" priority="580" operator="containsText" text="Inexequível">
      <formula>NOT(ISERROR(SEARCH("Inexequível",N66)))</formula>
    </cfRule>
    <cfRule type="aboveAverage" dxfId="288" priority="581" aboveAverage="0"/>
  </conditionalFormatting>
  <conditionalFormatting sqref="N73">
    <cfRule type="containsText" dxfId="287" priority="559" operator="containsText" text="Excessivamente elevado">
      <formula>NOT(ISERROR(SEARCH("Excessivamente elevado",N73)))</formula>
    </cfRule>
  </conditionalFormatting>
  <conditionalFormatting sqref="N73">
    <cfRule type="cellIs" dxfId="286" priority="557" operator="lessThan">
      <formula>"K$25"</formula>
    </cfRule>
    <cfRule type="cellIs" dxfId="285" priority="558" operator="greaterThan">
      <formula>"J$25"</formula>
    </cfRule>
  </conditionalFormatting>
  <conditionalFormatting sqref="N73">
    <cfRule type="cellIs" dxfId="284" priority="555" operator="lessThan">
      <formula>"K$25"</formula>
    </cfRule>
    <cfRule type="cellIs" dxfId="283" priority="556" operator="greaterThan">
      <formula>"J&amp;25"</formula>
    </cfRule>
  </conditionalFormatting>
  <conditionalFormatting sqref="N73">
    <cfRule type="containsText" priority="560" operator="containsText" text="Excessivamente elevado">
      <formula>NOT(ISERROR(SEARCH("Excessivamente elevado",N73)))</formula>
    </cfRule>
    <cfRule type="containsText" dxfId="282" priority="561" operator="containsText" text="Válido">
      <formula>NOT(ISERROR(SEARCH("Válido",N73)))</formula>
    </cfRule>
    <cfRule type="containsText" dxfId="281" priority="562" operator="containsText" text="Inexequível">
      <formula>NOT(ISERROR(SEARCH("Inexequível",N73)))</formula>
    </cfRule>
    <cfRule type="aboveAverage" dxfId="280" priority="563" aboveAverage="0"/>
  </conditionalFormatting>
  <conditionalFormatting sqref="N74">
    <cfRule type="containsText" dxfId="279" priority="550" operator="containsText" text="Excessivamente elevado">
      <formula>NOT(ISERROR(SEARCH("Excessivamente elevado",N74)))</formula>
    </cfRule>
  </conditionalFormatting>
  <conditionalFormatting sqref="N74">
    <cfRule type="cellIs" dxfId="278" priority="548" operator="lessThan">
      <formula>"K$25"</formula>
    </cfRule>
    <cfRule type="cellIs" dxfId="277" priority="549" operator="greaterThan">
      <formula>"J$25"</formula>
    </cfRule>
  </conditionalFormatting>
  <conditionalFormatting sqref="N74">
    <cfRule type="cellIs" dxfId="276" priority="546" operator="lessThan">
      <formula>"K$25"</formula>
    </cfRule>
    <cfRule type="cellIs" dxfId="275" priority="547" operator="greaterThan">
      <formula>"J&amp;25"</formula>
    </cfRule>
  </conditionalFormatting>
  <conditionalFormatting sqref="N74">
    <cfRule type="containsText" priority="551" operator="containsText" text="Excessivamente elevado">
      <formula>NOT(ISERROR(SEARCH("Excessivamente elevado",N74)))</formula>
    </cfRule>
    <cfRule type="containsText" dxfId="274" priority="552" operator="containsText" text="Válido">
      <formula>NOT(ISERROR(SEARCH("Válido",N74)))</formula>
    </cfRule>
    <cfRule type="containsText" dxfId="273" priority="553" operator="containsText" text="Inexequível">
      <formula>NOT(ISERROR(SEARCH("Inexequível",N74)))</formula>
    </cfRule>
    <cfRule type="aboveAverage" dxfId="272" priority="554" aboveAverage="0"/>
  </conditionalFormatting>
  <conditionalFormatting sqref="N79">
    <cfRule type="containsText" dxfId="271" priority="541" operator="containsText" text="Excessivamente elevado">
      <formula>NOT(ISERROR(SEARCH("Excessivamente elevado",N79)))</formula>
    </cfRule>
  </conditionalFormatting>
  <conditionalFormatting sqref="N79">
    <cfRule type="cellIs" dxfId="270" priority="539" operator="lessThan">
      <formula>"K$25"</formula>
    </cfRule>
    <cfRule type="cellIs" dxfId="269" priority="540" operator="greaterThan">
      <formula>"J$25"</formula>
    </cfRule>
  </conditionalFormatting>
  <conditionalFormatting sqref="N79">
    <cfRule type="cellIs" dxfId="268" priority="537" operator="lessThan">
      <formula>"K$25"</formula>
    </cfRule>
    <cfRule type="cellIs" dxfId="267" priority="538" operator="greaterThan">
      <formula>"J&amp;25"</formula>
    </cfRule>
  </conditionalFormatting>
  <conditionalFormatting sqref="N79">
    <cfRule type="containsText" priority="542" operator="containsText" text="Excessivamente elevado">
      <formula>NOT(ISERROR(SEARCH("Excessivamente elevado",N79)))</formula>
    </cfRule>
    <cfRule type="containsText" dxfId="266" priority="543" operator="containsText" text="Válido">
      <formula>NOT(ISERROR(SEARCH("Válido",N79)))</formula>
    </cfRule>
    <cfRule type="containsText" dxfId="265" priority="544" operator="containsText" text="Inexequível">
      <formula>NOT(ISERROR(SEARCH("Inexequível",N79)))</formula>
    </cfRule>
    <cfRule type="aboveAverage" dxfId="264" priority="545" aboveAverage="0"/>
  </conditionalFormatting>
  <conditionalFormatting sqref="N75">
    <cfRule type="containsText" dxfId="263" priority="514" operator="containsText" text="Excessivamente elevado">
      <formula>NOT(ISERROR(SEARCH("Excessivamente elevado",N75)))</formula>
    </cfRule>
  </conditionalFormatting>
  <conditionalFormatting sqref="N75">
    <cfRule type="cellIs" dxfId="262" priority="512" operator="lessThan">
      <formula>"K$25"</formula>
    </cfRule>
    <cfRule type="cellIs" dxfId="261" priority="513" operator="greaterThan">
      <formula>"J$25"</formula>
    </cfRule>
  </conditionalFormatting>
  <conditionalFormatting sqref="N75">
    <cfRule type="cellIs" dxfId="260" priority="510" operator="lessThan">
      <formula>"K$25"</formula>
    </cfRule>
    <cfRule type="cellIs" dxfId="259" priority="511" operator="greaterThan">
      <formula>"J&amp;25"</formula>
    </cfRule>
  </conditionalFormatting>
  <conditionalFormatting sqref="N75">
    <cfRule type="containsText" priority="515" operator="containsText" text="Excessivamente elevado">
      <formula>NOT(ISERROR(SEARCH("Excessivamente elevado",N75)))</formula>
    </cfRule>
    <cfRule type="containsText" dxfId="258" priority="516" operator="containsText" text="Válido">
      <formula>NOT(ISERROR(SEARCH("Válido",N75)))</formula>
    </cfRule>
    <cfRule type="containsText" dxfId="257" priority="517" operator="containsText" text="Inexequível">
      <formula>NOT(ISERROR(SEARCH("Inexequível",N75)))</formula>
    </cfRule>
    <cfRule type="aboveAverage" dxfId="256" priority="518" aboveAverage="0"/>
  </conditionalFormatting>
  <conditionalFormatting sqref="M82">
    <cfRule type="cellIs" dxfId="255" priority="486" operator="lessThan">
      <formula>"K$25"</formula>
    </cfRule>
    <cfRule type="cellIs" dxfId="254" priority="487" operator="greaterThan">
      <formula>"J$25"</formula>
    </cfRule>
  </conditionalFormatting>
  <conditionalFormatting sqref="M82">
    <cfRule type="cellIs" dxfId="253" priority="484" operator="lessThan">
      <formula>"K$25"</formula>
    </cfRule>
    <cfRule type="cellIs" dxfId="252" priority="485" operator="greaterThan">
      <formula>"J&amp;25"</formula>
    </cfRule>
  </conditionalFormatting>
  <conditionalFormatting sqref="M82">
    <cfRule type="containsText" dxfId="251" priority="483" operator="containsText" text="Excessivamente elevado">
      <formula>NOT(ISERROR(SEARCH("Excessivamente elevado",M82)))</formula>
    </cfRule>
  </conditionalFormatting>
  <conditionalFormatting sqref="M82">
    <cfRule type="containsText" priority="488" operator="containsText" text="Excessivamente elevado">
      <formula>NOT(ISERROR(SEARCH("Excessivamente elevado",M82)))</formula>
    </cfRule>
    <cfRule type="containsText" dxfId="250" priority="489" operator="containsText" text="Válido">
      <formula>NOT(ISERROR(SEARCH("Válido",M82)))</formula>
    </cfRule>
    <cfRule type="containsText" dxfId="249" priority="490" operator="containsText" text="Inexequível">
      <formula>NOT(ISERROR(SEARCH("Inexequível",M82)))</formula>
    </cfRule>
    <cfRule type="aboveAverage" dxfId="248" priority="491" aboveAverage="0"/>
  </conditionalFormatting>
  <conditionalFormatting sqref="N80">
    <cfRule type="containsText" dxfId="247" priority="460" operator="containsText" text="Excessivamente elevado">
      <formula>NOT(ISERROR(SEARCH("Excessivamente elevado",N80)))</formula>
    </cfRule>
  </conditionalFormatting>
  <conditionalFormatting sqref="N80">
    <cfRule type="cellIs" dxfId="246" priority="458" operator="lessThan">
      <formula>"K$25"</formula>
    </cfRule>
    <cfRule type="cellIs" dxfId="245" priority="459" operator="greaterThan">
      <formula>"J$25"</formula>
    </cfRule>
  </conditionalFormatting>
  <conditionalFormatting sqref="N80">
    <cfRule type="cellIs" dxfId="244" priority="456" operator="lessThan">
      <formula>"K$25"</formula>
    </cfRule>
    <cfRule type="cellIs" dxfId="243" priority="457" operator="greaterThan">
      <formula>"J&amp;25"</formula>
    </cfRule>
  </conditionalFormatting>
  <conditionalFormatting sqref="N80">
    <cfRule type="containsText" priority="461" operator="containsText" text="Excessivamente elevado">
      <formula>NOT(ISERROR(SEARCH("Excessivamente elevado",N80)))</formula>
    </cfRule>
    <cfRule type="containsText" dxfId="242" priority="462" operator="containsText" text="Válido">
      <formula>NOT(ISERROR(SEARCH("Válido",N80)))</formula>
    </cfRule>
    <cfRule type="containsText" dxfId="241" priority="463" operator="containsText" text="Inexequível">
      <formula>NOT(ISERROR(SEARCH("Inexequível",N80)))</formula>
    </cfRule>
    <cfRule type="aboveAverage" dxfId="240" priority="464" aboveAverage="0"/>
  </conditionalFormatting>
  <conditionalFormatting sqref="N84:N85">
    <cfRule type="containsText" dxfId="239" priority="442" operator="containsText" text="Excessivamente elevado">
      <formula>NOT(ISERROR(SEARCH("Excessivamente elevado",N84)))</formula>
    </cfRule>
  </conditionalFormatting>
  <conditionalFormatting sqref="N84:N85">
    <cfRule type="cellIs" dxfId="238" priority="440" operator="lessThan">
      <formula>"K$25"</formula>
    </cfRule>
    <cfRule type="cellIs" dxfId="237" priority="441" operator="greaterThan">
      <formula>"J$25"</formula>
    </cfRule>
  </conditionalFormatting>
  <conditionalFormatting sqref="N84:N85">
    <cfRule type="cellIs" dxfId="236" priority="438" operator="lessThan">
      <formula>"K$25"</formula>
    </cfRule>
    <cfRule type="cellIs" dxfId="235" priority="439" operator="greaterThan">
      <formula>"J&amp;25"</formula>
    </cfRule>
  </conditionalFormatting>
  <conditionalFormatting sqref="N84:N85">
    <cfRule type="containsText" priority="443" operator="containsText" text="Excessivamente elevado">
      <formula>NOT(ISERROR(SEARCH("Excessivamente elevado",N84)))</formula>
    </cfRule>
    <cfRule type="containsText" dxfId="234" priority="444" operator="containsText" text="Válido">
      <formula>NOT(ISERROR(SEARCH("Válido",N84)))</formula>
    </cfRule>
    <cfRule type="containsText" dxfId="233" priority="445" operator="containsText" text="Inexequível">
      <formula>NOT(ISERROR(SEARCH("Inexequível",N84)))</formula>
    </cfRule>
    <cfRule type="aboveAverage" dxfId="232" priority="446" aboveAverage="0"/>
  </conditionalFormatting>
  <conditionalFormatting sqref="N81">
    <cfRule type="containsText" dxfId="231" priority="424" operator="containsText" text="Excessivamente elevado">
      <formula>NOT(ISERROR(SEARCH("Excessivamente elevado",N81)))</formula>
    </cfRule>
  </conditionalFormatting>
  <conditionalFormatting sqref="N81">
    <cfRule type="cellIs" dxfId="230" priority="422" operator="lessThan">
      <formula>"K$25"</formula>
    </cfRule>
    <cfRule type="cellIs" dxfId="229" priority="423" operator="greaterThan">
      <formula>"J$25"</formula>
    </cfRule>
  </conditionalFormatting>
  <conditionalFormatting sqref="N81">
    <cfRule type="cellIs" dxfId="228" priority="420" operator="lessThan">
      <formula>"K$25"</formula>
    </cfRule>
    <cfRule type="cellIs" dxfId="227" priority="421" operator="greaterThan">
      <formula>"J&amp;25"</formula>
    </cfRule>
  </conditionalFormatting>
  <conditionalFormatting sqref="N81">
    <cfRule type="containsText" priority="425" operator="containsText" text="Excessivamente elevado">
      <formula>NOT(ISERROR(SEARCH("Excessivamente elevado",N81)))</formula>
    </cfRule>
    <cfRule type="containsText" dxfId="226" priority="426" operator="containsText" text="Válido">
      <formula>NOT(ISERROR(SEARCH("Válido",N81)))</formula>
    </cfRule>
    <cfRule type="containsText" dxfId="225" priority="427" operator="containsText" text="Inexequível">
      <formula>NOT(ISERROR(SEARCH("Inexequível",N81)))</formula>
    </cfRule>
    <cfRule type="aboveAverage" dxfId="224" priority="428" aboveAverage="0"/>
  </conditionalFormatting>
  <conditionalFormatting sqref="M53:M54">
    <cfRule type="containsText" priority="890" operator="containsText" text="Excessivamente elevado">
      <formula>NOT(ISERROR(SEARCH("Excessivamente elevado",M53)))</formula>
    </cfRule>
    <cfRule type="containsText" dxfId="223" priority="891" operator="containsText" text="Válido">
      <formula>NOT(ISERROR(SEARCH("Válido",M53)))</formula>
    </cfRule>
    <cfRule type="containsText" dxfId="222" priority="892" operator="containsText" text="Inexequível">
      <formula>NOT(ISERROR(SEARCH("Inexequível",M53)))</formula>
    </cfRule>
    <cfRule type="aboveAverage" dxfId="221" priority="893" aboveAverage="0"/>
  </conditionalFormatting>
  <conditionalFormatting sqref="M83">
    <cfRule type="cellIs" dxfId="220" priority="139" operator="lessThan">
      <formula>"K$25"</formula>
    </cfRule>
    <cfRule type="cellIs" dxfId="219" priority="140" operator="greaterThan">
      <formula>"J$25"</formula>
    </cfRule>
  </conditionalFormatting>
  <conditionalFormatting sqref="M83">
    <cfRule type="cellIs" dxfId="218" priority="137" operator="lessThan">
      <formula>"K$25"</formula>
    </cfRule>
    <cfRule type="cellIs" dxfId="217" priority="138" operator="greaterThan">
      <formula>"J&amp;25"</formula>
    </cfRule>
  </conditionalFormatting>
  <conditionalFormatting sqref="M83">
    <cfRule type="containsText" dxfId="216" priority="136" operator="containsText" text="Excessivamente elevado">
      <formula>NOT(ISERROR(SEARCH("Excessivamente elevado",M83)))</formula>
    </cfRule>
  </conditionalFormatting>
  <conditionalFormatting sqref="M83">
    <cfRule type="containsText" priority="141" operator="containsText" text="Excessivamente elevado">
      <formula>NOT(ISERROR(SEARCH("Excessivamente elevado",M83)))</formula>
    </cfRule>
    <cfRule type="containsText" dxfId="215" priority="142" operator="containsText" text="Válido">
      <formula>NOT(ISERROR(SEARCH("Válido",M83)))</formula>
    </cfRule>
    <cfRule type="containsText" dxfId="214" priority="143" operator="containsText" text="Inexequível">
      <formula>NOT(ISERROR(SEARCH("Inexequível",M83)))</formula>
    </cfRule>
    <cfRule type="aboveAverage" dxfId="213" priority="144" aboveAverage="0"/>
  </conditionalFormatting>
  <conditionalFormatting sqref="M67">
    <cfRule type="cellIs" dxfId="212" priority="121" operator="lessThan">
      <formula>"K$25"</formula>
    </cfRule>
    <cfRule type="cellIs" dxfId="211" priority="122" operator="greaterThan">
      <formula>"J$25"</formula>
    </cfRule>
  </conditionalFormatting>
  <conditionalFormatting sqref="M67">
    <cfRule type="cellIs" dxfId="210" priority="119" operator="lessThan">
      <formula>"K$25"</formula>
    </cfRule>
    <cfRule type="cellIs" dxfId="209" priority="120" operator="greaterThan">
      <formula>"J&amp;25"</formula>
    </cfRule>
  </conditionalFormatting>
  <conditionalFormatting sqref="M67">
    <cfRule type="containsText" dxfId="208" priority="118" operator="containsText" text="Excessivamente elevado">
      <formula>NOT(ISERROR(SEARCH("Excessivamente elevado",M67)))</formula>
    </cfRule>
  </conditionalFormatting>
  <conditionalFormatting sqref="M67">
    <cfRule type="containsText" priority="123" operator="containsText" text="Excessivamente elevado">
      <formula>NOT(ISERROR(SEARCH("Excessivamente elevado",M67)))</formula>
    </cfRule>
    <cfRule type="containsText" dxfId="207" priority="124" operator="containsText" text="Válido">
      <formula>NOT(ISERROR(SEARCH("Válido",M67)))</formula>
    </cfRule>
    <cfRule type="containsText" dxfId="206" priority="125" operator="containsText" text="Inexequível">
      <formula>NOT(ISERROR(SEARCH("Inexequível",M67)))</formula>
    </cfRule>
    <cfRule type="aboveAverage" dxfId="205" priority="126" aboveAverage="0"/>
  </conditionalFormatting>
  <conditionalFormatting sqref="N76:O78">
    <cfRule type="containsText" priority="3283" operator="containsText" text="Excessivamente elevado">
      <formula>NOT(ISERROR(SEARCH("Excessivamente elevado",N76)))</formula>
    </cfRule>
    <cfRule type="containsText" dxfId="204" priority="3284" operator="containsText" text="Válido">
      <formula>NOT(ISERROR(SEARCH("Válido",N76)))</formula>
    </cfRule>
    <cfRule type="containsText" dxfId="203" priority="3285" operator="containsText" text="Inexequível">
      <formula>NOT(ISERROR(SEARCH("Inexequível",N76)))</formula>
    </cfRule>
    <cfRule type="aboveAverage" dxfId="202" priority="3286" aboveAverage="0"/>
  </conditionalFormatting>
  <conditionalFormatting sqref="M51">
    <cfRule type="cellIs" dxfId="201" priority="85" operator="lessThan">
      <formula>"K$25"</formula>
    </cfRule>
    <cfRule type="cellIs" dxfId="200" priority="86" operator="greaterThan">
      <formula>"J$25"</formula>
    </cfRule>
  </conditionalFormatting>
  <conditionalFormatting sqref="M51">
    <cfRule type="cellIs" dxfId="199" priority="83" operator="lessThan">
      <formula>"K$25"</formula>
    </cfRule>
    <cfRule type="cellIs" dxfId="198" priority="84" operator="greaterThan">
      <formula>"J&amp;25"</formula>
    </cfRule>
  </conditionalFormatting>
  <conditionalFormatting sqref="M51">
    <cfRule type="containsText" dxfId="197" priority="82" operator="containsText" text="Excessivamente elevado">
      <formula>NOT(ISERROR(SEARCH("Excessivamente elevado",M51)))</formula>
    </cfRule>
  </conditionalFormatting>
  <conditionalFormatting sqref="M51">
    <cfRule type="containsText" priority="87" operator="containsText" text="Excessivamente elevado">
      <formula>NOT(ISERROR(SEARCH("Excessivamente elevado",M51)))</formula>
    </cfRule>
    <cfRule type="containsText" dxfId="196" priority="88" operator="containsText" text="Válido">
      <formula>NOT(ISERROR(SEARCH("Válido",M51)))</formula>
    </cfRule>
    <cfRule type="containsText" dxfId="195" priority="89" operator="containsText" text="Inexequível">
      <formula>NOT(ISERROR(SEARCH("Inexequível",M51)))</formula>
    </cfRule>
    <cfRule type="aboveAverage" dxfId="194" priority="90" aboveAverage="0"/>
  </conditionalFormatting>
  <conditionalFormatting sqref="M52">
    <cfRule type="cellIs" dxfId="193" priority="76" operator="lessThan">
      <formula>"K$25"</formula>
    </cfRule>
    <cfRule type="cellIs" dxfId="192" priority="77" operator="greaterThan">
      <formula>"J$25"</formula>
    </cfRule>
  </conditionalFormatting>
  <conditionalFormatting sqref="M52">
    <cfRule type="cellIs" dxfId="191" priority="74" operator="lessThan">
      <formula>"K$25"</formula>
    </cfRule>
    <cfRule type="cellIs" dxfId="190" priority="75" operator="greaterThan">
      <formula>"J&amp;25"</formula>
    </cfRule>
  </conditionalFormatting>
  <conditionalFormatting sqref="M52">
    <cfRule type="containsText" dxfId="189" priority="73" operator="containsText" text="Excessivamente elevado">
      <formula>NOT(ISERROR(SEARCH("Excessivamente elevado",M52)))</formula>
    </cfRule>
  </conditionalFormatting>
  <conditionalFormatting sqref="M52">
    <cfRule type="containsText" priority="78" operator="containsText" text="Excessivamente elevado">
      <formula>NOT(ISERROR(SEARCH("Excessivamente elevado",M52)))</formula>
    </cfRule>
    <cfRule type="containsText" dxfId="188" priority="79" operator="containsText" text="Válido">
      <formula>NOT(ISERROR(SEARCH("Válido",M52)))</formula>
    </cfRule>
    <cfRule type="containsText" dxfId="187" priority="80" operator="containsText" text="Inexequível">
      <formula>NOT(ISERROR(SEARCH("Inexequível",M52)))</formula>
    </cfRule>
    <cfRule type="aboveAverage" dxfId="186" priority="81" aboveAverage="0"/>
  </conditionalFormatting>
  <conditionalFormatting sqref="M63:M64">
    <cfRule type="cellIs" dxfId="185" priority="67" operator="lessThan">
      <formula>"K$25"</formula>
    </cfRule>
    <cfRule type="cellIs" dxfId="184" priority="68" operator="greaterThan">
      <formula>"J$25"</formula>
    </cfRule>
  </conditionalFormatting>
  <conditionalFormatting sqref="M63:M64">
    <cfRule type="cellIs" dxfId="183" priority="65" operator="lessThan">
      <formula>"K$25"</formula>
    </cfRule>
    <cfRule type="cellIs" dxfId="182" priority="66" operator="greaterThan">
      <formula>"J&amp;25"</formula>
    </cfRule>
  </conditionalFormatting>
  <conditionalFormatting sqref="M63:M64">
    <cfRule type="containsText" dxfId="181" priority="64" operator="containsText" text="Excessivamente elevado">
      <formula>NOT(ISERROR(SEARCH("Excessivamente elevado",M63)))</formula>
    </cfRule>
  </conditionalFormatting>
  <conditionalFormatting sqref="M63:M64">
    <cfRule type="containsText" priority="69" operator="containsText" text="Excessivamente elevado">
      <formula>NOT(ISERROR(SEARCH("Excessivamente elevado",M63)))</formula>
    </cfRule>
    <cfRule type="containsText" dxfId="180" priority="70" operator="containsText" text="Válido">
      <formula>NOT(ISERROR(SEARCH("Válido",M63)))</formula>
    </cfRule>
    <cfRule type="containsText" dxfId="179" priority="71" operator="containsText" text="Inexequível">
      <formula>NOT(ISERROR(SEARCH("Inexequível",M63)))</formula>
    </cfRule>
    <cfRule type="aboveAverage" dxfId="178" priority="72" aboveAverage="0"/>
  </conditionalFormatting>
  <conditionalFormatting sqref="M65:M66">
    <cfRule type="cellIs" dxfId="177" priority="58" operator="lessThan">
      <formula>"K$25"</formula>
    </cfRule>
    <cfRule type="cellIs" dxfId="176" priority="59" operator="greaterThan">
      <formula>"J$25"</formula>
    </cfRule>
  </conditionalFormatting>
  <conditionalFormatting sqref="M65:M66">
    <cfRule type="cellIs" dxfId="175" priority="56" operator="lessThan">
      <formula>"K$25"</formula>
    </cfRule>
    <cfRule type="cellIs" dxfId="174" priority="57" operator="greaterThan">
      <formula>"J&amp;25"</formula>
    </cfRule>
  </conditionalFormatting>
  <conditionalFormatting sqref="M65:M66">
    <cfRule type="containsText" dxfId="173" priority="55" operator="containsText" text="Excessivamente elevado">
      <formula>NOT(ISERROR(SEARCH("Excessivamente elevado",M65)))</formula>
    </cfRule>
  </conditionalFormatting>
  <conditionalFormatting sqref="M65:M66">
    <cfRule type="containsText" priority="60" operator="containsText" text="Excessivamente elevado">
      <formula>NOT(ISERROR(SEARCH("Excessivamente elevado",M65)))</formula>
    </cfRule>
    <cfRule type="containsText" dxfId="172" priority="61" operator="containsText" text="Válido">
      <formula>NOT(ISERROR(SEARCH("Válido",M65)))</formula>
    </cfRule>
    <cfRule type="containsText" dxfId="171" priority="62" operator="containsText" text="Inexequível">
      <formula>NOT(ISERROR(SEARCH("Inexequível",M65)))</formula>
    </cfRule>
    <cfRule type="aboveAverage" dxfId="170" priority="63" aboveAverage="0"/>
  </conditionalFormatting>
  <conditionalFormatting sqref="M73">
    <cfRule type="cellIs" dxfId="169" priority="40" operator="lessThan">
      <formula>"K$25"</formula>
    </cfRule>
    <cfRule type="cellIs" dxfId="168" priority="41" operator="greaterThan">
      <formula>"J$25"</formula>
    </cfRule>
  </conditionalFormatting>
  <conditionalFormatting sqref="M73">
    <cfRule type="cellIs" dxfId="167" priority="38" operator="lessThan">
      <formula>"K$25"</formula>
    </cfRule>
    <cfRule type="cellIs" dxfId="166" priority="39" operator="greaterThan">
      <formula>"J&amp;25"</formula>
    </cfRule>
  </conditionalFormatting>
  <conditionalFormatting sqref="M73">
    <cfRule type="containsText" dxfId="165" priority="37" operator="containsText" text="Excessivamente elevado">
      <formula>NOT(ISERROR(SEARCH("Excessivamente elevado",M73)))</formula>
    </cfRule>
  </conditionalFormatting>
  <conditionalFormatting sqref="M73">
    <cfRule type="containsText" priority="42" operator="containsText" text="Excessivamente elevado">
      <formula>NOT(ISERROR(SEARCH("Excessivamente elevado",M73)))</formula>
    </cfRule>
    <cfRule type="containsText" dxfId="164" priority="43" operator="containsText" text="Válido">
      <formula>NOT(ISERROR(SEARCH("Válido",M73)))</formula>
    </cfRule>
    <cfRule type="containsText" dxfId="163" priority="44" operator="containsText" text="Inexequível">
      <formula>NOT(ISERROR(SEARCH("Inexequível",M73)))</formula>
    </cfRule>
    <cfRule type="aboveAverage" dxfId="162" priority="45" aboveAverage="0"/>
  </conditionalFormatting>
  <conditionalFormatting sqref="M74:M78">
    <cfRule type="cellIs" dxfId="161" priority="31" operator="lessThan">
      <formula>"K$25"</formula>
    </cfRule>
    <cfRule type="cellIs" dxfId="160" priority="32" operator="greaterThan">
      <formula>"J$25"</formula>
    </cfRule>
  </conditionalFormatting>
  <conditionalFormatting sqref="M74:M78">
    <cfRule type="cellIs" dxfId="159" priority="29" operator="lessThan">
      <formula>"K$25"</formula>
    </cfRule>
    <cfRule type="cellIs" dxfId="158" priority="30" operator="greaterThan">
      <formula>"J&amp;25"</formula>
    </cfRule>
  </conditionalFormatting>
  <conditionalFormatting sqref="M74:M78">
    <cfRule type="containsText" dxfId="157" priority="28" operator="containsText" text="Excessivamente elevado">
      <formula>NOT(ISERROR(SEARCH("Excessivamente elevado",M74)))</formula>
    </cfRule>
  </conditionalFormatting>
  <conditionalFormatting sqref="M74:M78">
    <cfRule type="containsText" priority="33" operator="containsText" text="Excessivamente elevado">
      <formula>NOT(ISERROR(SEARCH("Excessivamente elevado",M74)))</formula>
    </cfRule>
    <cfRule type="containsText" dxfId="156" priority="34" operator="containsText" text="Válido">
      <formula>NOT(ISERROR(SEARCH("Válido",M74)))</formula>
    </cfRule>
    <cfRule type="containsText" dxfId="155" priority="35" operator="containsText" text="Inexequível">
      <formula>NOT(ISERROR(SEARCH("Inexequível",M74)))</formula>
    </cfRule>
    <cfRule type="aboveAverage" dxfId="154" priority="36" aboveAverage="0"/>
  </conditionalFormatting>
  <conditionalFormatting sqref="M84:M85">
    <cfRule type="cellIs" dxfId="153" priority="13" operator="lessThan">
      <formula>"K$25"</formula>
    </cfRule>
    <cfRule type="cellIs" dxfId="152" priority="14" operator="greaterThan">
      <formula>"J$25"</formula>
    </cfRule>
  </conditionalFormatting>
  <conditionalFormatting sqref="M84:M85">
    <cfRule type="cellIs" dxfId="151" priority="11" operator="lessThan">
      <formula>"K$25"</formula>
    </cfRule>
    <cfRule type="cellIs" dxfId="150" priority="12" operator="greaterThan">
      <formula>"J&amp;25"</formula>
    </cfRule>
  </conditionalFormatting>
  <conditionalFormatting sqref="M84:M85">
    <cfRule type="containsText" dxfId="149" priority="10" operator="containsText" text="Excessivamente elevado">
      <formula>NOT(ISERROR(SEARCH("Excessivamente elevado",M84)))</formula>
    </cfRule>
  </conditionalFormatting>
  <conditionalFormatting sqref="N82:N83">
    <cfRule type="containsText" priority="3313" operator="containsText" text="Excessivamente elevado">
      <formula>NOT(ISERROR(SEARCH("Excessivamente elevado",N82)))</formula>
    </cfRule>
    <cfRule type="containsText" dxfId="148" priority="3314" operator="containsText" text="Válido">
      <formula>NOT(ISERROR(SEARCH("Válido",N82)))</formula>
    </cfRule>
    <cfRule type="containsText" dxfId="147" priority="3315" operator="containsText" text="Inexequível">
      <formula>NOT(ISERROR(SEARCH("Inexequível",N82)))</formula>
    </cfRule>
    <cfRule type="aboveAverage" dxfId="146" priority="3316" aboveAverage="0"/>
  </conditionalFormatting>
  <conditionalFormatting sqref="M68:M72">
    <cfRule type="containsText" priority="4582" operator="containsText" text="Excessivamente elevado">
      <formula>NOT(ISERROR(SEARCH("Excessivamente elevado",M68)))</formula>
    </cfRule>
    <cfRule type="containsText" dxfId="145" priority="4583" operator="containsText" text="Válido">
      <formula>NOT(ISERROR(SEARCH("Válido",M68)))</formula>
    </cfRule>
    <cfRule type="containsText" dxfId="144" priority="4584" operator="containsText" text="Inexequível">
      <formula>NOT(ISERROR(SEARCH("Inexequível",M68)))</formula>
    </cfRule>
    <cfRule type="aboveAverage" dxfId="143" priority="4585" aboveAverage="0"/>
  </conditionalFormatting>
  <conditionalFormatting sqref="N68:O72 N47:O49 N53:O56 M42:M45">
    <cfRule type="containsText" priority="4586" operator="containsText" text="Excessivamente elevado">
      <formula>NOT(ISERROR(SEARCH("Excessivamente elevado",M42)))</formula>
    </cfRule>
    <cfRule type="containsText" dxfId="142" priority="4587" operator="containsText" text="Válido">
      <formula>NOT(ISERROR(SEARCH("Válido",M42)))</formula>
    </cfRule>
    <cfRule type="containsText" dxfId="141" priority="4588" operator="containsText" text="Inexequível">
      <formula>NOT(ISERROR(SEARCH("Inexequível",M42)))</formula>
    </cfRule>
    <cfRule type="aboveAverage" dxfId="140" priority="4589" aboveAverage="0"/>
  </conditionalFormatting>
  <conditionalFormatting sqref="M80:M81">
    <cfRule type="containsText" priority="4600" operator="containsText" text="Excessivamente elevado">
      <formula>NOT(ISERROR(SEARCH("Excessivamente elevado",M80)))</formula>
    </cfRule>
    <cfRule type="containsText" dxfId="139" priority="4601" operator="containsText" text="Válido">
      <formula>NOT(ISERROR(SEARCH("Válido",M80)))</formula>
    </cfRule>
    <cfRule type="containsText" dxfId="138" priority="4602" operator="containsText" text="Inexequível">
      <formula>NOT(ISERROR(SEARCH("Inexequível",M80)))</formula>
    </cfRule>
    <cfRule type="aboveAverage" dxfId="137" priority="4603" aboveAverage="0"/>
  </conditionalFormatting>
  <conditionalFormatting sqref="N43:N45">
    <cfRule type="containsText" priority="5034" operator="containsText" text="Excessivamente elevado">
      <formula>NOT(ISERROR(SEARCH("Excessivamente elevado",N43)))</formula>
    </cfRule>
    <cfRule type="containsText" dxfId="136" priority="5035" operator="containsText" text="Válido">
      <formula>NOT(ISERROR(SEARCH("Válido",N43)))</formula>
    </cfRule>
    <cfRule type="containsText" dxfId="135" priority="5036" operator="containsText" text="Inexequível">
      <formula>NOT(ISERROR(SEARCH("Inexequível",N43)))</formula>
    </cfRule>
    <cfRule type="aboveAverage" dxfId="134" priority="5037" aboveAverage="0"/>
  </conditionalFormatting>
  <conditionalFormatting sqref="N61:O64">
    <cfRule type="containsText" priority="5038" operator="containsText" text="Excessivamente elevado">
      <formula>NOT(ISERROR(SEARCH("Excessivamente elevado",N61)))</formula>
    </cfRule>
    <cfRule type="containsText" dxfId="133" priority="5039" operator="containsText" text="Válido">
      <formula>NOT(ISERROR(SEARCH("Válido",N61)))</formula>
    </cfRule>
    <cfRule type="containsText" dxfId="132" priority="5040" operator="containsText" text="Inexequível">
      <formula>NOT(ISERROR(SEARCH("Inexequível",N61)))</formula>
    </cfRule>
    <cfRule type="aboveAverage" dxfId="131" priority="5041" aboveAverage="0"/>
  </conditionalFormatting>
  <conditionalFormatting sqref="N58">
    <cfRule type="containsText" dxfId="130" priority="5" operator="containsText" text="Excessivamente elevado">
      <formula>NOT(ISERROR(SEARCH("Excessivamente elevado",N58)))</formula>
    </cfRule>
  </conditionalFormatting>
  <conditionalFormatting sqref="N58">
    <cfRule type="cellIs" dxfId="129" priority="3" operator="lessThan">
      <formula>"K$25"</formula>
    </cfRule>
    <cfRule type="cellIs" dxfId="128" priority="4" operator="greaterThan">
      <formula>"J$25"</formula>
    </cfRule>
  </conditionalFormatting>
  <conditionalFormatting sqref="N58">
    <cfRule type="cellIs" dxfId="127" priority="1" operator="lessThan">
      <formula>"K$25"</formula>
    </cfRule>
    <cfRule type="cellIs" dxfId="126" priority="2" operator="greaterThan">
      <formula>"J&amp;25"</formula>
    </cfRule>
  </conditionalFormatting>
  <conditionalFormatting sqref="N58">
    <cfRule type="containsText" priority="6" operator="containsText" text="Excessivamente elevado">
      <formula>NOT(ISERROR(SEARCH("Excessivamente elevado",N58)))</formula>
    </cfRule>
    <cfRule type="containsText" dxfId="125" priority="7" operator="containsText" text="Válido">
      <formula>NOT(ISERROR(SEARCH("Válido",N58)))</formula>
    </cfRule>
    <cfRule type="containsText" dxfId="124" priority="8" operator="containsText" text="Inexequível">
      <formula>NOT(ISERROR(SEARCH("Inexequível",N58)))</formula>
    </cfRule>
    <cfRule type="aboveAverage" dxfId="123" priority="9" aboveAverage="0"/>
  </conditionalFormatting>
  <conditionalFormatting sqref="M84:M85">
    <cfRule type="containsText" priority="5042" operator="containsText" text="Excessivamente elevado">
      <formula>NOT(ISERROR(SEARCH("Excessivamente elevado",M84)))</formula>
    </cfRule>
    <cfRule type="containsText" dxfId="122" priority="5043" operator="containsText" text="Válido">
      <formula>NOT(ISERROR(SEARCH("Válido",M84)))</formula>
    </cfRule>
    <cfRule type="containsText" dxfId="121" priority="5044" operator="containsText" text="Inexequível">
      <formula>NOT(ISERROR(SEARCH("Inexequível",M84)))</formula>
    </cfRule>
    <cfRule type="aboveAverage" dxfId="120" priority="5045" aboveAverage="0"/>
  </conditionalFormatting>
  <pageMargins left="0.7" right="0.7" top="0.75" bottom="0.75" header="0.3" footer="0.3"/>
  <pageSetup paperSize="9" scale="6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57622-0706-44B7-9130-9AC75727B6B0}">
  <sheetPr>
    <tabColor rgb="FF0070C0"/>
  </sheetPr>
  <dimension ref="A1:AD32"/>
  <sheetViews>
    <sheetView showGridLines="0" topLeftCell="A3" zoomScale="115" zoomScaleNormal="115" workbookViewId="0">
      <selection activeCell="J20" sqref="J20:J26"/>
    </sheetView>
  </sheetViews>
  <sheetFormatPr defaultColWidth="9.109375" defaultRowHeight="14.4" x14ac:dyDescent="0.3"/>
  <cols>
    <col min="1" max="1" width="4.5546875" style="20" customWidth="1"/>
    <col min="2" max="2" width="23.6640625" customWidth="1"/>
    <col min="3" max="3" width="6.33203125" customWidth="1"/>
    <col min="4" max="4" width="5.33203125" style="20" customWidth="1"/>
    <col min="5" max="5" width="23.109375" style="13" customWidth="1"/>
    <col min="6" max="6" width="12.44140625" style="13" customWidth="1"/>
    <col min="7" max="7" width="25.5546875" style="13" customWidth="1"/>
    <col min="8" max="8" width="7.33203125" style="13" customWidth="1"/>
    <col min="9" max="9" width="12" style="13" customWidth="1"/>
    <col min="10" max="10" width="9.88671875" style="13" customWidth="1"/>
    <col min="11" max="11" width="10.109375" style="13" hidden="1" customWidth="1"/>
    <col min="12" max="12" width="10.88671875" style="13" hidden="1" customWidth="1"/>
    <col min="13" max="13" width="13.44140625" style="13" customWidth="1"/>
    <col min="14" max="14" width="16.6640625" style="13" hidden="1" customWidth="1"/>
    <col min="15" max="15" width="12" customWidth="1"/>
    <col min="16" max="16" width="13.33203125" customWidth="1"/>
    <col min="18" max="18" width="13.44140625" customWidth="1"/>
    <col min="21" max="21" width="12.5546875" bestFit="1" customWidth="1"/>
    <col min="24" max="24" width="10.5546875" bestFit="1" customWidth="1"/>
  </cols>
  <sheetData>
    <row r="1" spans="1:30" ht="15" thickBot="1" x14ac:dyDescent="0.35">
      <c r="R1" s="114" t="s">
        <v>79</v>
      </c>
      <c r="S1" s="114"/>
      <c r="T1" s="114"/>
      <c r="U1" s="114"/>
      <c r="V1" s="114"/>
      <c r="W1" s="114"/>
      <c r="X1" s="114"/>
      <c r="Y1" s="115"/>
      <c r="Z1" s="115"/>
      <c r="AA1" s="115"/>
      <c r="AB1" s="115"/>
      <c r="AC1" s="115"/>
    </row>
    <row r="2" spans="1:30" ht="15.6" thickTop="1" thickBot="1" x14ac:dyDescent="0.35">
      <c r="A2" s="72" t="s">
        <v>140</v>
      </c>
      <c r="B2" s="29"/>
      <c r="C2" s="29"/>
      <c r="D2" s="29"/>
      <c r="E2"/>
      <c r="F2"/>
      <c r="G2" s="107"/>
      <c r="H2" s="339"/>
      <c r="I2" s="97"/>
      <c r="J2" s="97"/>
      <c r="K2"/>
      <c r="L2"/>
      <c r="M2"/>
      <c r="N2"/>
      <c r="R2" s="114"/>
      <c r="S2" s="114"/>
      <c r="T2" s="114"/>
      <c r="U2" s="114"/>
      <c r="V2" s="114"/>
      <c r="W2" s="114"/>
      <c r="X2" s="114"/>
      <c r="Y2" s="115"/>
      <c r="Z2" s="115"/>
      <c r="AA2" s="115"/>
      <c r="AB2" s="115"/>
      <c r="AC2" s="115"/>
    </row>
    <row r="3" spans="1:30" ht="15" thickTop="1" x14ac:dyDescent="0.3">
      <c r="A3" s="59" t="s">
        <v>5</v>
      </c>
      <c r="B3" s="60"/>
      <c r="C3" s="60"/>
      <c r="D3" s="62"/>
      <c r="E3" s="70">
        <f>AVERAGE(I20:I26)</f>
        <v>28.78857142857143</v>
      </c>
      <c r="F3" s="61"/>
      <c r="G3" s="100"/>
      <c r="H3" s="129"/>
      <c r="I3" s="102"/>
      <c r="J3" s="102"/>
      <c r="K3" s="60"/>
      <c r="L3"/>
      <c r="M3"/>
      <c r="N3"/>
      <c r="Q3" s="20"/>
      <c r="R3" s="115"/>
      <c r="S3" s="113"/>
      <c r="T3" s="115"/>
      <c r="U3" s="115"/>
      <c r="V3" s="115"/>
      <c r="W3" s="115"/>
      <c r="X3" s="115"/>
      <c r="Y3" s="115"/>
      <c r="Z3" s="115"/>
      <c r="AA3" s="115"/>
      <c r="AB3" s="115"/>
      <c r="AC3" s="115"/>
    </row>
    <row r="4" spans="1:30" x14ac:dyDescent="0.3">
      <c r="A4" s="59" t="s">
        <v>6</v>
      </c>
      <c r="B4" s="60"/>
      <c r="C4" s="60"/>
      <c r="D4" s="62"/>
      <c r="E4" s="70">
        <f>_xlfn.STDEV.S(I20:I26)</f>
        <v>2.7139296758969795</v>
      </c>
      <c r="F4" s="63"/>
      <c r="G4" s="100"/>
      <c r="H4" s="129"/>
      <c r="I4" s="102"/>
      <c r="J4" s="102"/>
      <c r="K4" s="60"/>
      <c r="L4"/>
      <c r="M4"/>
      <c r="N4"/>
      <c r="Q4" s="20"/>
      <c r="R4" s="269" t="s">
        <v>80</v>
      </c>
      <c r="S4" s="269"/>
      <c r="T4" s="269"/>
      <c r="U4" s="269"/>
      <c r="V4" s="269"/>
      <c r="W4" s="269"/>
      <c r="X4" s="269"/>
      <c r="Y4" s="269"/>
      <c r="Z4" s="269"/>
      <c r="AA4" s="115"/>
      <c r="AB4" s="113" t="s">
        <v>81</v>
      </c>
      <c r="AC4" s="115"/>
    </row>
    <row r="5" spans="1:30" x14ac:dyDescent="0.3">
      <c r="A5" s="59" t="s">
        <v>29</v>
      </c>
      <c r="B5" s="60"/>
      <c r="C5" s="60"/>
      <c r="D5" s="62"/>
      <c r="E5" s="71">
        <f>(E4/E3)*100</f>
        <v>9.4271078460097542</v>
      </c>
      <c r="F5" s="63"/>
      <c r="G5" s="100"/>
      <c r="H5" s="129"/>
      <c r="I5" s="104"/>
      <c r="J5" s="104"/>
      <c r="K5" s="60"/>
      <c r="L5"/>
      <c r="M5"/>
      <c r="N5"/>
      <c r="Q5" s="20"/>
      <c r="R5" s="115" t="s">
        <v>82</v>
      </c>
      <c r="S5" s="268" t="s">
        <v>83</v>
      </c>
      <c r="T5" s="268"/>
      <c r="U5" s="268"/>
      <c r="V5" s="268"/>
      <c r="W5" s="268"/>
      <c r="X5" s="268"/>
      <c r="Y5" s="268"/>
      <c r="Z5" s="268"/>
      <c r="AA5" s="115"/>
      <c r="AB5" s="199" t="s">
        <v>125</v>
      </c>
      <c r="AC5" s="115"/>
    </row>
    <row r="6" spans="1:30" x14ac:dyDescent="0.3">
      <c r="A6" s="59" t="s">
        <v>7</v>
      </c>
      <c r="B6" s="60"/>
      <c r="C6" s="60"/>
      <c r="D6" s="62"/>
      <c r="E6" s="378" t="str">
        <f>IF(E5&gt;25,"Mediana","Média")</f>
        <v>Média</v>
      </c>
      <c r="F6" s="64"/>
      <c r="G6" s="100"/>
      <c r="H6" s="129"/>
      <c r="I6" s="158"/>
      <c r="J6" s="106"/>
      <c r="K6" s="60"/>
      <c r="L6"/>
      <c r="M6"/>
      <c r="N6"/>
      <c r="Q6" s="20"/>
      <c r="R6" s="115" t="s">
        <v>84</v>
      </c>
      <c r="S6" s="268" t="s">
        <v>85</v>
      </c>
      <c r="T6" s="268"/>
      <c r="U6" s="268"/>
      <c r="V6" s="268"/>
      <c r="W6" s="268"/>
      <c r="X6" s="268"/>
      <c r="Y6" s="268"/>
      <c r="Z6" s="268"/>
      <c r="AA6" s="115"/>
      <c r="AB6" s="199" t="s">
        <v>125</v>
      </c>
      <c r="AC6" s="115"/>
    </row>
    <row r="7" spans="1:30" x14ac:dyDescent="0.3">
      <c r="A7" s="59" t="s">
        <v>8</v>
      </c>
      <c r="B7" s="60"/>
      <c r="C7" s="60"/>
      <c r="D7" s="62"/>
      <c r="E7" s="70">
        <f>MIN(I20:P26)</f>
        <v>20.152000000000001</v>
      </c>
      <c r="F7" s="61"/>
      <c r="G7" s="100"/>
      <c r="H7" s="129"/>
      <c r="I7" s="102"/>
      <c r="J7" s="102"/>
      <c r="K7" s="60"/>
      <c r="L7"/>
      <c r="M7"/>
      <c r="N7"/>
      <c r="Q7" s="20"/>
      <c r="R7" s="115" t="s">
        <v>86</v>
      </c>
      <c r="S7" s="268" t="s">
        <v>87</v>
      </c>
      <c r="T7" s="268"/>
      <c r="U7" s="268"/>
      <c r="V7" s="268"/>
      <c r="W7" s="268"/>
      <c r="X7" s="268"/>
      <c r="Y7" s="268"/>
      <c r="Z7" s="268"/>
      <c r="AA7" s="115"/>
      <c r="AB7" s="199" t="s">
        <v>125</v>
      </c>
      <c r="AC7" s="115"/>
    </row>
    <row r="8" spans="1:30" x14ac:dyDescent="0.3">
      <c r="A8" s="59"/>
      <c r="B8" s="60"/>
      <c r="C8" s="60"/>
      <c r="D8" s="62"/>
      <c r="E8" s="65"/>
      <c r="F8" s="65"/>
      <c r="G8" s="66"/>
      <c r="H8" s="80"/>
      <c r="I8" s="50"/>
      <c r="J8" s="50"/>
      <c r="K8" s="50"/>
      <c r="R8" s="115" t="s">
        <v>88</v>
      </c>
      <c r="S8" s="267" t="s">
        <v>164</v>
      </c>
      <c r="T8" s="268"/>
      <c r="U8" s="268"/>
      <c r="V8" s="268"/>
      <c r="W8" s="268"/>
      <c r="X8" s="268"/>
      <c r="Y8" s="268"/>
      <c r="Z8" s="268"/>
      <c r="AA8" s="115"/>
      <c r="AB8" s="199" t="s">
        <v>125</v>
      </c>
      <c r="AC8" s="115"/>
    </row>
    <row r="9" spans="1:30" x14ac:dyDescent="0.3">
      <c r="K9"/>
      <c r="R9" s="115" t="s">
        <v>90</v>
      </c>
      <c r="S9" s="268" t="s">
        <v>91</v>
      </c>
      <c r="T9" s="268"/>
      <c r="U9" s="268"/>
      <c r="V9" s="268"/>
      <c r="W9" s="268"/>
      <c r="X9" s="268"/>
      <c r="Y9" s="268"/>
      <c r="Z9" s="268"/>
      <c r="AA9" s="115"/>
      <c r="AB9" s="116" t="s">
        <v>125</v>
      </c>
      <c r="AC9" s="115"/>
    </row>
    <row r="10" spans="1:30" x14ac:dyDescent="0.3">
      <c r="A10" s="318"/>
      <c r="B10" s="319"/>
      <c r="C10" s="319"/>
      <c r="D10" s="319"/>
      <c r="E10" s="320"/>
      <c r="F10" s="320"/>
      <c r="G10" s="318"/>
      <c r="H10" s="330"/>
      <c r="I10" s="329"/>
      <c r="K10"/>
      <c r="L10"/>
      <c r="M10"/>
      <c r="N10"/>
      <c r="R10" s="115" t="s">
        <v>92</v>
      </c>
      <c r="S10" s="268" t="s">
        <v>93</v>
      </c>
      <c r="T10" s="268"/>
      <c r="U10" s="268"/>
      <c r="V10" s="268"/>
      <c r="W10" s="268"/>
      <c r="X10" s="268"/>
      <c r="Y10" s="268"/>
      <c r="Z10" s="268"/>
      <c r="AA10" s="115"/>
      <c r="AB10" s="199" t="s">
        <v>125</v>
      </c>
      <c r="AC10" s="115"/>
    </row>
    <row r="11" spans="1:30" x14ac:dyDescent="0.3">
      <c r="A11" s="331"/>
      <c r="B11" s="327"/>
      <c r="C11" s="327"/>
      <c r="D11" s="332"/>
      <c r="E11" s="322"/>
      <c r="F11" s="333"/>
      <c r="G11" s="321"/>
      <c r="H11" s="334"/>
      <c r="I11" s="322"/>
      <c r="J11" s="70"/>
      <c r="K11" s="50"/>
      <c r="L11" s="50"/>
      <c r="R11" s="115" t="s">
        <v>94</v>
      </c>
      <c r="S11" s="268" t="s">
        <v>95</v>
      </c>
      <c r="T11" s="268"/>
      <c r="U11" s="268"/>
      <c r="V11" s="268"/>
      <c r="W11" s="268"/>
      <c r="X11" s="268"/>
      <c r="Y11" s="267" t="s">
        <v>163</v>
      </c>
      <c r="Z11" s="268"/>
      <c r="AA11" s="115"/>
      <c r="AB11" s="199" t="s">
        <v>127</v>
      </c>
      <c r="AC11" s="115"/>
    </row>
    <row r="12" spans="1:30" x14ac:dyDescent="0.3">
      <c r="A12" s="331"/>
      <c r="B12" s="327"/>
      <c r="C12" s="327"/>
      <c r="D12" s="332"/>
      <c r="E12" s="322"/>
      <c r="F12" s="335"/>
      <c r="G12" s="321"/>
      <c r="H12" s="336"/>
      <c r="I12" s="322"/>
      <c r="J12" s="70"/>
      <c r="K12" s="50"/>
      <c r="L12" s="50"/>
      <c r="R12" s="115" t="s">
        <v>96</v>
      </c>
      <c r="S12" s="268" t="s">
        <v>97</v>
      </c>
      <c r="T12" s="268"/>
      <c r="U12" s="268"/>
      <c r="V12" s="268"/>
      <c r="W12" s="268"/>
      <c r="X12" s="268"/>
      <c r="Y12" s="268"/>
      <c r="Z12" s="268"/>
      <c r="AA12" s="115"/>
      <c r="AB12" s="116" t="s">
        <v>125</v>
      </c>
      <c r="AC12" s="115"/>
    </row>
    <row r="13" spans="1:30" x14ac:dyDescent="0.3">
      <c r="A13" s="331"/>
      <c r="B13" s="327"/>
      <c r="C13" s="327"/>
      <c r="D13" s="332"/>
      <c r="E13" s="323"/>
      <c r="F13" s="335"/>
      <c r="G13" s="321"/>
      <c r="H13" s="336"/>
      <c r="I13" s="323"/>
      <c r="J13" s="71"/>
      <c r="K13" s="50"/>
      <c r="L13" s="50"/>
      <c r="R13" s="115" t="s">
        <v>98</v>
      </c>
      <c r="S13" s="268" t="s">
        <v>99</v>
      </c>
      <c r="T13" s="268"/>
      <c r="U13" s="268"/>
      <c r="V13" s="268"/>
      <c r="W13" s="268"/>
      <c r="X13" s="268"/>
      <c r="Y13" s="268"/>
      <c r="Z13" s="268"/>
      <c r="AA13" s="115"/>
      <c r="AB13" s="199" t="s">
        <v>127</v>
      </c>
      <c r="AC13" s="115"/>
    </row>
    <row r="14" spans="1:30" x14ac:dyDescent="0.3">
      <c r="A14" s="331"/>
      <c r="B14" s="327"/>
      <c r="C14" s="327"/>
      <c r="D14" s="332"/>
      <c r="E14" s="324"/>
      <c r="F14" s="337"/>
      <c r="G14" s="321"/>
      <c r="H14" s="338"/>
      <c r="I14" s="324"/>
      <c r="J14" s="106"/>
      <c r="K14" s="50"/>
      <c r="L14" s="50"/>
      <c r="R14" s="115" t="s">
        <v>100</v>
      </c>
      <c r="S14" s="268" t="s">
        <v>101</v>
      </c>
      <c r="T14" s="268"/>
      <c r="U14" s="268"/>
      <c r="V14" s="268"/>
      <c r="W14" s="268"/>
      <c r="X14" s="268"/>
      <c r="Y14" s="268"/>
      <c r="Z14" s="268"/>
      <c r="AA14" s="115"/>
      <c r="AB14" s="116" t="s">
        <v>125</v>
      </c>
      <c r="AC14" s="115"/>
    </row>
    <row r="15" spans="1:30" x14ac:dyDescent="0.3">
      <c r="A15" s="331"/>
      <c r="B15" s="327"/>
      <c r="C15" s="327"/>
      <c r="D15" s="332"/>
      <c r="E15" s="322"/>
      <c r="F15" s="333"/>
      <c r="G15" s="321"/>
      <c r="H15" s="334"/>
      <c r="I15" s="322"/>
      <c r="J15" s="70"/>
      <c r="K15" s="50"/>
      <c r="L15" s="50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t="s">
        <v>136</v>
      </c>
    </row>
    <row r="16" spans="1:30" x14ac:dyDescent="0.3">
      <c r="A16" s="28"/>
      <c r="B16" s="60"/>
      <c r="C16" s="60"/>
      <c r="D16" s="62"/>
      <c r="E16" s="65"/>
      <c r="F16" s="65"/>
      <c r="G16" s="66"/>
      <c r="H16" s="80"/>
      <c r="I16" s="50"/>
      <c r="J16" s="50"/>
      <c r="K16" s="50"/>
      <c r="L16" s="50"/>
      <c r="R16" s="113" t="s">
        <v>102</v>
      </c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</row>
    <row r="17" spans="1:29" ht="36" customHeight="1" thickBot="1" x14ac:dyDescent="0.35">
      <c r="R17" s="268" t="s">
        <v>104</v>
      </c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</row>
    <row r="18" spans="1:29" ht="15" customHeight="1" x14ac:dyDescent="0.3">
      <c r="A18" s="708" t="s">
        <v>10</v>
      </c>
      <c r="B18" s="710" t="s">
        <v>11</v>
      </c>
      <c r="C18" s="712" t="s">
        <v>12</v>
      </c>
      <c r="D18" s="712" t="s">
        <v>13</v>
      </c>
      <c r="E18" s="712" t="s">
        <v>30</v>
      </c>
      <c r="F18" s="710" t="s">
        <v>31</v>
      </c>
      <c r="G18" s="710" t="s">
        <v>16</v>
      </c>
      <c r="H18" s="270" t="s">
        <v>17</v>
      </c>
      <c r="I18" s="728" t="s">
        <v>18</v>
      </c>
      <c r="J18" s="730" t="s">
        <v>66</v>
      </c>
      <c r="K18" s="702" t="s">
        <v>32</v>
      </c>
      <c r="L18" s="704" t="s">
        <v>33</v>
      </c>
      <c r="M18" s="698" t="s">
        <v>19</v>
      </c>
      <c r="N18" s="187"/>
      <c r="O18" s="723" t="s">
        <v>20</v>
      </c>
      <c r="P18" s="724"/>
      <c r="R18" s="268" t="s">
        <v>105</v>
      </c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</row>
    <row r="19" spans="1:29" s="6" customFormat="1" ht="15" thickBot="1" x14ac:dyDescent="0.35">
      <c r="A19" s="709"/>
      <c r="B19" s="711"/>
      <c r="C19" s="713"/>
      <c r="D19" s="713"/>
      <c r="E19" s="713"/>
      <c r="F19" s="711"/>
      <c r="G19" s="711"/>
      <c r="H19" s="272"/>
      <c r="I19" s="729"/>
      <c r="J19" s="731"/>
      <c r="K19" s="703"/>
      <c r="L19" s="705"/>
      <c r="M19" s="699"/>
      <c r="N19" s="188"/>
      <c r="O19" s="73" t="s">
        <v>21</v>
      </c>
      <c r="P19" s="74" t="s">
        <v>22</v>
      </c>
      <c r="R19" s="115" t="s">
        <v>106</v>
      </c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</row>
    <row r="20" spans="1:29" ht="43.5" customHeight="1" x14ac:dyDescent="0.3">
      <c r="A20" s="586">
        <v>35</v>
      </c>
      <c r="B20" s="780" t="s">
        <v>176</v>
      </c>
      <c r="C20" s="592" t="s">
        <v>23</v>
      </c>
      <c r="D20" s="592">
        <f>400+500+500</f>
        <v>1400</v>
      </c>
      <c r="E20" s="54" t="s">
        <v>262</v>
      </c>
      <c r="F20" s="45" t="s">
        <v>9</v>
      </c>
      <c r="G20" s="41" t="s">
        <v>263</v>
      </c>
      <c r="H20" s="33" t="s">
        <v>65</v>
      </c>
      <c r="I20" s="35">
        <v>24</v>
      </c>
      <c r="J20" s="688">
        <f>AVERAGE(I20:I26)</f>
        <v>28.78857142857143</v>
      </c>
      <c r="K20" s="88">
        <f>(J20*30%)+J20</f>
        <v>37.425142857142859</v>
      </c>
      <c r="L20" s="175">
        <f>70%*J20</f>
        <v>20.152000000000001</v>
      </c>
      <c r="M20" s="189" t="str">
        <f>IF(I20&gt;K$20,"EXCESSIVAMENTE ELEVADO",IF(I20&lt;L$20,"INEXEQUÍVEL","VÁLIDO"))</f>
        <v>VÁLIDO</v>
      </c>
      <c r="N20" s="190"/>
      <c r="O20" s="605">
        <f>TRUNC(AVERAGE(I20:I26),2)</f>
        <v>28.78</v>
      </c>
      <c r="P20" s="609">
        <f>D20*O20</f>
        <v>40292</v>
      </c>
      <c r="R20" s="715" t="s">
        <v>107</v>
      </c>
      <c r="S20" s="715"/>
      <c r="T20" s="715"/>
      <c r="U20" s="715"/>
      <c r="V20" s="715"/>
      <c r="W20" s="715"/>
      <c r="X20" s="715"/>
      <c r="Y20" s="715"/>
      <c r="Z20" s="715"/>
      <c r="AA20" s="715"/>
      <c r="AB20" s="715"/>
      <c r="AC20" s="115"/>
    </row>
    <row r="21" spans="1:29" ht="48" customHeight="1" x14ac:dyDescent="0.3">
      <c r="A21" s="587"/>
      <c r="B21" s="727"/>
      <c r="C21" s="584"/>
      <c r="D21" s="584"/>
      <c r="E21" s="54" t="s">
        <v>614</v>
      </c>
      <c r="F21" s="45" t="s">
        <v>9</v>
      </c>
      <c r="G21" s="41" t="s">
        <v>615</v>
      </c>
      <c r="H21" s="33" t="s">
        <v>65</v>
      </c>
      <c r="I21" s="35">
        <v>27</v>
      </c>
      <c r="J21" s="663"/>
      <c r="K21" s="87"/>
      <c r="L21" s="37"/>
      <c r="M21" s="189" t="str">
        <f t="shared" ref="M21:M26" si="0">IF(I21&gt;K$20,"EXCESSIVAMENTE ELEVADO",IF(I21&lt;L$20,"INEXEQUÍVEL","VÁLIDO"))</f>
        <v>VÁLIDO</v>
      </c>
      <c r="N21" s="165"/>
      <c r="O21" s="606"/>
      <c r="P21" s="610"/>
      <c r="R21" s="835"/>
      <c r="S21" s="835"/>
      <c r="T21" s="835"/>
      <c r="U21" s="835"/>
      <c r="V21" s="835"/>
      <c r="W21" s="835"/>
      <c r="X21" s="835"/>
      <c r="Y21" s="835"/>
      <c r="Z21" s="835"/>
      <c r="AA21" s="835"/>
      <c r="AB21" s="835"/>
      <c r="AC21" s="278"/>
    </row>
    <row r="22" spans="1:29" ht="37.200000000000003" customHeight="1" x14ac:dyDescent="0.3">
      <c r="A22" s="587"/>
      <c r="B22" s="727"/>
      <c r="C22" s="584"/>
      <c r="D22" s="584"/>
      <c r="E22" s="33" t="s">
        <v>254</v>
      </c>
      <c r="F22" s="33" t="s">
        <v>26</v>
      </c>
      <c r="G22" s="34" t="s">
        <v>252</v>
      </c>
      <c r="H22" s="38" t="s">
        <v>65</v>
      </c>
      <c r="I22" s="35">
        <v>27.9</v>
      </c>
      <c r="J22" s="663"/>
      <c r="K22" s="87"/>
      <c r="L22" s="37"/>
      <c r="M22" s="189" t="str">
        <f t="shared" si="0"/>
        <v>VÁLIDO</v>
      </c>
      <c r="N22" s="165"/>
      <c r="O22" s="606"/>
      <c r="P22" s="610"/>
      <c r="X22" s="25"/>
    </row>
    <row r="23" spans="1:29" ht="72.599999999999994" customHeight="1" x14ac:dyDescent="0.3">
      <c r="A23" s="587"/>
      <c r="B23" s="727"/>
      <c r="C23" s="584"/>
      <c r="D23" s="584"/>
      <c r="E23" s="54" t="s">
        <v>612</v>
      </c>
      <c r="F23" s="45" t="s">
        <v>9</v>
      </c>
      <c r="G23" s="41" t="s">
        <v>610</v>
      </c>
      <c r="H23" s="33" t="s">
        <v>68</v>
      </c>
      <c r="I23" s="35">
        <v>29.25</v>
      </c>
      <c r="J23" s="663"/>
      <c r="K23" s="300"/>
      <c r="L23" s="303"/>
      <c r="M23" s="189" t="str">
        <f t="shared" si="0"/>
        <v>VÁLIDO</v>
      </c>
      <c r="N23" s="166"/>
      <c r="O23" s="607"/>
      <c r="P23" s="611"/>
      <c r="X23" s="25"/>
    </row>
    <row r="24" spans="1:29" ht="84.6" customHeight="1" x14ac:dyDescent="0.3">
      <c r="A24" s="587"/>
      <c r="B24" s="727"/>
      <c r="C24" s="584"/>
      <c r="D24" s="584"/>
      <c r="E24" s="38" t="s">
        <v>273</v>
      </c>
      <c r="F24" s="38" t="s">
        <v>27</v>
      </c>
      <c r="G24" s="41" t="s">
        <v>251</v>
      </c>
      <c r="H24" s="350" t="s">
        <v>139</v>
      </c>
      <c r="I24" s="95">
        <f>29.9+0.7</f>
        <v>30.599999999999998</v>
      </c>
      <c r="J24" s="663"/>
      <c r="K24" s="300"/>
      <c r="L24" s="303"/>
      <c r="M24" s="189" t="str">
        <f t="shared" si="0"/>
        <v>VÁLIDO</v>
      </c>
      <c r="N24" s="166"/>
      <c r="O24" s="607"/>
      <c r="P24" s="611"/>
      <c r="X24" s="25"/>
    </row>
    <row r="25" spans="1:29" ht="45.6" customHeight="1" x14ac:dyDescent="0.3">
      <c r="A25" s="587"/>
      <c r="B25" s="727"/>
      <c r="C25" s="584"/>
      <c r="D25" s="584"/>
      <c r="E25" s="40" t="s">
        <v>227</v>
      </c>
      <c r="F25" s="45" t="s">
        <v>26</v>
      </c>
      <c r="G25" s="41" t="s">
        <v>228</v>
      </c>
      <c r="H25" s="38" t="s">
        <v>65</v>
      </c>
      <c r="I25" s="95">
        <v>31</v>
      </c>
      <c r="J25" s="663"/>
      <c r="K25" s="87"/>
      <c r="L25" s="37"/>
      <c r="M25" s="282" t="str">
        <f t="shared" si="0"/>
        <v>VÁLIDO</v>
      </c>
      <c r="N25" s="166"/>
      <c r="O25" s="607"/>
      <c r="P25" s="611"/>
      <c r="X25" s="25"/>
    </row>
    <row r="26" spans="1:29" ht="58.2" customHeight="1" thickBot="1" x14ac:dyDescent="0.35">
      <c r="A26" s="587"/>
      <c r="B26" s="727"/>
      <c r="C26" s="584"/>
      <c r="D26" s="584"/>
      <c r="E26" s="380" t="s">
        <v>613</v>
      </c>
      <c r="F26" s="45" t="s">
        <v>9</v>
      </c>
      <c r="G26" s="41" t="s">
        <v>611</v>
      </c>
      <c r="H26" s="38" t="s">
        <v>68</v>
      </c>
      <c r="I26" s="95">
        <v>31.77</v>
      </c>
      <c r="J26" s="664"/>
      <c r="K26" s="89"/>
      <c r="L26" s="35"/>
      <c r="M26" s="191" t="str">
        <f t="shared" si="0"/>
        <v>VÁLIDO</v>
      </c>
      <c r="N26" s="166"/>
      <c r="O26" s="607"/>
      <c r="P26" s="611"/>
      <c r="X26" s="25"/>
    </row>
    <row r="27" spans="1:29" ht="18.600000000000001" customHeight="1" thickBot="1" x14ac:dyDescent="0.35">
      <c r="A27" s="653"/>
      <c r="B27" s="654"/>
      <c r="C27" s="654"/>
      <c r="D27" s="654"/>
      <c r="E27" s="654"/>
      <c r="F27" s="654"/>
      <c r="G27" s="654"/>
      <c r="H27" s="654"/>
      <c r="I27" s="654"/>
      <c r="J27" s="654"/>
      <c r="K27" s="654"/>
      <c r="L27" s="654"/>
      <c r="M27" s="654"/>
      <c r="N27" s="654"/>
      <c r="O27" s="836"/>
      <c r="P27" s="174">
        <f>SUM(P20:P26)</f>
        <v>40292</v>
      </c>
    </row>
    <row r="29" spans="1:29" x14ac:dyDescent="0.3">
      <c r="A29" s="259"/>
    </row>
    <row r="30" spans="1:29" s="13" customFormat="1" x14ac:dyDescent="0.3">
      <c r="A30" s="62"/>
      <c r="B30" s="80"/>
      <c r="C30" s="62"/>
      <c r="D30" s="62"/>
      <c r="E30" s="82"/>
      <c r="F30" s="82"/>
      <c r="G30" s="81"/>
      <c r="H30" s="62"/>
      <c r="I30" s="62"/>
      <c r="J30" s="62"/>
      <c r="O30"/>
      <c r="P30"/>
      <c r="Q30"/>
      <c r="R30"/>
      <c r="S30"/>
      <c r="T30"/>
      <c r="U30"/>
      <c r="V30"/>
      <c r="W30"/>
      <c r="X30"/>
    </row>
    <row r="31" spans="1:29" s="13" customFormat="1" x14ac:dyDescent="0.3">
      <c r="A31" s="62"/>
      <c r="B31" s="80"/>
      <c r="C31" s="62"/>
      <c r="D31" s="62"/>
      <c r="E31" s="82"/>
      <c r="F31" s="82"/>
      <c r="G31" s="81"/>
      <c r="H31" s="62"/>
      <c r="I31" s="62"/>
      <c r="J31" s="62"/>
      <c r="O31"/>
      <c r="P31"/>
      <c r="Q31"/>
      <c r="R31"/>
      <c r="S31"/>
      <c r="T31"/>
      <c r="U31"/>
      <c r="V31"/>
      <c r="W31"/>
      <c r="X31"/>
    </row>
    <row r="32" spans="1:29" s="13" customFormat="1" x14ac:dyDescent="0.3">
      <c r="A32" s="62"/>
      <c r="B32" s="80"/>
      <c r="C32" s="62"/>
      <c r="D32" s="62"/>
      <c r="E32" s="82"/>
      <c r="F32" s="82"/>
      <c r="G32" s="81"/>
      <c r="H32" s="62"/>
      <c r="I32" s="62"/>
      <c r="J32" s="62"/>
      <c r="O32"/>
      <c r="P32"/>
      <c r="Q32"/>
      <c r="R32"/>
      <c r="S32"/>
      <c r="T32"/>
      <c r="U32"/>
      <c r="V32"/>
      <c r="W32"/>
      <c r="X32"/>
    </row>
  </sheetData>
  <mergeCells count="23">
    <mergeCell ref="A27:O27"/>
    <mergeCell ref="G18:G19"/>
    <mergeCell ref="I18:I19"/>
    <mergeCell ref="F18:F19"/>
    <mergeCell ref="A20:A26"/>
    <mergeCell ref="B20:B26"/>
    <mergeCell ref="C20:C26"/>
    <mergeCell ref="D20:D26"/>
    <mergeCell ref="E18:E19"/>
    <mergeCell ref="A18:A19"/>
    <mergeCell ref="B18:B19"/>
    <mergeCell ref="C18:C19"/>
    <mergeCell ref="D18:D19"/>
    <mergeCell ref="R20:AB20"/>
    <mergeCell ref="R21:AB21"/>
    <mergeCell ref="J18:J19"/>
    <mergeCell ref="J20:J26"/>
    <mergeCell ref="O18:P18"/>
    <mergeCell ref="P20:P26"/>
    <mergeCell ref="M18:M19"/>
    <mergeCell ref="O20:O26"/>
    <mergeCell ref="K18:K19"/>
    <mergeCell ref="L18:L19"/>
  </mergeCells>
  <conditionalFormatting sqref="M18:N26">
    <cfRule type="containsText" dxfId="119" priority="6" operator="containsText" text="Excessivamente elevado">
      <formula>NOT(ISERROR(SEARCH("Excessivamente elevado",M18)))</formula>
    </cfRule>
  </conditionalFormatting>
  <conditionalFormatting sqref="M20:N26">
    <cfRule type="cellIs" dxfId="118" priority="4" operator="lessThan">
      <formula>"K$25"</formula>
    </cfRule>
    <cfRule type="cellIs" dxfId="117" priority="5" operator="greaterThan">
      <formula>"J$25"</formula>
    </cfRule>
  </conditionalFormatting>
  <conditionalFormatting sqref="M20:N26">
    <cfRule type="cellIs" dxfId="116" priority="2" operator="lessThan">
      <formula>"K$25"</formula>
    </cfRule>
    <cfRule type="cellIs" dxfId="115" priority="3" operator="greaterThan">
      <formula>"J&amp;25"</formula>
    </cfRule>
  </conditionalFormatting>
  <conditionalFormatting sqref="M20:N26">
    <cfRule type="containsText" priority="5229" operator="containsText" text="Excessivamente elevado">
      <formula>NOT(ISERROR(SEARCH("Excessivamente elevado",M20)))</formula>
    </cfRule>
    <cfRule type="containsText" dxfId="114" priority="5230" operator="containsText" text="Válido">
      <formula>NOT(ISERROR(SEARCH("Válido",M20)))</formula>
    </cfRule>
    <cfRule type="containsText" dxfId="113" priority="5231" operator="containsText" text="Inexequível">
      <formula>NOT(ISERROR(SEARCH("Inexequível",M20)))</formula>
    </cfRule>
    <cfRule type="aboveAverage" dxfId="112" priority="5232" aboveAverage="0"/>
  </conditionalFormatting>
  <pageMargins left="0.23622047244094491" right="0.23622047244094491" top="0.74803149606299213" bottom="0.74803149606299213" header="0.31496062992125984" footer="0.31496062992125984"/>
  <pageSetup paperSize="9" scale="6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39682-E661-4C96-8268-67057EC9EA0C}">
  <sheetPr>
    <tabColor rgb="FF0070C0"/>
  </sheetPr>
  <dimension ref="A1:AE34"/>
  <sheetViews>
    <sheetView showGridLines="0" topLeftCell="A17" zoomScale="115" zoomScaleNormal="115" workbookViewId="0">
      <selection activeCell="A29" sqref="A29:P29"/>
    </sheetView>
  </sheetViews>
  <sheetFormatPr defaultColWidth="9.109375" defaultRowHeight="14.4" x14ac:dyDescent="0.3"/>
  <cols>
    <col min="1" max="1" width="4.5546875" style="20" customWidth="1"/>
    <col min="2" max="2" width="23.6640625" customWidth="1"/>
    <col min="3" max="3" width="4.6640625" customWidth="1"/>
    <col min="4" max="4" width="5.33203125" style="20" customWidth="1"/>
    <col min="5" max="5" width="23.109375" style="13" customWidth="1"/>
    <col min="6" max="6" width="12.44140625" style="13" customWidth="1"/>
    <col min="7" max="7" width="26.5546875" style="13" customWidth="1"/>
    <col min="8" max="8" width="7.33203125" style="13" customWidth="1"/>
    <col min="9" max="9" width="12" style="13" customWidth="1"/>
    <col min="10" max="10" width="9.88671875" style="13" customWidth="1"/>
    <col min="11" max="11" width="10.109375" style="13" hidden="1" customWidth="1"/>
    <col min="12" max="12" width="10.88671875" style="13" hidden="1" customWidth="1"/>
    <col min="13" max="13" width="15.77734375" style="13" customWidth="1"/>
    <col min="14" max="14" width="9.77734375" style="13" customWidth="1"/>
    <col min="15" max="15" width="22.109375" style="13" customWidth="1"/>
    <col min="16" max="16" width="12" customWidth="1"/>
    <col min="17" max="17" width="13.33203125" customWidth="1"/>
    <col min="19" max="19" width="13.44140625" customWidth="1"/>
    <col min="22" max="22" width="12.5546875" bestFit="1" customWidth="1"/>
    <col min="25" max="25" width="10.5546875" bestFit="1" customWidth="1"/>
  </cols>
  <sheetData>
    <row r="1" spans="1:31" ht="15" thickBot="1" x14ac:dyDescent="0.35">
      <c r="S1" s="114" t="s">
        <v>79</v>
      </c>
      <c r="T1" s="114"/>
      <c r="U1" s="114"/>
      <c r="V1" s="114"/>
      <c r="W1" s="114"/>
      <c r="X1" s="114"/>
      <c r="Y1" s="114"/>
      <c r="Z1" s="115"/>
      <c r="AA1" s="115"/>
      <c r="AB1" s="115"/>
      <c r="AC1" s="115"/>
      <c r="AD1" s="115"/>
    </row>
    <row r="2" spans="1:31" ht="15.6" thickTop="1" thickBot="1" x14ac:dyDescent="0.35">
      <c r="A2" s="72" t="s">
        <v>141</v>
      </c>
      <c r="B2" s="29"/>
      <c r="C2" s="29"/>
      <c r="D2" s="29"/>
      <c r="E2"/>
      <c r="F2"/>
      <c r="G2" s="107"/>
      <c r="H2" s="339"/>
      <c r="I2" s="97"/>
      <c r="J2" s="97"/>
      <c r="K2"/>
      <c r="L2"/>
      <c r="M2"/>
      <c r="N2"/>
      <c r="O2"/>
      <c r="S2" s="114"/>
      <c r="T2" s="114"/>
      <c r="U2" s="114"/>
      <c r="V2" s="114"/>
      <c r="W2" s="114"/>
      <c r="X2" s="114"/>
      <c r="Y2" s="114"/>
      <c r="Z2" s="115"/>
      <c r="AA2" s="115"/>
      <c r="AB2" s="115"/>
      <c r="AC2" s="115"/>
      <c r="AD2" s="115"/>
    </row>
    <row r="3" spans="1:31" ht="15" thickTop="1" x14ac:dyDescent="0.3">
      <c r="A3" s="59" t="s">
        <v>5</v>
      </c>
      <c r="B3" s="60"/>
      <c r="C3" s="60"/>
      <c r="D3" s="62"/>
      <c r="E3" s="70">
        <f>AVERAGE(I20:I28)</f>
        <v>16.843333333333334</v>
      </c>
      <c r="F3" s="61"/>
      <c r="G3" s="100"/>
      <c r="H3" s="129"/>
      <c r="I3" s="102"/>
      <c r="J3" s="102"/>
      <c r="K3" s="60"/>
      <c r="L3"/>
      <c r="M3"/>
      <c r="N3"/>
      <c r="O3"/>
      <c r="R3" s="20"/>
      <c r="S3" s="115"/>
      <c r="T3" s="113"/>
      <c r="U3" s="115"/>
      <c r="V3" s="115"/>
      <c r="W3" s="115"/>
      <c r="X3" s="115"/>
      <c r="Y3" s="115"/>
      <c r="Z3" s="115"/>
      <c r="AA3" s="115"/>
      <c r="AB3" s="115"/>
      <c r="AC3" s="115"/>
      <c r="AD3" s="115"/>
    </row>
    <row r="4" spans="1:31" x14ac:dyDescent="0.3">
      <c r="A4" s="59" t="s">
        <v>6</v>
      </c>
      <c r="B4" s="60"/>
      <c r="C4" s="60"/>
      <c r="D4" s="62"/>
      <c r="E4" s="70">
        <f>_xlfn.STDEV.S(I20:I28)</f>
        <v>5.4077051509859562</v>
      </c>
      <c r="F4" s="63"/>
      <c r="G4" s="100"/>
      <c r="H4" s="129"/>
      <c r="I4" s="102"/>
      <c r="J4" s="102"/>
      <c r="K4" s="60"/>
      <c r="L4"/>
      <c r="M4"/>
      <c r="N4"/>
      <c r="O4"/>
      <c r="R4" s="20"/>
      <c r="S4" s="291" t="s">
        <v>80</v>
      </c>
      <c r="T4" s="291"/>
      <c r="U4" s="291"/>
      <c r="V4" s="291"/>
      <c r="W4" s="291"/>
      <c r="X4" s="291"/>
      <c r="Y4" s="291"/>
      <c r="Z4" s="291"/>
      <c r="AA4" s="291"/>
      <c r="AB4" s="115"/>
      <c r="AC4" s="113" t="s">
        <v>81</v>
      </c>
      <c r="AD4" s="115"/>
    </row>
    <row r="5" spans="1:31" x14ac:dyDescent="0.3">
      <c r="A5" s="59" t="s">
        <v>29</v>
      </c>
      <c r="B5" s="60"/>
      <c r="C5" s="60"/>
      <c r="D5" s="62"/>
      <c r="E5" s="71">
        <f>(E4/E3)*100</f>
        <v>32.105908278167163</v>
      </c>
      <c r="F5" s="63"/>
      <c r="G5" s="100"/>
      <c r="H5" s="129"/>
      <c r="I5" s="104"/>
      <c r="J5" s="104"/>
      <c r="K5" s="60"/>
      <c r="L5"/>
      <c r="M5"/>
      <c r="N5"/>
      <c r="O5"/>
      <c r="R5" s="20"/>
      <c r="S5" s="115" t="s">
        <v>82</v>
      </c>
      <c r="T5" s="290" t="s">
        <v>83</v>
      </c>
      <c r="U5" s="290"/>
      <c r="V5" s="290"/>
      <c r="W5" s="290"/>
      <c r="X5" s="290"/>
      <c r="Y5" s="290"/>
      <c r="Z5" s="290"/>
      <c r="AA5" s="290"/>
      <c r="AB5" s="115"/>
      <c r="AC5" s="199" t="s">
        <v>125</v>
      </c>
      <c r="AD5" s="115"/>
    </row>
    <row r="6" spans="1:31" x14ac:dyDescent="0.3">
      <c r="A6" s="59" t="s">
        <v>7</v>
      </c>
      <c r="B6" s="60"/>
      <c r="C6" s="60"/>
      <c r="D6" s="62"/>
      <c r="E6" s="131" t="str">
        <f>IF(E5&gt;25,"Mediana","Média")</f>
        <v>Mediana</v>
      </c>
      <c r="F6" s="64"/>
      <c r="G6" s="100"/>
      <c r="H6" s="129"/>
      <c r="I6" s="158"/>
      <c r="J6" s="106"/>
      <c r="K6" s="60"/>
      <c r="L6"/>
      <c r="M6"/>
      <c r="N6"/>
      <c r="O6"/>
      <c r="R6" s="20"/>
      <c r="S6" s="115" t="s">
        <v>84</v>
      </c>
      <c r="T6" s="290" t="s">
        <v>85</v>
      </c>
      <c r="U6" s="290"/>
      <c r="V6" s="290"/>
      <c r="W6" s="290"/>
      <c r="X6" s="290"/>
      <c r="Y6" s="290"/>
      <c r="Z6" s="290"/>
      <c r="AA6" s="290"/>
      <c r="AB6" s="115"/>
      <c r="AC6" s="199" t="s">
        <v>125</v>
      </c>
      <c r="AD6" s="115"/>
    </row>
    <row r="7" spans="1:31" x14ac:dyDescent="0.3">
      <c r="A7" s="59" t="s">
        <v>8</v>
      </c>
      <c r="B7" s="60"/>
      <c r="C7" s="60"/>
      <c r="D7" s="62"/>
      <c r="E7" s="70">
        <f>MIN(I20:I28)</f>
        <v>7.79</v>
      </c>
      <c r="F7" s="61"/>
      <c r="G7" s="100"/>
      <c r="H7" s="129"/>
      <c r="I7" s="102"/>
      <c r="J7" s="102"/>
      <c r="K7" s="60"/>
      <c r="L7"/>
      <c r="M7"/>
      <c r="N7"/>
      <c r="O7"/>
      <c r="R7" s="20"/>
      <c r="S7" s="115" t="s">
        <v>86</v>
      </c>
      <c r="T7" s="290" t="s">
        <v>87</v>
      </c>
      <c r="U7" s="290"/>
      <c r="V7" s="290"/>
      <c r="W7" s="290"/>
      <c r="X7" s="290"/>
      <c r="Y7" s="290"/>
      <c r="Z7" s="290"/>
      <c r="AA7" s="290"/>
      <c r="AB7" s="115"/>
      <c r="AC7" s="199" t="s">
        <v>125</v>
      </c>
      <c r="AD7" s="115"/>
    </row>
    <row r="8" spans="1:31" x14ac:dyDescent="0.3">
      <c r="A8" s="59"/>
      <c r="B8" s="60"/>
      <c r="C8" s="60"/>
      <c r="D8" s="62"/>
      <c r="E8" s="65"/>
      <c r="F8" s="65"/>
      <c r="G8" s="66"/>
      <c r="H8" s="80"/>
      <c r="I8" s="50"/>
      <c r="J8" s="50"/>
      <c r="K8" s="50"/>
      <c r="S8" s="115" t="s">
        <v>88</v>
      </c>
      <c r="T8" s="289" t="s">
        <v>164</v>
      </c>
      <c r="U8" s="290"/>
      <c r="V8" s="290"/>
      <c r="W8" s="290"/>
      <c r="X8" s="290"/>
      <c r="Y8" s="290"/>
      <c r="Z8" s="290"/>
      <c r="AA8" s="290"/>
      <c r="AB8" s="115"/>
      <c r="AC8" s="199" t="s">
        <v>125</v>
      </c>
      <c r="AD8" s="115"/>
    </row>
    <row r="9" spans="1:31" x14ac:dyDescent="0.3">
      <c r="K9"/>
      <c r="S9" s="115" t="s">
        <v>90</v>
      </c>
      <c r="T9" s="290" t="s">
        <v>91</v>
      </c>
      <c r="U9" s="290"/>
      <c r="V9" s="290"/>
      <c r="W9" s="290"/>
      <c r="X9" s="290"/>
      <c r="Y9" s="290"/>
      <c r="Z9" s="290"/>
      <c r="AA9" s="290"/>
      <c r="AB9" s="115"/>
      <c r="AC9" s="199" t="s">
        <v>127</v>
      </c>
      <c r="AD9" s="115"/>
    </row>
    <row r="10" spans="1:31" x14ac:dyDescent="0.3">
      <c r="A10" s="318"/>
      <c r="B10" s="319"/>
      <c r="C10" s="319"/>
      <c r="D10" s="319"/>
      <c r="E10" s="320"/>
      <c r="F10" s="320"/>
      <c r="G10" s="318"/>
      <c r="H10" s="330"/>
      <c r="I10" s="329"/>
      <c r="K10"/>
      <c r="L10"/>
      <c r="M10"/>
      <c r="N10"/>
      <c r="O10"/>
      <c r="S10" s="115" t="s">
        <v>92</v>
      </c>
      <c r="T10" s="290" t="s">
        <v>93</v>
      </c>
      <c r="U10" s="290"/>
      <c r="V10" s="290"/>
      <c r="W10" s="290"/>
      <c r="X10" s="290"/>
      <c r="Y10" s="290"/>
      <c r="Z10" s="290"/>
      <c r="AA10" s="290"/>
      <c r="AB10" s="115"/>
      <c r="AC10" s="199" t="s">
        <v>125</v>
      </c>
      <c r="AD10" s="115"/>
    </row>
    <row r="11" spans="1:31" x14ac:dyDescent="0.3">
      <c r="A11" s="331"/>
      <c r="B11" s="327"/>
      <c r="C11" s="327"/>
      <c r="D11" s="332"/>
      <c r="E11" s="322"/>
      <c r="F11" s="333"/>
      <c r="G11" s="321"/>
      <c r="H11" s="334"/>
      <c r="I11" s="322"/>
      <c r="J11" s="70"/>
      <c r="K11" s="50"/>
      <c r="L11" s="50"/>
      <c r="S11" s="115" t="s">
        <v>94</v>
      </c>
      <c r="T11" s="290" t="s">
        <v>95</v>
      </c>
      <c r="U11" s="290"/>
      <c r="V11" s="290"/>
      <c r="W11" s="290"/>
      <c r="X11" s="290"/>
      <c r="Y11" s="290"/>
      <c r="Z11" s="289"/>
      <c r="AA11" s="290"/>
      <c r="AB11" s="115"/>
      <c r="AC11" s="199" t="s">
        <v>125</v>
      </c>
      <c r="AD11" s="115"/>
    </row>
    <row r="12" spans="1:31" x14ac:dyDescent="0.3">
      <c r="A12" s="331"/>
      <c r="B12" s="327"/>
      <c r="C12" s="327"/>
      <c r="D12" s="332"/>
      <c r="E12" s="322"/>
      <c r="F12" s="335"/>
      <c r="G12" s="321"/>
      <c r="H12" s="336"/>
      <c r="I12" s="322"/>
      <c r="J12" s="70"/>
      <c r="K12" s="50"/>
      <c r="L12" s="50"/>
      <c r="S12" s="115" t="s">
        <v>96</v>
      </c>
      <c r="T12" s="290" t="s">
        <v>97</v>
      </c>
      <c r="U12" s="290"/>
      <c r="V12" s="290"/>
      <c r="W12" s="290"/>
      <c r="X12" s="290"/>
      <c r="Y12" s="290"/>
      <c r="Z12" s="290"/>
      <c r="AA12" s="290"/>
      <c r="AB12" s="115"/>
      <c r="AC12" s="116" t="s">
        <v>125</v>
      </c>
      <c r="AD12" s="115"/>
    </row>
    <row r="13" spans="1:31" x14ac:dyDescent="0.3">
      <c r="A13" s="331"/>
      <c r="B13" s="327"/>
      <c r="C13" s="327"/>
      <c r="D13" s="332"/>
      <c r="E13" s="323"/>
      <c r="F13" s="335"/>
      <c r="G13" s="321"/>
      <c r="H13" s="336"/>
      <c r="I13" s="323"/>
      <c r="J13" s="71"/>
      <c r="K13" s="50"/>
      <c r="L13" s="50"/>
      <c r="S13" s="115" t="s">
        <v>98</v>
      </c>
      <c r="T13" s="290" t="s">
        <v>99</v>
      </c>
      <c r="U13" s="290"/>
      <c r="V13" s="290"/>
      <c r="W13" s="290"/>
      <c r="X13" s="290"/>
      <c r="Y13" s="290"/>
      <c r="Z13" s="290"/>
      <c r="AA13" s="290"/>
      <c r="AB13" s="115"/>
      <c r="AC13" s="199" t="s">
        <v>127</v>
      </c>
      <c r="AD13" s="115"/>
    </row>
    <row r="14" spans="1:31" x14ac:dyDescent="0.3">
      <c r="A14" s="331"/>
      <c r="B14" s="327"/>
      <c r="C14" s="327"/>
      <c r="D14" s="332"/>
      <c r="E14" s="324"/>
      <c r="F14" s="337"/>
      <c r="G14" s="321"/>
      <c r="H14" s="338"/>
      <c r="I14" s="324"/>
      <c r="J14" s="106"/>
      <c r="K14" s="50"/>
      <c r="L14" s="50"/>
      <c r="S14" s="115" t="s">
        <v>100</v>
      </c>
      <c r="T14" s="290" t="s">
        <v>101</v>
      </c>
      <c r="U14" s="290"/>
      <c r="V14" s="290"/>
      <c r="W14" s="290"/>
      <c r="X14" s="290"/>
      <c r="Y14" s="290"/>
      <c r="Z14" s="290"/>
      <c r="AA14" s="290"/>
      <c r="AB14" s="115"/>
      <c r="AC14" s="116" t="s">
        <v>125</v>
      </c>
      <c r="AD14" s="115"/>
    </row>
    <row r="15" spans="1:31" x14ac:dyDescent="0.3">
      <c r="A15" s="331"/>
      <c r="B15" s="327"/>
      <c r="C15" s="327"/>
      <c r="D15" s="332"/>
      <c r="E15" s="322"/>
      <c r="F15" s="333"/>
      <c r="G15" s="321"/>
      <c r="H15" s="334"/>
      <c r="I15" s="322"/>
      <c r="J15" s="70"/>
      <c r="K15" s="50"/>
      <c r="L15" s="50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t="s">
        <v>136</v>
      </c>
    </row>
    <row r="16" spans="1:31" x14ac:dyDescent="0.3">
      <c r="A16" s="28"/>
      <c r="B16" s="60"/>
      <c r="C16" s="60"/>
      <c r="D16" s="62"/>
      <c r="E16" s="65"/>
      <c r="F16" s="65"/>
      <c r="G16" s="66"/>
      <c r="H16" s="80"/>
      <c r="I16" s="50"/>
      <c r="J16" s="50"/>
      <c r="K16" s="50"/>
      <c r="L16" s="50"/>
      <c r="S16" s="113" t="s">
        <v>102</v>
      </c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</row>
    <row r="17" spans="1:30" ht="36" customHeight="1" thickBot="1" x14ac:dyDescent="0.35">
      <c r="S17" s="290" t="s">
        <v>104</v>
      </c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</row>
    <row r="18" spans="1:30" ht="15" customHeight="1" x14ac:dyDescent="0.3">
      <c r="A18" s="708" t="s">
        <v>10</v>
      </c>
      <c r="B18" s="710" t="s">
        <v>11</v>
      </c>
      <c r="C18" s="712" t="s">
        <v>12</v>
      </c>
      <c r="D18" s="712" t="s">
        <v>13</v>
      </c>
      <c r="E18" s="712" t="s">
        <v>30</v>
      </c>
      <c r="F18" s="710" t="s">
        <v>31</v>
      </c>
      <c r="G18" s="710" t="s">
        <v>16</v>
      </c>
      <c r="H18" s="287" t="s">
        <v>17</v>
      </c>
      <c r="I18" s="728" t="s">
        <v>18</v>
      </c>
      <c r="J18" s="730" t="s">
        <v>66</v>
      </c>
      <c r="K18" s="702" t="s">
        <v>32</v>
      </c>
      <c r="L18" s="704" t="s">
        <v>33</v>
      </c>
      <c r="M18" s="698" t="s">
        <v>19</v>
      </c>
      <c r="N18" s="815" t="s">
        <v>119</v>
      </c>
      <c r="O18" s="816"/>
      <c r="P18" s="723" t="s">
        <v>20</v>
      </c>
      <c r="Q18" s="724"/>
      <c r="S18" s="290" t="s">
        <v>105</v>
      </c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</row>
    <row r="19" spans="1:30" s="6" customFormat="1" ht="15" thickBot="1" x14ac:dyDescent="0.35">
      <c r="A19" s="709"/>
      <c r="B19" s="711"/>
      <c r="C19" s="713"/>
      <c r="D19" s="713"/>
      <c r="E19" s="713"/>
      <c r="F19" s="711"/>
      <c r="G19" s="711"/>
      <c r="H19" s="294"/>
      <c r="I19" s="729"/>
      <c r="J19" s="731"/>
      <c r="K19" s="703"/>
      <c r="L19" s="705"/>
      <c r="M19" s="699"/>
      <c r="N19" s="817"/>
      <c r="O19" s="818"/>
      <c r="P19" s="295" t="s">
        <v>21</v>
      </c>
      <c r="Q19" s="74" t="s">
        <v>22</v>
      </c>
      <c r="S19" s="115" t="s">
        <v>106</v>
      </c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</row>
    <row r="20" spans="1:30" ht="43.5" customHeight="1" x14ac:dyDescent="0.3">
      <c r="A20" s="586">
        <v>36</v>
      </c>
      <c r="B20" s="780" t="s">
        <v>220</v>
      </c>
      <c r="C20" s="592" t="s">
        <v>12</v>
      </c>
      <c r="D20" s="592">
        <f>40+20+40</f>
        <v>100</v>
      </c>
      <c r="E20" s="36" t="s">
        <v>270</v>
      </c>
      <c r="F20" s="45" t="s">
        <v>24</v>
      </c>
      <c r="G20" s="41" t="s">
        <v>271</v>
      </c>
      <c r="H20" s="38" t="s">
        <v>68</v>
      </c>
      <c r="I20" s="35">
        <v>7.79</v>
      </c>
      <c r="J20" s="688">
        <f>AVERAGE(I20:I28)</f>
        <v>16.843333333333334</v>
      </c>
      <c r="K20" s="299">
        <f>(J20*30%)+J20</f>
        <v>21.896333333333335</v>
      </c>
      <c r="L20" s="302">
        <f>70%*J20</f>
        <v>11.790333333333333</v>
      </c>
      <c r="M20" s="218" t="str">
        <f>IF(I20&gt;K$20,"EXCESSIVAMENTE ELEVADO",IF(I20&lt;L$20,"INEXEQUÍVEL","VÁLIDO"))</f>
        <v>INEXEQUÍVEL</v>
      </c>
      <c r="N20" s="201">
        <f>I20/$J$20</f>
        <v>0.46249752622204632</v>
      </c>
      <c r="O20" s="360" t="s">
        <v>456</v>
      </c>
      <c r="P20" s="605">
        <f>TRUNC(MEDIAN(I21:I27),2)</f>
        <v>16</v>
      </c>
      <c r="Q20" s="609">
        <f>D20*P20</f>
        <v>1600</v>
      </c>
      <c r="S20" s="715" t="s">
        <v>107</v>
      </c>
      <c r="T20" s="715"/>
      <c r="U20" s="715"/>
      <c r="V20" s="715"/>
      <c r="W20" s="715"/>
      <c r="X20" s="715"/>
      <c r="Y20" s="715"/>
      <c r="Z20" s="715"/>
      <c r="AA20" s="715"/>
      <c r="AB20" s="715"/>
      <c r="AC20" s="715"/>
      <c r="AD20" s="115"/>
    </row>
    <row r="21" spans="1:30" ht="55.2" x14ac:dyDescent="0.3">
      <c r="A21" s="587"/>
      <c r="B21" s="727"/>
      <c r="C21" s="584"/>
      <c r="D21" s="584"/>
      <c r="E21" s="36" t="s">
        <v>542</v>
      </c>
      <c r="F21" s="45" t="s">
        <v>24</v>
      </c>
      <c r="G21" s="41" t="s">
        <v>543</v>
      </c>
      <c r="H21" s="38" t="s">
        <v>65</v>
      </c>
      <c r="I21" s="35">
        <v>13.63</v>
      </c>
      <c r="J21" s="663"/>
      <c r="K21" s="96"/>
      <c r="L21" s="173"/>
      <c r="M21" s="189" t="str">
        <f t="shared" ref="M21:M28" si="0">IF(I21&gt;K$20,"EXCESSIVAMENTE ELEVADO",IF(I21&lt;L$20,"INEXEQUÍVEL","VÁLIDO"))</f>
        <v>VÁLIDO</v>
      </c>
      <c r="N21" s="165"/>
      <c r="O21" s="165"/>
      <c r="P21" s="606"/>
      <c r="Q21" s="610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</row>
    <row r="22" spans="1:30" ht="48" customHeight="1" x14ac:dyDescent="0.3">
      <c r="A22" s="587"/>
      <c r="B22" s="727"/>
      <c r="C22" s="584"/>
      <c r="D22" s="584"/>
      <c r="E22" s="36" t="s">
        <v>538</v>
      </c>
      <c r="F22" s="45" t="s">
        <v>24</v>
      </c>
      <c r="G22" s="41" t="s">
        <v>539</v>
      </c>
      <c r="H22" s="38" t="s">
        <v>65</v>
      </c>
      <c r="I22" s="35">
        <v>13.8</v>
      </c>
      <c r="J22" s="663"/>
      <c r="K22" s="300"/>
      <c r="L22" s="303"/>
      <c r="M22" s="189" t="str">
        <f t="shared" si="0"/>
        <v>VÁLIDO</v>
      </c>
      <c r="N22" s="165"/>
      <c r="O22" s="165"/>
      <c r="P22" s="606"/>
      <c r="Q22" s="610"/>
      <c r="S22" s="835"/>
      <c r="T22" s="835"/>
      <c r="U22" s="835"/>
      <c r="V22" s="835"/>
      <c r="W22" s="835"/>
      <c r="X22" s="835"/>
      <c r="Y22" s="835"/>
      <c r="Z22" s="835"/>
      <c r="AA22" s="835"/>
      <c r="AB22" s="835"/>
      <c r="AC22" s="835"/>
      <c r="AD22" s="278"/>
    </row>
    <row r="23" spans="1:30" ht="50.4" customHeight="1" x14ac:dyDescent="0.3">
      <c r="A23" s="587"/>
      <c r="B23" s="727"/>
      <c r="C23" s="584"/>
      <c r="D23" s="584"/>
      <c r="E23" s="36" t="s">
        <v>536</v>
      </c>
      <c r="F23" s="33" t="s">
        <v>9</v>
      </c>
      <c r="G23" s="34" t="s">
        <v>537</v>
      </c>
      <c r="H23" s="39" t="s">
        <v>65</v>
      </c>
      <c r="I23" s="35">
        <v>15.5</v>
      </c>
      <c r="J23" s="663"/>
      <c r="K23" s="300"/>
      <c r="L23" s="303"/>
      <c r="M23" s="189" t="str">
        <f t="shared" si="0"/>
        <v>VÁLIDO</v>
      </c>
      <c r="N23" s="165"/>
      <c r="O23" s="165"/>
      <c r="P23" s="606"/>
      <c r="Q23" s="610"/>
      <c r="Y23" s="25"/>
    </row>
    <row r="24" spans="1:30" ht="36" customHeight="1" x14ac:dyDescent="0.3">
      <c r="A24" s="587"/>
      <c r="B24" s="727"/>
      <c r="C24" s="584"/>
      <c r="D24" s="584"/>
      <c r="E24" s="33" t="s">
        <v>254</v>
      </c>
      <c r="F24" s="33" t="s">
        <v>26</v>
      </c>
      <c r="G24" s="34" t="s">
        <v>277</v>
      </c>
      <c r="H24" s="38" t="s">
        <v>65</v>
      </c>
      <c r="I24" s="35">
        <v>16</v>
      </c>
      <c r="J24" s="663"/>
      <c r="K24" s="300"/>
      <c r="L24" s="303"/>
      <c r="M24" s="189" t="str">
        <f t="shared" si="0"/>
        <v>VÁLIDO</v>
      </c>
      <c r="N24" s="166"/>
      <c r="O24" s="166"/>
      <c r="P24" s="607"/>
      <c r="Q24" s="611"/>
      <c r="Y24" s="25"/>
    </row>
    <row r="25" spans="1:30" ht="48" customHeight="1" x14ac:dyDescent="0.3">
      <c r="A25" s="587"/>
      <c r="B25" s="727"/>
      <c r="C25" s="584"/>
      <c r="D25" s="584"/>
      <c r="E25" s="40" t="s">
        <v>227</v>
      </c>
      <c r="F25" s="45" t="s">
        <v>26</v>
      </c>
      <c r="G25" s="41" t="s">
        <v>228</v>
      </c>
      <c r="H25" s="38" t="s">
        <v>65</v>
      </c>
      <c r="I25" s="95">
        <v>19</v>
      </c>
      <c r="J25" s="663"/>
      <c r="K25" s="300"/>
      <c r="L25" s="303"/>
      <c r="M25" s="282" t="str">
        <f t="shared" si="0"/>
        <v>VÁLIDO</v>
      </c>
      <c r="N25" s="531"/>
      <c r="O25" s="166"/>
      <c r="P25" s="607"/>
      <c r="Q25" s="611"/>
      <c r="Y25" s="25"/>
    </row>
    <row r="26" spans="1:30" ht="31.8" customHeight="1" x14ac:dyDescent="0.3">
      <c r="A26" s="587"/>
      <c r="B26" s="727"/>
      <c r="C26" s="584"/>
      <c r="D26" s="584"/>
      <c r="E26" s="308" t="s">
        <v>531</v>
      </c>
      <c r="F26" s="507" t="s">
        <v>27</v>
      </c>
      <c r="G26" s="34" t="s">
        <v>122</v>
      </c>
      <c r="H26" s="33" t="s">
        <v>122</v>
      </c>
      <c r="I26" s="95">
        <v>18.12</v>
      </c>
      <c r="J26" s="664"/>
      <c r="K26" s="89"/>
      <c r="L26" s="35"/>
      <c r="M26" s="282" t="str">
        <f t="shared" si="0"/>
        <v>VÁLIDO</v>
      </c>
      <c r="N26" s="531"/>
      <c r="O26" s="166"/>
      <c r="P26" s="607"/>
      <c r="Q26" s="611"/>
      <c r="Y26" s="25"/>
    </row>
    <row r="27" spans="1:30" ht="98.4" customHeight="1" x14ac:dyDescent="0.3">
      <c r="A27" s="587"/>
      <c r="B27" s="727"/>
      <c r="C27" s="584"/>
      <c r="D27" s="584"/>
      <c r="E27" s="33" t="s">
        <v>275</v>
      </c>
      <c r="F27" s="33" t="s">
        <v>27</v>
      </c>
      <c r="G27" s="34" t="s">
        <v>276</v>
      </c>
      <c r="H27" s="200" t="s">
        <v>139</v>
      </c>
      <c r="I27" s="95">
        <f>19.76+0.6</f>
        <v>20.360000000000003</v>
      </c>
      <c r="J27" s="664"/>
      <c r="K27" s="89"/>
      <c r="L27" s="35"/>
      <c r="M27" s="189" t="str">
        <f t="shared" si="0"/>
        <v>VÁLIDO</v>
      </c>
      <c r="N27" s="166"/>
      <c r="O27" s="166"/>
      <c r="P27" s="607"/>
      <c r="Q27" s="611"/>
      <c r="Y27" s="25"/>
    </row>
    <row r="28" spans="1:30" ht="39" customHeight="1" thickBot="1" x14ac:dyDescent="0.35">
      <c r="A28" s="587"/>
      <c r="B28" s="727"/>
      <c r="C28" s="584"/>
      <c r="D28" s="584"/>
      <c r="E28" s="479" t="s">
        <v>541</v>
      </c>
      <c r="F28" s="307" t="s">
        <v>24</v>
      </c>
      <c r="G28" s="418" t="s">
        <v>540</v>
      </c>
      <c r="H28" s="38" t="s">
        <v>68</v>
      </c>
      <c r="I28" s="95">
        <v>27.39</v>
      </c>
      <c r="J28" s="664"/>
      <c r="K28" s="89"/>
      <c r="L28" s="35"/>
      <c r="M28" s="309" t="str">
        <f t="shared" si="0"/>
        <v>EXCESSIVAMENTE ELEVADO</v>
      </c>
      <c r="N28" s="210">
        <f>(I28-J20)/J20</f>
        <v>0.62616267563823469</v>
      </c>
      <c r="O28" s="221" t="s">
        <v>120</v>
      </c>
      <c r="P28" s="607"/>
      <c r="Q28" s="611"/>
      <c r="Y28" s="25"/>
    </row>
    <row r="29" spans="1:30" ht="24" customHeight="1" thickBot="1" x14ac:dyDescent="0.35">
      <c r="A29" s="653"/>
      <c r="B29" s="654"/>
      <c r="C29" s="654"/>
      <c r="D29" s="654"/>
      <c r="E29" s="654"/>
      <c r="F29" s="654"/>
      <c r="G29" s="654"/>
      <c r="H29" s="654"/>
      <c r="I29" s="654"/>
      <c r="J29" s="654"/>
      <c r="K29" s="654"/>
      <c r="L29" s="654"/>
      <c r="M29" s="654"/>
      <c r="N29" s="654"/>
      <c r="O29" s="654"/>
      <c r="P29" s="836"/>
      <c r="Q29" s="174">
        <f>SUM(Q20:Q28)</f>
        <v>1600</v>
      </c>
    </row>
    <row r="31" spans="1:30" x14ac:dyDescent="0.3">
      <c r="A31" s="259"/>
    </row>
    <row r="32" spans="1:30" s="13" customFormat="1" x14ac:dyDescent="0.3">
      <c r="A32" s="62"/>
      <c r="B32" s="80"/>
      <c r="C32" s="62"/>
      <c r="D32" s="62"/>
      <c r="E32" s="82"/>
      <c r="F32" s="82"/>
      <c r="G32" s="81"/>
      <c r="H32" s="62"/>
      <c r="I32" s="62"/>
      <c r="J32" s="62"/>
      <c r="P32"/>
      <c r="Q32"/>
      <c r="R32"/>
      <c r="S32"/>
      <c r="T32"/>
      <c r="U32"/>
      <c r="V32"/>
      <c r="W32"/>
      <c r="X32"/>
      <c r="Y32"/>
    </row>
    <row r="33" spans="1:25" s="13" customFormat="1" x14ac:dyDescent="0.3">
      <c r="A33" s="62"/>
      <c r="B33" s="80"/>
      <c r="C33" s="62"/>
      <c r="D33" s="62"/>
      <c r="E33" s="82"/>
      <c r="F33" s="82"/>
      <c r="G33" s="81"/>
      <c r="H33" s="62"/>
      <c r="I33" s="62"/>
      <c r="J33" s="62"/>
      <c r="P33"/>
      <c r="Q33"/>
      <c r="R33"/>
      <c r="S33"/>
      <c r="T33"/>
      <c r="U33"/>
      <c r="V33"/>
      <c r="W33"/>
      <c r="X33"/>
      <c r="Y33"/>
    </row>
    <row r="34" spans="1:25" s="13" customFormat="1" x14ac:dyDescent="0.3">
      <c r="A34" s="62"/>
      <c r="B34" s="80"/>
      <c r="C34" s="62"/>
      <c r="D34" s="62"/>
      <c r="E34" s="82"/>
      <c r="F34" s="82"/>
      <c r="G34" s="81"/>
      <c r="H34" s="62"/>
      <c r="I34" s="62"/>
      <c r="J34" s="62"/>
      <c r="P34"/>
      <c r="Q34"/>
      <c r="R34"/>
      <c r="S34"/>
      <c r="T34"/>
      <c r="U34"/>
      <c r="V34"/>
      <c r="W34"/>
      <c r="X34"/>
      <c r="Y34"/>
    </row>
  </sheetData>
  <mergeCells count="24">
    <mergeCell ref="N18:O19"/>
    <mergeCell ref="S20:AC20"/>
    <mergeCell ref="S22:AC22"/>
    <mergeCell ref="A29:P29"/>
    <mergeCell ref="M18:M19"/>
    <mergeCell ref="P18:Q18"/>
    <mergeCell ref="A20:A28"/>
    <mergeCell ref="B20:B28"/>
    <mergeCell ref="C20:C28"/>
    <mergeCell ref="D20:D28"/>
    <mergeCell ref="J20:J28"/>
    <mergeCell ref="P20:P28"/>
    <mergeCell ref="Q20:Q28"/>
    <mergeCell ref="F18:F19"/>
    <mergeCell ref="G18:G19"/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</mergeCells>
  <conditionalFormatting sqref="M21:O27 M18:M19 M28">
    <cfRule type="containsText" dxfId="111" priority="28" operator="containsText" text="Excessivamente elevado">
      <formula>NOT(ISERROR(SEARCH("Excessivamente elevado",M18)))</formula>
    </cfRule>
  </conditionalFormatting>
  <conditionalFormatting sqref="M21:O27 M28">
    <cfRule type="cellIs" dxfId="110" priority="26" operator="lessThan">
      <formula>"K$25"</formula>
    </cfRule>
    <cfRule type="cellIs" dxfId="109" priority="27" operator="greaterThan">
      <formula>"J$25"</formula>
    </cfRule>
  </conditionalFormatting>
  <conditionalFormatting sqref="M21:O27 M28">
    <cfRule type="cellIs" dxfId="108" priority="24" operator="lessThan">
      <formula>"K$25"</formula>
    </cfRule>
    <cfRule type="cellIs" dxfId="107" priority="25" operator="greaterThan">
      <formula>"J&amp;25"</formula>
    </cfRule>
  </conditionalFormatting>
  <conditionalFormatting sqref="M21:O27 M28">
    <cfRule type="containsText" priority="29" operator="containsText" text="Excessivamente elevado">
      <formula>NOT(ISERROR(SEARCH("Excessivamente elevado",M21)))</formula>
    </cfRule>
    <cfRule type="containsText" dxfId="106" priority="30" operator="containsText" text="Válido">
      <formula>NOT(ISERROR(SEARCH("Válido",M21)))</formula>
    </cfRule>
    <cfRule type="containsText" dxfId="105" priority="31" operator="containsText" text="Inexequível">
      <formula>NOT(ISERROR(SEARCH("Inexequível",M21)))</formula>
    </cfRule>
    <cfRule type="aboveAverage" dxfId="104" priority="32" aboveAverage="0"/>
  </conditionalFormatting>
  <conditionalFormatting sqref="N18">
    <cfRule type="containsText" dxfId="103" priority="23" operator="containsText" text="Excessivamente elevado">
      <formula>NOT(ISERROR(SEARCH("Excessivamente elevado",N18)))</formula>
    </cfRule>
  </conditionalFormatting>
  <conditionalFormatting sqref="M20:N20">
    <cfRule type="containsText" dxfId="102" priority="14" operator="containsText" text="Excessivamente elevado">
      <formula>NOT(ISERROR(SEARCH("Excessivamente elevado",M20)))</formula>
    </cfRule>
  </conditionalFormatting>
  <conditionalFormatting sqref="M20:N20">
    <cfRule type="cellIs" dxfId="101" priority="12" operator="lessThan">
      <formula>"K$25"</formula>
    </cfRule>
    <cfRule type="cellIs" dxfId="100" priority="13" operator="greaterThan">
      <formula>"J$25"</formula>
    </cfRule>
  </conditionalFormatting>
  <conditionalFormatting sqref="M20:N20">
    <cfRule type="cellIs" dxfId="99" priority="10" operator="lessThan">
      <formula>"K$25"</formula>
    </cfRule>
    <cfRule type="cellIs" dxfId="98" priority="11" operator="greaterThan">
      <formula>"J&amp;25"</formula>
    </cfRule>
  </conditionalFormatting>
  <conditionalFormatting sqref="M20">
    <cfRule type="containsText" priority="15" operator="containsText" text="Excessivamente elevado">
      <formula>NOT(ISERROR(SEARCH("Excessivamente elevado",M20)))</formula>
    </cfRule>
    <cfRule type="containsText" dxfId="97" priority="16" operator="containsText" text="Válido">
      <formula>NOT(ISERROR(SEARCH("Válido",M20)))</formula>
    </cfRule>
    <cfRule type="containsText" dxfId="96" priority="17" operator="containsText" text="Inexequível">
      <formula>NOT(ISERROR(SEARCH("Inexequível",M20)))</formula>
    </cfRule>
    <cfRule type="aboveAverage" dxfId="95" priority="18" aboveAverage="0"/>
  </conditionalFormatting>
  <conditionalFormatting sqref="N20">
    <cfRule type="containsText" priority="19" operator="containsText" text="Excessivamente elevado">
      <formula>NOT(ISERROR(SEARCH("Excessivamente elevado",N20)))</formula>
    </cfRule>
    <cfRule type="containsText" dxfId="94" priority="20" operator="containsText" text="Válido">
      <formula>NOT(ISERROR(SEARCH("Válido",N20)))</formula>
    </cfRule>
    <cfRule type="containsText" dxfId="93" priority="21" operator="containsText" text="Inexequível">
      <formula>NOT(ISERROR(SEARCH("Inexequível",N20)))</formula>
    </cfRule>
    <cfRule type="aboveAverage" dxfId="92" priority="22" aboveAverage="0"/>
  </conditionalFormatting>
  <conditionalFormatting sqref="N28">
    <cfRule type="containsText" dxfId="91" priority="5" operator="containsText" text="Excessivamente elevado">
      <formula>NOT(ISERROR(SEARCH("Excessivamente elevado",N28)))</formula>
    </cfRule>
  </conditionalFormatting>
  <conditionalFormatting sqref="N28">
    <cfRule type="cellIs" dxfId="90" priority="3" operator="lessThan">
      <formula>"K$25"</formula>
    </cfRule>
    <cfRule type="cellIs" dxfId="89" priority="4" operator="greaterThan">
      <formula>"J$25"</formula>
    </cfRule>
  </conditionalFormatting>
  <conditionalFormatting sqref="N28">
    <cfRule type="cellIs" dxfId="88" priority="1" operator="lessThan">
      <formula>"K$25"</formula>
    </cfRule>
    <cfRule type="cellIs" dxfId="87" priority="2" operator="greaterThan">
      <formula>"J&amp;25"</formula>
    </cfRule>
  </conditionalFormatting>
  <conditionalFormatting sqref="N28">
    <cfRule type="containsText" priority="6" operator="containsText" text="Excessivamente elevado">
      <formula>NOT(ISERROR(SEARCH("Excessivamente elevado",N28)))</formula>
    </cfRule>
    <cfRule type="containsText" dxfId="86" priority="7" operator="containsText" text="Válido">
      <formula>NOT(ISERROR(SEARCH("Válido",N28)))</formula>
    </cfRule>
    <cfRule type="containsText" dxfId="85" priority="8" operator="containsText" text="Inexequível">
      <formula>NOT(ISERROR(SEARCH("Inexequível",N28)))</formula>
    </cfRule>
    <cfRule type="aboveAverage" dxfId="84" priority="9" aboveAverage="0"/>
  </conditionalFormatting>
  <pageMargins left="0.23622047244094491" right="0.23622047244094491" top="0.74803149606299213" bottom="0.74803149606299213" header="0.31496062992125984" footer="0.31496062992125984"/>
  <pageSetup paperSize="9" scale="6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CCC73-DAE1-4169-9D05-9C3D1FBDC850}">
  <sheetPr>
    <tabColor rgb="FF0070C0"/>
  </sheetPr>
  <dimension ref="A1:AE33"/>
  <sheetViews>
    <sheetView showGridLines="0" topLeftCell="A15" zoomScale="115" zoomScaleNormal="115" workbookViewId="0">
      <selection activeCell="A28" sqref="A28:P28"/>
    </sheetView>
  </sheetViews>
  <sheetFormatPr defaultColWidth="9.109375" defaultRowHeight="14.4" x14ac:dyDescent="0.3"/>
  <cols>
    <col min="1" max="1" width="4.5546875" style="20" customWidth="1"/>
    <col min="2" max="2" width="23.6640625" customWidth="1"/>
    <col min="3" max="3" width="6.33203125" customWidth="1"/>
    <col min="4" max="4" width="5.33203125" style="20" customWidth="1"/>
    <col min="5" max="5" width="23.109375" style="13" customWidth="1"/>
    <col min="6" max="6" width="12.44140625" style="13" customWidth="1"/>
    <col min="7" max="7" width="26.5546875" style="13" customWidth="1"/>
    <col min="8" max="8" width="5.5546875" style="13" customWidth="1"/>
    <col min="9" max="9" width="12" style="13" customWidth="1"/>
    <col min="10" max="10" width="9.5546875" style="13" customWidth="1"/>
    <col min="11" max="11" width="10.109375" style="13" hidden="1" customWidth="1"/>
    <col min="12" max="12" width="0.109375" style="13" customWidth="1"/>
    <col min="13" max="13" width="14.5546875" style="13" customWidth="1"/>
    <col min="14" max="14" width="4.6640625" style="13" customWidth="1"/>
    <col min="15" max="15" width="17.5546875" style="13" customWidth="1"/>
    <col min="16" max="16" width="12" customWidth="1"/>
    <col min="17" max="17" width="13.33203125" customWidth="1"/>
    <col min="19" max="19" width="13.44140625" customWidth="1"/>
    <col min="22" max="22" width="12.5546875" bestFit="1" customWidth="1"/>
    <col min="25" max="25" width="10.5546875" bestFit="1" customWidth="1"/>
  </cols>
  <sheetData>
    <row r="1" spans="1:31" ht="15" thickBot="1" x14ac:dyDescent="0.35">
      <c r="S1" s="114" t="s">
        <v>79</v>
      </c>
      <c r="T1" s="114"/>
      <c r="U1" s="114"/>
      <c r="V1" s="114"/>
      <c r="W1" s="114"/>
      <c r="X1" s="114"/>
      <c r="Y1" s="114"/>
      <c r="Z1" s="115"/>
      <c r="AA1" s="115"/>
      <c r="AB1" s="115"/>
      <c r="AC1" s="115"/>
      <c r="AD1" s="115"/>
    </row>
    <row r="2" spans="1:31" ht="15.6" thickTop="1" thickBot="1" x14ac:dyDescent="0.35">
      <c r="A2" s="72" t="s">
        <v>142</v>
      </c>
      <c r="B2" s="29"/>
      <c r="C2" s="29"/>
      <c r="D2" s="29"/>
      <c r="E2"/>
      <c r="F2"/>
      <c r="G2" s="107"/>
      <c r="H2" s="339"/>
      <c r="I2" s="97"/>
      <c r="J2" s="97"/>
      <c r="K2"/>
      <c r="L2"/>
      <c r="M2"/>
      <c r="N2"/>
      <c r="O2"/>
      <c r="S2" s="114"/>
      <c r="T2" s="114"/>
      <c r="U2" s="114"/>
      <c r="V2" s="114"/>
      <c r="W2" s="114"/>
      <c r="X2" s="114"/>
      <c r="Y2" s="114"/>
      <c r="Z2" s="115"/>
      <c r="AA2" s="115"/>
      <c r="AB2" s="115"/>
      <c r="AC2" s="115"/>
      <c r="AD2" s="115"/>
    </row>
    <row r="3" spans="1:31" ht="15" thickTop="1" x14ac:dyDescent="0.3">
      <c r="A3" s="59" t="s">
        <v>5</v>
      </c>
      <c r="B3" s="60"/>
      <c r="C3" s="60"/>
      <c r="D3" s="62"/>
      <c r="E3" s="70">
        <f>AVERAGE(I20:I27)</f>
        <v>33.582083333333337</v>
      </c>
      <c r="F3" s="61"/>
      <c r="G3" s="100"/>
      <c r="H3" s="129"/>
      <c r="I3" s="102"/>
      <c r="J3" s="102"/>
      <c r="K3" s="60"/>
      <c r="L3"/>
      <c r="M3"/>
      <c r="N3"/>
      <c r="O3"/>
      <c r="R3" s="20"/>
      <c r="S3" s="115"/>
      <c r="T3" s="113"/>
      <c r="U3" s="115"/>
      <c r="V3" s="115"/>
      <c r="W3" s="115"/>
      <c r="X3" s="115"/>
      <c r="Y3" s="115"/>
      <c r="Z3" s="115"/>
      <c r="AA3" s="115"/>
      <c r="AB3" s="115"/>
      <c r="AC3" s="115"/>
      <c r="AD3" s="115"/>
    </row>
    <row r="4" spans="1:31" x14ac:dyDescent="0.3">
      <c r="A4" s="59" t="s">
        <v>6</v>
      </c>
      <c r="B4" s="60"/>
      <c r="C4" s="60"/>
      <c r="D4" s="62"/>
      <c r="E4" s="70">
        <f>_xlfn.STDEV.S(I20:I27)</f>
        <v>11.147713686514717</v>
      </c>
      <c r="F4" s="63"/>
      <c r="G4" s="100"/>
      <c r="H4" s="129"/>
      <c r="I4" s="102"/>
      <c r="J4" s="102"/>
      <c r="K4" s="60"/>
      <c r="L4"/>
      <c r="M4"/>
      <c r="N4"/>
      <c r="O4"/>
      <c r="R4" s="20"/>
      <c r="S4" s="291" t="s">
        <v>80</v>
      </c>
      <c r="T4" s="291"/>
      <c r="U4" s="291"/>
      <c r="V4" s="291"/>
      <c r="W4" s="291"/>
      <c r="X4" s="291"/>
      <c r="Y4" s="291"/>
      <c r="Z4" s="291"/>
      <c r="AA4" s="291"/>
      <c r="AB4" s="115"/>
      <c r="AC4" s="113" t="s">
        <v>81</v>
      </c>
      <c r="AD4" s="115"/>
    </row>
    <row r="5" spans="1:31" x14ac:dyDescent="0.3">
      <c r="A5" s="59" t="s">
        <v>29</v>
      </c>
      <c r="B5" s="60"/>
      <c r="C5" s="60"/>
      <c r="D5" s="62"/>
      <c r="E5" s="71">
        <f>(E4/E3)*100</f>
        <v>33.195420236032753</v>
      </c>
      <c r="F5" s="63"/>
      <c r="G5" s="100"/>
      <c r="H5" s="129"/>
      <c r="I5" s="104"/>
      <c r="J5" s="104"/>
      <c r="K5" s="60"/>
      <c r="L5"/>
      <c r="M5"/>
      <c r="N5"/>
      <c r="O5"/>
      <c r="R5" s="20"/>
      <c r="S5" s="115" t="s">
        <v>82</v>
      </c>
      <c r="T5" s="290" t="s">
        <v>83</v>
      </c>
      <c r="U5" s="290"/>
      <c r="V5" s="290"/>
      <c r="W5" s="290"/>
      <c r="X5" s="290"/>
      <c r="Y5" s="290"/>
      <c r="Z5" s="290"/>
      <c r="AA5" s="290"/>
      <c r="AB5" s="115"/>
      <c r="AC5" s="199" t="s">
        <v>125</v>
      </c>
      <c r="AD5" s="115"/>
    </row>
    <row r="6" spans="1:31" x14ac:dyDescent="0.3">
      <c r="A6" s="59" t="s">
        <v>7</v>
      </c>
      <c r="B6" s="60"/>
      <c r="C6" s="60"/>
      <c r="D6" s="62"/>
      <c r="E6" s="131" t="str">
        <f>IF(E5&gt;25,"Mediana","Média")</f>
        <v>Mediana</v>
      </c>
      <c r="F6" s="64"/>
      <c r="G6" s="100"/>
      <c r="H6" s="129"/>
      <c r="I6" s="158"/>
      <c r="J6" s="106"/>
      <c r="K6" s="60"/>
      <c r="L6"/>
      <c r="M6"/>
      <c r="N6"/>
      <c r="O6"/>
      <c r="R6" s="20"/>
      <c r="S6" s="115" t="s">
        <v>84</v>
      </c>
      <c r="T6" s="290" t="s">
        <v>85</v>
      </c>
      <c r="U6" s="290"/>
      <c r="V6" s="290"/>
      <c r="W6" s="290"/>
      <c r="X6" s="290"/>
      <c r="Y6" s="290"/>
      <c r="Z6" s="290"/>
      <c r="AA6" s="290"/>
      <c r="AB6" s="115"/>
      <c r="AC6" s="199" t="s">
        <v>125</v>
      </c>
      <c r="AD6" s="115"/>
    </row>
    <row r="7" spans="1:31" x14ac:dyDescent="0.3">
      <c r="A7" s="59" t="s">
        <v>8</v>
      </c>
      <c r="B7" s="60"/>
      <c r="C7" s="60"/>
      <c r="D7" s="62"/>
      <c r="E7" s="70">
        <f>MIN(Q13:Q16)</f>
        <v>0</v>
      </c>
      <c r="F7" s="61"/>
      <c r="G7" s="100"/>
      <c r="H7" s="129"/>
      <c r="I7" s="102"/>
      <c r="J7" s="102"/>
      <c r="K7" s="60"/>
      <c r="L7"/>
      <c r="M7"/>
      <c r="N7"/>
      <c r="O7"/>
      <c r="R7" s="20"/>
      <c r="S7" s="115" t="s">
        <v>86</v>
      </c>
      <c r="T7" s="290" t="s">
        <v>87</v>
      </c>
      <c r="U7" s="290"/>
      <c r="V7" s="290"/>
      <c r="W7" s="290"/>
      <c r="X7" s="290"/>
      <c r="Y7" s="290"/>
      <c r="Z7" s="290"/>
      <c r="AA7" s="290"/>
      <c r="AB7" s="115"/>
      <c r="AC7" s="199" t="s">
        <v>125</v>
      </c>
      <c r="AD7" s="115"/>
    </row>
    <row r="8" spans="1:31" x14ac:dyDescent="0.3">
      <c r="A8" s="59"/>
      <c r="B8" s="60"/>
      <c r="C8" s="60"/>
      <c r="D8" s="62"/>
      <c r="E8" s="65"/>
      <c r="F8" s="65"/>
      <c r="G8" s="66"/>
      <c r="H8" s="80"/>
      <c r="I8" s="50"/>
      <c r="J8" s="50"/>
      <c r="K8" s="50"/>
      <c r="S8" s="115" t="s">
        <v>88</v>
      </c>
      <c r="T8" s="289" t="s">
        <v>164</v>
      </c>
      <c r="U8" s="290"/>
      <c r="V8" s="290"/>
      <c r="W8" s="290"/>
      <c r="X8" s="290"/>
      <c r="Y8" s="290"/>
      <c r="Z8" s="290"/>
      <c r="AA8" s="290"/>
      <c r="AB8" s="115"/>
      <c r="AC8" s="199" t="s">
        <v>125</v>
      </c>
      <c r="AD8" s="115"/>
    </row>
    <row r="9" spans="1:31" x14ac:dyDescent="0.3">
      <c r="K9"/>
      <c r="S9" s="115" t="s">
        <v>90</v>
      </c>
      <c r="T9" s="290" t="s">
        <v>91</v>
      </c>
      <c r="U9" s="290"/>
      <c r="V9" s="290"/>
      <c r="W9" s="290"/>
      <c r="X9" s="290"/>
      <c r="Y9" s="290"/>
      <c r="Z9" s="290"/>
      <c r="AA9" s="290"/>
      <c r="AB9" s="115"/>
      <c r="AC9" s="116" t="s">
        <v>125</v>
      </c>
      <c r="AD9" s="115"/>
    </row>
    <row r="10" spans="1:31" x14ac:dyDescent="0.3">
      <c r="A10" s="318"/>
      <c r="B10" s="319"/>
      <c r="C10" s="319"/>
      <c r="D10" s="319"/>
      <c r="E10" s="320"/>
      <c r="F10" s="320"/>
      <c r="G10" s="318"/>
      <c r="H10" s="330"/>
      <c r="I10" s="329"/>
      <c r="K10"/>
      <c r="L10"/>
      <c r="M10"/>
      <c r="N10"/>
      <c r="O10"/>
      <c r="S10" s="115" t="s">
        <v>92</v>
      </c>
      <c r="T10" s="290" t="s">
        <v>93</v>
      </c>
      <c r="U10" s="290"/>
      <c r="V10" s="290"/>
      <c r="W10" s="290"/>
      <c r="X10" s="290"/>
      <c r="Y10" s="290"/>
      <c r="Z10" s="290"/>
      <c r="AA10" s="290"/>
      <c r="AB10" s="115"/>
      <c r="AC10" s="199" t="s">
        <v>125</v>
      </c>
      <c r="AD10" s="115"/>
    </row>
    <row r="11" spans="1:31" x14ac:dyDescent="0.3">
      <c r="A11" s="331"/>
      <c r="B11" s="327"/>
      <c r="C11" s="327"/>
      <c r="D11" s="332"/>
      <c r="E11" s="322"/>
      <c r="F11" s="333"/>
      <c r="G11" s="321"/>
      <c r="H11" s="334"/>
      <c r="I11" s="322"/>
      <c r="J11" s="70"/>
      <c r="K11" s="50"/>
      <c r="L11" s="50"/>
      <c r="S11" s="115" t="s">
        <v>94</v>
      </c>
      <c r="T11" s="290" t="s">
        <v>95</v>
      </c>
      <c r="U11" s="290"/>
      <c r="V11" s="290"/>
      <c r="W11" s="290"/>
      <c r="X11" s="290"/>
      <c r="Y11" s="290"/>
      <c r="Z11" s="289" t="s">
        <v>163</v>
      </c>
      <c r="AA11" s="290"/>
      <c r="AB11" s="115"/>
      <c r="AC11" s="199" t="s">
        <v>127</v>
      </c>
      <c r="AD11" s="115"/>
    </row>
    <row r="12" spans="1:31" x14ac:dyDescent="0.3">
      <c r="A12" s="331"/>
      <c r="B12" s="327"/>
      <c r="C12" s="327"/>
      <c r="D12" s="332"/>
      <c r="E12" s="322"/>
      <c r="F12" s="335"/>
      <c r="G12" s="321"/>
      <c r="H12" s="336"/>
      <c r="I12" s="322"/>
      <c r="J12" s="70"/>
      <c r="K12" s="50"/>
      <c r="L12" s="50"/>
      <c r="S12" s="115" t="s">
        <v>96</v>
      </c>
      <c r="T12" s="290" t="s">
        <v>97</v>
      </c>
      <c r="U12" s="290"/>
      <c r="V12" s="290"/>
      <c r="W12" s="290"/>
      <c r="X12" s="290"/>
      <c r="Y12" s="290"/>
      <c r="Z12" s="290"/>
      <c r="AA12" s="290"/>
      <c r="AB12" s="115"/>
      <c r="AC12" s="116" t="s">
        <v>125</v>
      </c>
      <c r="AD12" s="115"/>
    </row>
    <row r="13" spans="1:31" x14ac:dyDescent="0.3">
      <c r="A13" s="331"/>
      <c r="B13" s="327"/>
      <c r="C13" s="327"/>
      <c r="D13" s="332"/>
      <c r="E13" s="323"/>
      <c r="F13" s="335"/>
      <c r="G13" s="321"/>
      <c r="H13" s="336"/>
      <c r="I13" s="323"/>
      <c r="J13" s="71"/>
      <c r="K13" s="50"/>
      <c r="L13" s="50"/>
      <c r="S13" s="115" t="s">
        <v>98</v>
      </c>
      <c r="T13" s="290" t="s">
        <v>99</v>
      </c>
      <c r="U13" s="290"/>
      <c r="V13" s="290"/>
      <c r="W13" s="290"/>
      <c r="X13" s="290"/>
      <c r="Y13" s="290"/>
      <c r="Z13" s="290"/>
      <c r="AA13" s="290"/>
      <c r="AB13" s="115"/>
      <c r="AC13" s="199" t="s">
        <v>127</v>
      </c>
      <c r="AD13" s="115"/>
    </row>
    <row r="14" spans="1:31" x14ac:dyDescent="0.3">
      <c r="A14" s="331"/>
      <c r="B14" s="327"/>
      <c r="C14" s="327"/>
      <c r="D14" s="332"/>
      <c r="E14" s="324"/>
      <c r="F14" s="337"/>
      <c r="G14" s="321"/>
      <c r="H14" s="338"/>
      <c r="I14" s="324"/>
      <c r="J14" s="106"/>
      <c r="K14" s="50"/>
      <c r="L14" s="50"/>
      <c r="S14" s="115" t="s">
        <v>100</v>
      </c>
      <c r="T14" s="290" t="s">
        <v>101</v>
      </c>
      <c r="U14" s="290"/>
      <c r="V14" s="290"/>
      <c r="W14" s="290"/>
      <c r="X14" s="290"/>
      <c r="Y14" s="290"/>
      <c r="Z14" s="290"/>
      <c r="AA14" s="290"/>
      <c r="AB14" s="115"/>
      <c r="AC14" s="116" t="s">
        <v>125</v>
      </c>
      <c r="AD14" s="115"/>
    </row>
    <row r="15" spans="1:31" x14ac:dyDescent="0.3">
      <c r="A15" s="331"/>
      <c r="B15" s="327"/>
      <c r="C15" s="327"/>
      <c r="D15" s="332"/>
      <c r="E15" s="322"/>
      <c r="F15" s="333"/>
      <c r="G15" s="321"/>
      <c r="H15" s="334"/>
      <c r="I15" s="322"/>
      <c r="J15" s="70"/>
      <c r="K15" s="50"/>
      <c r="L15" s="50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t="s">
        <v>136</v>
      </c>
    </row>
    <row r="16" spans="1:31" x14ac:dyDescent="0.3">
      <c r="A16" s="28"/>
      <c r="B16" s="60"/>
      <c r="C16" s="60"/>
      <c r="D16" s="62"/>
      <c r="E16" s="65"/>
      <c r="F16" s="65"/>
      <c r="G16" s="66"/>
      <c r="H16" s="80"/>
      <c r="I16" s="50"/>
      <c r="J16" s="50"/>
      <c r="K16" s="50"/>
      <c r="L16" s="50"/>
      <c r="S16" s="113" t="s">
        <v>102</v>
      </c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</row>
    <row r="17" spans="1:30" ht="36" customHeight="1" thickBot="1" x14ac:dyDescent="0.35">
      <c r="S17" s="290" t="s">
        <v>104</v>
      </c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</row>
    <row r="18" spans="1:30" ht="15" customHeight="1" x14ac:dyDescent="0.3">
      <c r="A18" s="708" t="s">
        <v>10</v>
      </c>
      <c r="B18" s="710" t="s">
        <v>11</v>
      </c>
      <c r="C18" s="712" t="s">
        <v>12</v>
      </c>
      <c r="D18" s="712" t="s">
        <v>13</v>
      </c>
      <c r="E18" s="712" t="s">
        <v>30</v>
      </c>
      <c r="F18" s="710" t="s">
        <v>31</v>
      </c>
      <c r="G18" s="710" t="s">
        <v>16</v>
      </c>
      <c r="H18" s="287" t="s">
        <v>17</v>
      </c>
      <c r="I18" s="728" t="s">
        <v>18</v>
      </c>
      <c r="J18" s="730" t="s">
        <v>66</v>
      </c>
      <c r="K18" s="702" t="s">
        <v>32</v>
      </c>
      <c r="L18" s="704" t="s">
        <v>33</v>
      </c>
      <c r="M18" s="698" t="s">
        <v>19</v>
      </c>
      <c r="N18" s="815" t="s">
        <v>119</v>
      </c>
      <c r="O18" s="816"/>
      <c r="P18" s="723" t="s">
        <v>20</v>
      </c>
      <c r="Q18" s="724"/>
      <c r="S18" s="290" t="s">
        <v>105</v>
      </c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</row>
    <row r="19" spans="1:30" s="6" customFormat="1" ht="15" thickBot="1" x14ac:dyDescent="0.35">
      <c r="A19" s="709"/>
      <c r="B19" s="711"/>
      <c r="C19" s="713"/>
      <c r="D19" s="713"/>
      <c r="E19" s="713"/>
      <c r="F19" s="711"/>
      <c r="G19" s="711"/>
      <c r="H19" s="294"/>
      <c r="I19" s="729"/>
      <c r="J19" s="731"/>
      <c r="K19" s="703"/>
      <c r="L19" s="705"/>
      <c r="M19" s="699"/>
      <c r="N19" s="817"/>
      <c r="O19" s="818"/>
      <c r="P19" s="295" t="s">
        <v>21</v>
      </c>
      <c r="Q19" s="74" t="s">
        <v>22</v>
      </c>
      <c r="S19" s="115" t="s">
        <v>106</v>
      </c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</row>
    <row r="20" spans="1:30" ht="48.6" customHeight="1" x14ac:dyDescent="0.3">
      <c r="A20" s="586">
        <v>37</v>
      </c>
      <c r="B20" s="725" t="s">
        <v>264</v>
      </c>
      <c r="C20" s="592" t="s">
        <v>42</v>
      </c>
      <c r="D20" s="592">
        <f>20+5</f>
        <v>25</v>
      </c>
      <c r="E20" s="36" t="s">
        <v>553</v>
      </c>
      <c r="F20" s="33" t="s">
        <v>9</v>
      </c>
      <c r="G20" s="57" t="s">
        <v>552</v>
      </c>
      <c r="H20" s="39"/>
      <c r="I20" s="35">
        <f>12.5*2</f>
        <v>25</v>
      </c>
      <c r="J20" s="688">
        <f>AVERAGE(I20:I27)</f>
        <v>33.582083333333337</v>
      </c>
      <c r="K20" s="299">
        <f>(J20*30%)+J20</f>
        <v>43.656708333333341</v>
      </c>
      <c r="L20" s="302">
        <f>70%*J20</f>
        <v>23.507458333333336</v>
      </c>
      <c r="M20" s="189" t="str">
        <f>IF(I20&gt;K$20,"EXCESSIVAMENTE ELEVADO",IF(I20&lt;L$20,"INEXEQUÍVEL","VÁLIDO"))</f>
        <v>VÁLIDO</v>
      </c>
      <c r="N20" s="201"/>
      <c r="O20" s="360"/>
      <c r="P20" s="605">
        <f>TRUNC(AVERAGE(I20:I25),2)</f>
        <v>27.7</v>
      </c>
      <c r="Q20" s="609">
        <f>D20*P20</f>
        <v>692.5</v>
      </c>
      <c r="S20" s="715" t="s">
        <v>107</v>
      </c>
      <c r="T20" s="715"/>
      <c r="U20" s="715"/>
      <c r="V20" s="715"/>
      <c r="W20" s="715"/>
      <c r="X20" s="715"/>
      <c r="Y20" s="715"/>
      <c r="Z20" s="715"/>
      <c r="AA20" s="715"/>
      <c r="AB20" s="715"/>
      <c r="AC20" s="715"/>
      <c r="AD20" s="115"/>
    </row>
    <row r="21" spans="1:30" ht="125.4" customHeight="1" x14ac:dyDescent="0.3">
      <c r="A21" s="587"/>
      <c r="B21" s="727"/>
      <c r="C21" s="584"/>
      <c r="D21" s="584"/>
      <c r="E21" s="40" t="s">
        <v>544</v>
      </c>
      <c r="F21" s="33" t="s">
        <v>27</v>
      </c>
      <c r="G21" s="34" t="s">
        <v>545</v>
      </c>
      <c r="H21" s="179" t="s">
        <v>123</v>
      </c>
      <c r="I21" s="446">
        <f>(27.4/15)+24.9</f>
        <v>26.726666666666667</v>
      </c>
      <c r="J21" s="663"/>
      <c r="K21" s="300"/>
      <c r="L21" s="303"/>
      <c r="M21" s="189" t="str">
        <f t="shared" ref="M21:M27" si="0">IF(I21&gt;K$20,"EXCESSIVAMENTE ELEVADO",IF(I21&lt;L$20,"INEXEQUÍVEL","VÁLIDO"))</f>
        <v>VÁLIDO</v>
      </c>
      <c r="N21" s="166"/>
      <c r="O21" s="166"/>
      <c r="P21" s="607"/>
      <c r="Q21" s="611"/>
      <c r="Y21" s="25"/>
    </row>
    <row r="22" spans="1:30" ht="27.6" x14ac:dyDescent="0.3">
      <c r="A22" s="587"/>
      <c r="B22" s="727"/>
      <c r="C22" s="584"/>
      <c r="D22" s="584"/>
      <c r="E22" s="308" t="s">
        <v>531</v>
      </c>
      <c r="F22" s="507" t="s">
        <v>27</v>
      </c>
      <c r="G22" s="34" t="s">
        <v>122</v>
      </c>
      <c r="H22" s="33" t="s">
        <v>122</v>
      </c>
      <c r="I22" s="35">
        <v>27.07</v>
      </c>
      <c r="J22" s="663"/>
      <c r="K22" s="300"/>
      <c r="L22" s="303"/>
      <c r="M22" s="189" t="str">
        <f t="shared" si="0"/>
        <v>VÁLIDO</v>
      </c>
      <c r="N22" s="166"/>
      <c r="O22" s="166"/>
      <c r="P22" s="607"/>
      <c r="Q22" s="611"/>
      <c r="Y22" s="25"/>
    </row>
    <row r="23" spans="1:30" ht="25.8" customHeight="1" x14ac:dyDescent="0.3">
      <c r="A23" s="587"/>
      <c r="B23" s="727"/>
      <c r="C23" s="584"/>
      <c r="D23" s="584"/>
      <c r="E23" s="33" t="s">
        <v>254</v>
      </c>
      <c r="F23" s="503" t="s">
        <v>26</v>
      </c>
      <c r="G23" s="34" t="s">
        <v>252</v>
      </c>
      <c r="H23" s="33" t="s">
        <v>65</v>
      </c>
      <c r="I23" s="446">
        <v>27.5</v>
      </c>
      <c r="J23" s="663"/>
      <c r="K23" s="300"/>
      <c r="L23" s="303"/>
      <c r="M23" s="189" t="str">
        <f t="shared" si="0"/>
        <v>VÁLIDO</v>
      </c>
      <c r="N23" s="166"/>
      <c r="O23" s="166"/>
      <c r="P23" s="607"/>
      <c r="Q23" s="611"/>
      <c r="Y23" s="25"/>
    </row>
    <row r="24" spans="1:30" ht="48.6" customHeight="1" x14ac:dyDescent="0.3">
      <c r="A24" s="587"/>
      <c r="B24" s="727"/>
      <c r="C24" s="584"/>
      <c r="D24" s="584"/>
      <c r="E24" s="36" t="s">
        <v>546</v>
      </c>
      <c r="F24" s="33" t="s">
        <v>9</v>
      </c>
      <c r="G24" s="34" t="s">
        <v>547</v>
      </c>
      <c r="H24" s="39" t="s">
        <v>65</v>
      </c>
      <c r="I24" s="35">
        <f>2*14.98</f>
        <v>29.96</v>
      </c>
      <c r="J24" s="663"/>
      <c r="K24" s="300"/>
      <c r="L24" s="303"/>
      <c r="M24" s="189" t="str">
        <f t="shared" si="0"/>
        <v>VÁLIDO</v>
      </c>
      <c r="N24" s="166"/>
      <c r="O24" s="166"/>
      <c r="P24" s="607"/>
      <c r="Q24" s="611"/>
      <c r="Y24" s="25"/>
    </row>
    <row r="25" spans="1:30" ht="51.6" customHeight="1" x14ac:dyDescent="0.3">
      <c r="A25" s="587"/>
      <c r="B25" s="727"/>
      <c r="C25" s="584"/>
      <c r="D25" s="584"/>
      <c r="E25" s="40" t="s">
        <v>227</v>
      </c>
      <c r="F25" s="45" t="s">
        <v>26</v>
      </c>
      <c r="G25" s="41" t="s">
        <v>228</v>
      </c>
      <c r="H25" s="38" t="s">
        <v>65</v>
      </c>
      <c r="I25" s="446">
        <v>30</v>
      </c>
      <c r="J25" s="663"/>
      <c r="K25" s="300"/>
      <c r="L25" s="303"/>
      <c r="M25" s="282" t="str">
        <f t="shared" si="0"/>
        <v>VÁLIDO</v>
      </c>
      <c r="N25" s="531"/>
      <c r="O25" s="166"/>
      <c r="P25" s="607"/>
      <c r="Q25" s="611"/>
      <c r="Y25" s="25"/>
    </row>
    <row r="26" spans="1:30" ht="57.6" customHeight="1" x14ac:dyDescent="0.3">
      <c r="A26" s="587"/>
      <c r="B26" s="727"/>
      <c r="C26" s="584"/>
      <c r="D26" s="584"/>
      <c r="E26" s="36" t="s">
        <v>548</v>
      </c>
      <c r="F26" s="33" t="s">
        <v>9</v>
      </c>
      <c r="G26" s="34" t="s">
        <v>549</v>
      </c>
      <c r="H26" s="39" t="s">
        <v>68</v>
      </c>
      <c r="I26" s="446">
        <f>2*23.9</f>
        <v>47.8</v>
      </c>
      <c r="J26" s="664"/>
      <c r="K26" s="89"/>
      <c r="L26" s="35"/>
      <c r="M26" s="282" t="str">
        <f t="shared" si="0"/>
        <v>EXCESSIVAMENTE ELEVADO</v>
      </c>
      <c r="N26" s="202">
        <f>(I26-J20)/J20</f>
        <v>0.42337804136630375</v>
      </c>
      <c r="O26" s="213" t="s">
        <v>555</v>
      </c>
      <c r="P26" s="607"/>
      <c r="Q26" s="611"/>
      <c r="Y26" s="25"/>
    </row>
    <row r="27" spans="1:30" ht="52.2" customHeight="1" x14ac:dyDescent="0.3">
      <c r="A27" s="587"/>
      <c r="B27" s="727"/>
      <c r="C27" s="584"/>
      <c r="D27" s="584"/>
      <c r="E27" s="36" t="s">
        <v>550</v>
      </c>
      <c r="F27" s="33" t="s">
        <v>9</v>
      </c>
      <c r="G27" s="34" t="s">
        <v>551</v>
      </c>
      <c r="H27" s="39" t="s">
        <v>65</v>
      </c>
      <c r="I27" s="446">
        <v>54.6</v>
      </c>
      <c r="J27" s="664"/>
      <c r="K27" s="89"/>
      <c r="L27" s="35"/>
      <c r="M27" s="309" t="str">
        <f t="shared" si="0"/>
        <v>EXCESSIVAMENTE ELEVADO</v>
      </c>
      <c r="N27" s="202">
        <f>(I27-J20)/J20</f>
        <v>0.6258669677531421</v>
      </c>
      <c r="O27" s="213" t="s">
        <v>555</v>
      </c>
      <c r="P27" s="607"/>
      <c r="Q27" s="611"/>
      <c r="Y27" s="25"/>
    </row>
    <row r="28" spans="1:30" x14ac:dyDescent="0.3">
      <c r="A28" s="837"/>
      <c r="B28" s="805"/>
      <c r="C28" s="805"/>
      <c r="D28" s="805"/>
      <c r="E28" s="805"/>
      <c r="F28" s="805"/>
      <c r="G28" s="805"/>
      <c r="H28" s="805"/>
      <c r="I28" s="805"/>
      <c r="J28" s="805"/>
      <c r="K28" s="805"/>
      <c r="L28" s="805"/>
      <c r="M28" s="805"/>
      <c r="N28" s="805"/>
      <c r="O28" s="805"/>
      <c r="P28" s="806"/>
      <c r="Q28" s="44">
        <f>SUM(Q20:Q27)</f>
        <v>692.5</v>
      </c>
    </row>
    <row r="30" spans="1:30" x14ac:dyDescent="0.3">
      <c r="A30" s="259"/>
    </row>
    <row r="31" spans="1:30" s="13" customFormat="1" x14ac:dyDescent="0.3">
      <c r="A31" s="62"/>
      <c r="B31" s="80"/>
      <c r="C31" s="62"/>
      <c r="D31" s="62"/>
      <c r="E31" s="82"/>
      <c r="F31" s="82"/>
      <c r="G31" s="81"/>
      <c r="H31" s="62"/>
      <c r="I31" s="62"/>
      <c r="J31" s="62"/>
      <c r="P31"/>
      <c r="Q31"/>
      <c r="R31"/>
      <c r="S31"/>
      <c r="T31"/>
      <c r="U31"/>
      <c r="V31"/>
      <c r="W31"/>
      <c r="X31"/>
      <c r="Y31"/>
    </row>
    <row r="32" spans="1:30" s="13" customFormat="1" x14ac:dyDescent="0.3">
      <c r="A32" s="62"/>
      <c r="B32" s="80"/>
      <c r="C32" s="62"/>
      <c r="D32" s="62"/>
      <c r="E32" s="82"/>
      <c r="F32" s="82"/>
      <c r="G32" s="81"/>
      <c r="H32" s="62"/>
      <c r="I32" s="62"/>
      <c r="J32" s="62"/>
      <c r="P32"/>
      <c r="Q32"/>
      <c r="R32"/>
      <c r="S32"/>
      <c r="T32"/>
      <c r="U32"/>
      <c r="V32"/>
      <c r="W32"/>
      <c r="X32"/>
      <c r="Y32"/>
    </row>
    <row r="33" spans="1:25" s="13" customFormat="1" x14ac:dyDescent="0.3">
      <c r="A33" s="62"/>
      <c r="B33" s="80"/>
      <c r="C33" s="62"/>
      <c r="D33" s="62"/>
      <c r="E33" s="82"/>
      <c r="F33" s="82"/>
      <c r="G33" s="81"/>
      <c r="H33" s="62"/>
      <c r="I33" s="62"/>
      <c r="J33" s="62"/>
      <c r="P33"/>
      <c r="Q33"/>
      <c r="R33"/>
      <c r="S33"/>
      <c r="T33"/>
      <c r="U33"/>
      <c r="V33"/>
      <c r="W33"/>
      <c r="X33"/>
      <c r="Y33"/>
    </row>
  </sheetData>
  <mergeCells count="23">
    <mergeCell ref="N18:O19"/>
    <mergeCell ref="S20:AC20"/>
    <mergeCell ref="A28:P28"/>
    <mergeCell ref="P18:Q18"/>
    <mergeCell ref="A20:A27"/>
    <mergeCell ref="B20:B27"/>
    <mergeCell ref="C20:C27"/>
    <mergeCell ref="D20:D27"/>
    <mergeCell ref="J20:J27"/>
    <mergeCell ref="P20:P27"/>
    <mergeCell ref="Q20:Q27"/>
    <mergeCell ref="G18:G19"/>
    <mergeCell ref="I18:I19"/>
    <mergeCell ref="J18:J19"/>
    <mergeCell ref="K18:K19"/>
    <mergeCell ref="L18:L19"/>
    <mergeCell ref="M18:M19"/>
    <mergeCell ref="A18:A19"/>
    <mergeCell ref="B18:B19"/>
    <mergeCell ref="C18:C19"/>
    <mergeCell ref="D18:D19"/>
    <mergeCell ref="E18:E19"/>
    <mergeCell ref="F18:F19"/>
  </mergeCells>
  <conditionalFormatting sqref="M18:M20 M26:M27 M21:O25">
    <cfRule type="containsText" dxfId="83" priority="24" operator="containsText" text="Excessivamente elevado">
      <formula>NOT(ISERROR(SEARCH("Excessivamente elevado",M18)))</formula>
    </cfRule>
  </conditionalFormatting>
  <conditionalFormatting sqref="M20 M26:M27 M21:O25">
    <cfRule type="cellIs" dxfId="82" priority="22" operator="lessThan">
      <formula>"K$25"</formula>
    </cfRule>
    <cfRule type="cellIs" dxfId="81" priority="23" operator="greaterThan">
      <formula>"J$25"</formula>
    </cfRule>
  </conditionalFormatting>
  <conditionalFormatting sqref="M20 M26:M27 M21:O25">
    <cfRule type="cellIs" dxfId="80" priority="20" operator="lessThan">
      <formula>"K$25"</formula>
    </cfRule>
    <cfRule type="cellIs" dxfId="79" priority="21" operator="greaterThan">
      <formula>"J&amp;25"</formula>
    </cfRule>
  </conditionalFormatting>
  <conditionalFormatting sqref="M26:M27 M20 M21:O25">
    <cfRule type="containsText" priority="5075" operator="containsText" text="Excessivamente elevado">
      <formula>NOT(ISERROR(SEARCH("Excessivamente elevado",M20)))</formula>
    </cfRule>
    <cfRule type="containsText" dxfId="78" priority="5076" operator="containsText" text="Válido">
      <formula>NOT(ISERROR(SEARCH("Válido",M20)))</formula>
    </cfRule>
    <cfRule type="containsText" dxfId="77" priority="5077" operator="containsText" text="Inexequível">
      <formula>NOT(ISERROR(SEARCH("Inexequível",M20)))</formula>
    </cfRule>
    <cfRule type="aboveAverage" dxfId="76" priority="5078" aboveAverage="0"/>
  </conditionalFormatting>
  <conditionalFormatting sqref="N18">
    <cfRule type="containsText" dxfId="75" priority="19" operator="containsText" text="Excessivamente elevado">
      <formula>NOT(ISERROR(SEARCH("Excessivamente elevado",N18)))</formula>
    </cfRule>
  </conditionalFormatting>
  <conditionalFormatting sqref="N20">
    <cfRule type="containsText" dxfId="74" priority="14" operator="containsText" text="Excessivamente elevado">
      <formula>NOT(ISERROR(SEARCH("Excessivamente elevado",N20)))</formula>
    </cfRule>
  </conditionalFormatting>
  <conditionalFormatting sqref="N20">
    <cfRule type="cellIs" dxfId="73" priority="12" operator="lessThan">
      <formula>"K$25"</formula>
    </cfRule>
    <cfRule type="cellIs" dxfId="72" priority="13" operator="greaterThan">
      <formula>"J$25"</formula>
    </cfRule>
  </conditionalFormatting>
  <conditionalFormatting sqref="N20">
    <cfRule type="cellIs" dxfId="71" priority="10" operator="lessThan">
      <formula>"K$25"</formula>
    </cfRule>
    <cfRule type="cellIs" dxfId="70" priority="11" operator="greaterThan">
      <formula>"J&amp;25"</formula>
    </cfRule>
  </conditionalFormatting>
  <conditionalFormatting sqref="N20">
    <cfRule type="containsText" priority="15" operator="containsText" text="Excessivamente elevado">
      <formula>NOT(ISERROR(SEARCH("Excessivamente elevado",N20)))</formula>
    </cfRule>
    <cfRule type="containsText" dxfId="69" priority="16" operator="containsText" text="Válido">
      <formula>NOT(ISERROR(SEARCH("Válido",N20)))</formula>
    </cfRule>
    <cfRule type="containsText" dxfId="68" priority="17" operator="containsText" text="Inexequível">
      <formula>NOT(ISERROR(SEARCH("Inexequível",N20)))</formula>
    </cfRule>
    <cfRule type="aboveAverage" dxfId="67" priority="18" aboveAverage="0"/>
  </conditionalFormatting>
  <conditionalFormatting sqref="N26:N27">
    <cfRule type="containsText" dxfId="66" priority="5" operator="containsText" text="Excessivamente elevado">
      <formula>NOT(ISERROR(SEARCH("Excessivamente elevado",N26)))</formula>
    </cfRule>
  </conditionalFormatting>
  <conditionalFormatting sqref="N26:N27">
    <cfRule type="cellIs" dxfId="65" priority="3" operator="lessThan">
      <formula>"K$25"</formula>
    </cfRule>
    <cfRule type="cellIs" dxfId="64" priority="4" operator="greaterThan">
      <formula>"J$25"</formula>
    </cfRule>
  </conditionalFormatting>
  <conditionalFormatting sqref="N26:N27">
    <cfRule type="cellIs" dxfId="63" priority="1" operator="lessThan">
      <formula>"K$25"</formula>
    </cfRule>
    <cfRule type="cellIs" dxfId="62" priority="2" operator="greaterThan">
      <formula>"J&amp;25"</formula>
    </cfRule>
  </conditionalFormatting>
  <conditionalFormatting sqref="N26:N27">
    <cfRule type="containsText" priority="6" operator="containsText" text="Excessivamente elevado">
      <formula>NOT(ISERROR(SEARCH("Excessivamente elevado",N26)))</formula>
    </cfRule>
    <cfRule type="containsText" dxfId="61" priority="7" operator="containsText" text="Válido">
      <formula>NOT(ISERROR(SEARCH("Válido",N26)))</formula>
    </cfRule>
    <cfRule type="containsText" dxfId="60" priority="8" operator="containsText" text="Inexequível">
      <formula>NOT(ISERROR(SEARCH("Inexequível",N26)))</formula>
    </cfRule>
    <cfRule type="aboveAverage" dxfId="59" priority="9" aboveAverage="0"/>
  </conditionalFormatting>
  <pageMargins left="0.23622047244094491" right="0.23622047244094491" top="0.74803149606299213" bottom="0.74803149606299213" header="0.31496062992125984" footer="0.31496062992125984"/>
  <pageSetup paperSize="9" scale="6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1EFE0-D07A-4143-AB0D-2C74B1E38381}">
  <sheetPr>
    <tabColor rgb="FF0070C0"/>
  </sheetPr>
  <dimension ref="A1:AE33"/>
  <sheetViews>
    <sheetView showGridLines="0" topLeftCell="A15" zoomScaleNormal="100" workbookViewId="0">
      <selection activeCell="P20" sqref="P20:P27"/>
    </sheetView>
  </sheetViews>
  <sheetFormatPr defaultColWidth="9.109375" defaultRowHeight="14.4" x14ac:dyDescent="0.3"/>
  <cols>
    <col min="1" max="1" width="4.5546875" style="20" customWidth="1"/>
    <col min="2" max="2" width="23.6640625" customWidth="1"/>
    <col min="3" max="3" width="4.6640625" customWidth="1"/>
    <col min="4" max="4" width="4.44140625" style="20" customWidth="1"/>
    <col min="5" max="5" width="23.109375" style="13" customWidth="1"/>
    <col min="6" max="6" width="12.44140625" style="13" customWidth="1"/>
    <col min="7" max="7" width="26.5546875" style="13" customWidth="1"/>
    <col min="8" max="8" width="7.33203125" style="13" customWidth="1"/>
    <col min="9" max="9" width="10.44140625" style="13" customWidth="1"/>
    <col min="10" max="10" width="9.88671875" style="13" customWidth="1"/>
    <col min="11" max="11" width="10.109375" style="13" hidden="1" customWidth="1"/>
    <col min="12" max="12" width="10.88671875" style="13" hidden="1" customWidth="1"/>
    <col min="13" max="13" width="13.44140625" style="13" customWidth="1"/>
    <col min="14" max="14" width="7.33203125" style="13" customWidth="1"/>
    <col min="15" max="15" width="21.109375" style="13" customWidth="1"/>
    <col min="16" max="16" width="12" customWidth="1"/>
    <col min="17" max="17" width="13.33203125" customWidth="1"/>
    <col min="19" max="19" width="13.44140625" customWidth="1"/>
    <col min="22" max="22" width="12.5546875" bestFit="1" customWidth="1"/>
    <col min="25" max="25" width="10.5546875" bestFit="1" customWidth="1"/>
  </cols>
  <sheetData>
    <row r="1" spans="1:31" ht="15" thickBot="1" x14ac:dyDescent="0.35">
      <c r="S1" s="114" t="s">
        <v>79</v>
      </c>
      <c r="T1" s="114"/>
      <c r="U1" s="114"/>
      <c r="V1" s="114"/>
      <c r="W1" s="114"/>
      <c r="X1" s="114"/>
      <c r="Y1" s="114"/>
      <c r="Z1" s="115"/>
      <c r="AA1" s="115"/>
      <c r="AB1" s="115"/>
      <c r="AC1" s="115"/>
      <c r="AD1" s="115"/>
    </row>
    <row r="2" spans="1:31" ht="15.6" thickTop="1" thickBot="1" x14ac:dyDescent="0.35">
      <c r="A2" s="72" t="s">
        <v>143</v>
      </c>
      <c r="B2" s="29"/>
      <c r="C2" s="29"/>
      <c r="D2" s="29"/>
      <c r="E2"/>
      <c r="F2"/>
      <c r="G2" s="107"/>
      <c r="H2" s="339"/>
      <c r="I2" s="97"/>
      <c r="J2" s="97"/>
      <c r="K2"/>
      <c r="L2"/>
      <c r="M2"/>
      <c r="N2"/>
      <c r="O2"/>
      <c r="S2" s="114"/>
      <c r="T2" s="114"/>
      <c r="U2" s="114"/>
      <c r="V2" s="114"/>
      <c r="W2" s="114"/>
      <c r="X2" s="114"/>
      <c r="Y2" s="114"/>
      <c r="Z2" s="115"/>
      <c r="AA2" s="115"/>
      <c r="AB2" s="115"/>
      <c r="AC2" s="115"/>
      <c r="AD2" s="115"/>
    </row>
    <row r="3" spans="1:31" ht="15" thickTop="1" x14ac:dyDescent="0.3">
      <c r="A3" s="59" t="s">
        <v>5</v>
      </c>
      <c r="B3" s="60"/>
      <c r="C3" s="60"/>
      <c r="D3" s="62"/>
      <c r="E3" s="70">
        <f>AVERAGE(I20:I27)</f>
        <v>20.416249999999998</v>
      </c>
      <c r="F3" s="61"/>
      <c r="G3" s="100"/>
      <c r="H3" s="129"/>
      <c r="I3" s="102"/>
      <c r="J3" s="102"/>
      <c r="K3" s="60"/>
      <c r="L3"/>
      <c r="M3"/>
      <c r="N3"/>
      <c r="O3"/>
      <c r="R3" s="20"/>
      <c r="S3" s="115"/>
      <c r="T3" s="113"/>
      <c r="U3" s="115"/>
      <c r="V3" s="115"/>
      <c r="W3" s="115"/>
      <c r="X3" s="115"/>
      <c r="Y3" s="115"/>
      <c r="Z3" s="115"/>
      <c r="AA3" s="115"/>
      <c r="AB3" s="115"/>
      <c r="AC3" s="115"/>
      <c r="AD3" s="115"/>
    </row>
    <row r="4" spans="1:31" x14ac:dyDescent="0.3">
      <c r="A4" s="59" t="s">
        <v>6</v>
      </c>
      <c r="B4" s="60"/>
      <c r="C4" s="60"/>
      <c r="D4" s="62"/>
      <c r="E4" s="70">
        <f>_xlfn.STDEV.S(I20:I27)</f>
        <v>4.3914647328653516</v>
      </c>
      <c r="F4" s="63"/>
      <c r="G4" s="100"/>
      <c r="H4" s="129"/>
      <c r="I4" s="102"/>
      <c r="J4" s="102"/>
      <c r="K4" s="60"/>
      <c r="L4"/>
      <c r="M4"/>
      <c r="N4"/>
      <c r="O4"/>
      <c r="R4" s="20"/>
      <c r="S4" s="291" t="s">
        <v>80</v>
      </c>
      <c r="T4" s="291"/>
      <c r="U4" s="291"/>
      <c r="V4" s="291"/>
      <c r="W4" s="291"/>
      <c r="X4" s="291"/>
      <c r="Y4" s="291"/>
      <c r="Z4" s="291"/>
      <c r="AA4" s="291"/>
      <c r="AB4" s="115"/>
      <c r="AC4" s="113" t="s">
        <v>81</v>
      </c>
      <c r="AD4" s="115"/>
    </row>
    <row r="5" spans="1:31" x14ac:dyDescent="0.3">
      <c r="A5" s="59" t="s">
        <v>29</v>
      </c>
      <c r="B5" s="60"/>
      <c r="C5" s="60"/>
      <c r="D5" s="62"/>
      <c r="E5" s="71">
        <f>(E4/E3)*100</f>
        <v>21.509653990646431</v>
      </c>
      <c r="F5" s="63"/>
      <c r="G5" s="100"/>
      <c r="H5" s="129"/>
      <c r="I5" s="104"/>
      <c r="J5" s="104"/>
      <c r="K5" s="60"/>
      <c r="L5"/>
      <c r="M5"/>
      <c r="N5"/>
      <c r="O5"/>
      <c r="R5" s="20"/>
      <c r="S5" s="115" t="s">
        <v>82</v>
      </c>
      <c r="T5" s="290" t="s">
        <v>83</v>
      </c>
      <c r="U5" s="290"/>
      <c r="V5" s="290"/>
      <c r="W5" s="290"/>
      <c r="X5" s="290"/>
      <c r="Y5" s="290"/>
      <c r="Z5" s="290"/>
      <c r="AA5" s="290"/>
      <c r="AB5" s="115"/>
      <c r="AC5" s="199" t="s">
        <v>125</v>
      </c>
      <c r="AD5" s="115"/>
    </row>
    <row r="6" spans="1:31" x14ac:dyDescent="0.3">
      <c r="A6" s="59" t="s">
        <v>7</v>
      </c>
      <c r="B6" s="60"/>
      <c r="C6" s="60"/>
      <c r="D6" s="62"/>
      <c r="E6" s="543" t="str">
        <f>IF(E5&gt;25,"Mediana","Média")</f>
        <v>Média</v>
      </c>
      <c r="F6" s="64"/>
      <c r="G6" s="100"/>
      <c r="H6" s="129"/>
      <c r="I6" s="158"/>
      <c r="J6" s="106"/>
      <c r="K6" s="60"/>
      <c r="L6"/>
      <c r="M6"/>
      <c r="N6"/>
      <c r="O6"/>
      <c r="R6" s="20"/>
      <c r="S6" s="115" t="s">
        <v>84</v>
      </c>
      <c r="T6" s="290" t="s">
        <v>85</v>
      </c>
      <c r="U6" s="290"/>
      <c r="V6" s="290"/>
      <c r="W6" s="290"/>
      <c r="X6" s="290"/>
      <c r="Y6" s="290"/>
      <c r="Z6" s="290"/>
      <c r="AA6" s="290"/>
      <c r="AB6" s="115"/>
      <c r="AC6" s="199" t="s">
        <v>125</v>
      </c>
      <c r="AD6" s="115"/>
    </row>
    <row r="7" spans="1:31" x14ac:dyDescent="0.3">
      <c r="A7" s="59" t="s">
        <v>8</v>
      </c>
      <c r="B7" s="60"/>
      <c r="C7" s="60"/>
      <c r="D7" s="62"/>
      <c r="E7" s="70">
        <f>MIN(Q13:Q16)</f>
        <v>0</v>
      </c>
      <c r="F7" s="61"/>
      <c r="G7" s="100"/>
      <c r="H7" s="129"/>
      <c r="I7" s="102"/>
      <c r="J7" s="102"/>
      <c r="K7" s="60"/>
      <c r="L7"/>
      <c r="M7"/>
      <c r="N7"/>
      <c r="O7"/>
      <c r="R7" s="20"/>
      <c r="S7" s="115" t="s">
        <v>86</v>
      </c>
      <c r="T7" s="290" t="s">
        <v>87</v>
      </c>
      <c r="U7" s="290"/>
      <c r="V7" s="290"/>
      <c r="W7" s="290"/>
      <c r="X7" s="290"/>
      <c r="Y7" s="290"/>
      <c r="Z7" s="290"/>
      <c r="AA7" s="290"/>
      <c r="AB7" s="115"/>
      <c r="AC7" s="199" t="s">
        <v>125</v>
      </c>
      <c r="AD7" s="115"/>
    </row>
    <row r="8" spans="1:31" x14ac:dyDescent="0.3">
      <c r="A8" s="59"/>
      <c r="B8" s="60"/>
      <c r="C8" s="60"/>
      <c r="D8" s="62"/>
      <c r="E8" s="65"/>
      <c r="F8" s="65"/>
      <c r="G8" s="66"/>
      <c r="H8" s="80"/>
      <c r="I8" s="50"/>
      <c r="J8" s="50"/>
      <c r="K8" s="50"/>
      <c r="S8" s="115" t="s">
        <v>88</v>
      </c>
      <c r="T8" s="289" t="s">
        <v>164</v>
      </c>
      <c r="U8" s="290"/>
      <c r="V8" s="290"/>
      <c r="W8" s="290"/>
      <c r="X8" s="290"/>
      <c r="Y8" s="290"/>
      <c r="Z8" s="290"/>
      <c r="AA8" s="290"/>
      <c r="AB8" s="115"/>
      <c r="AC8" s="199" t="s">
        <v>125</v>
      </c>
      <c r="AD8" s="115"/>
    </row>
    <row r="9" spans="1:31" x14ac:dyDescent="0.3">
      <c r="K9"/>
      <c r="S9" s="115" t="s">
        <v>90</v>
      </c>
      <c r="T9" s="290" t="s">
        <v>91</v>
      </c>
      <c r="U9" s="290"/>
      <c r="V9" s="290"/>
      <c r="W9" s="290"/>
      <c r="X9" s="290"/>
      <c r="Y9" s="290"/>
      <c r="Z9" s="290"/>
      <c r="AA9" s="290"/>
      <c r="AB9" s="115"/>
      <c r="AC9" s="116" t="s">
        <v>125</v>
      </c>
      <c r="AD9" s="115"/>
    </row>
    <row r="10" spans="1:31" x14ac:dyDescent="0.3">
      <c r="A10" s="318"/>
      <c r="B10" s="319"/>
      <c r="C10" s="319"/>
      <c r="D10" s="319"/>
      <c r="E10" s="320"/>
      <c r="F10" s="320"/>
      <c r="G10" s="318"/>
      <c r="H10" s="330"/>
      <c r="I10" s="329"/>
      <c r="K10"/>
      <c r="L10"/>
      <c r="M10"/>
      <c r="N10"/>
      <c r="O10"/>
      <c r="S10" s="115" t="s">
        <v>92</v>
      </c>
      <c r="T10" s="290" t="s">
        <v>93</v>
      </c>
      <c r="U10" s="290"/>
      <c r="V10" s="290"/>
      <c r="W10" s="290"/>
      <c r="X10" s="290"/>
      <c r="Y10" s="290"/>
      <c r="Z10" s="290"/>
      <c r="AA10" s="290"/>
      <c r="AB10" s="115"/>
      <c r="AC10" s="199" t="s">
        <v>125</v>
      </c>
      <c r="AD10" s="115"/>
    </row>
    <row r="11" spans="1:31" x14ac:dyDescent="0.3">
      <c r="A11" s="331"/>
      <c r="B11" s="327"/>
      <c r="C11" s="327"/>
      <c r="D11" s="332"/>
      <c r="E11" s="322"/>
      <c r="F11" s="333"/>
      <c r="G11" s="321"/>
      <c r="H11" s="334"/>
      <c r="I11" s="322"/>
      <c r="J11" s="70"/>
      <c r="K11" s="50"/>
      <c r="L11" s="50"/>
      <c r="S11" s="115" t="s">
        <v>94</v>
      </c>
      <c r="T11" s="290" t="s">
        <v>95</v>
      </c>
      <c r="U11" s="290"/>
      <c r="V11" s="290"/>
      <c r="W11" s="290"/>
      <c r="X11" s="290"/>
      <c r="Y11" s="290"/>
      <c r="Z11" s="289" t="s">
        <v>163</v>
      </c>
      <c r="AA11" s="290"/>
      <c r="AB11" s="115"/>
      <c r="AC11" s="199" t="s">
        <v>127</v>
      </c>
      <c r="AD11" s="115"/>
    </row>
    <row r="12" spans="1:31" x14ac:dyDescent="0.3">
      <c r="A12" s="331"/>
      <c r="B12" s="327"/>
      <c r="C12" s="327"/>
      <c r="D12" s="332"/>
      <c r="E12" s="322"/>
      <c r="F12" s="335"/>
      <c r="G12" s="321"/>
      <c r="H12" s="336"/>
      <c r="I12" s="322"/>
      <c r="J12" s="70"/>
      <c r="K12" s="50"/>
      <c r="L12" s="50"/>
      <c r="S12" s="115" t="s">
        <v>96</v>
      </c>
      <c r="T12" s="290" t="s">
        <v>97</v>
      </c>
      <c r="U12" s="290"/>
      <c r="V12" s="290"/>
      <c r="W12" s="290"/>
      <c r="X12" s="290"/>
      <c r="Y12" s="290"/>
      <c r="Z12" s="290"/>
      <c r="AA12" s="290"/>
      <c r="AB12" s="115"/>
      <c r="AC12" s="116" t="s">
        <v>125</v>
      </c>
      <c r="AD12" s="115"/>
    </row>
    <row r="13" spans="1:31" x14ac:dyDescent="0.3">
      <c r="A13" s="331"/>
      <c r="B13" s="327"/>
      <c r="C13" s="327"/>
      <c r="D13" s="332"/>
      <c r="E13" s="323"/>
      <c r="F13" s="335"/>
      <c r="G13" s="321"/>
      <c r="H13" s="336"/>
      <c r="I13" s="323"/>
      <c r="J13" s="71"/>
      <c r="K13" s="50"/>
      <c r="L13" s="50"/>
      <c r="S13" s="115" t="s">
        <v>98</v>
      </c>
      <c r="T13" s="290" t="s">
        <v>99</v>
      </c>
      <c r="U13" s="290"/>
      <c r="V13" s="290"/>
      <c r="W13" s="290"/>
      <c r="X13" s="290"/>
      <c r="Y13" s="290"/>
      <c r="Z13" s="290"/>
      <c r="AA13" s="290"/>
      <c r="AB13" s="115"/>
      <c r="AC13" s="199" t="s">
        <v>127</v>
      </c>
      <c r="AD13" s="115"/>
    </row>
    <row r="14" spans="1:31" x14ac:dyDescent="0.3">
      <c r="A14" s="331"/>
      <c r="B14" s="327"/>
      <c r="C14" s="327"/>
      <c r="D14" s="332"/>
      <c r="E14" s="324"/>
      <c r="F14" s="337"/>
      <c r="G14" s="321"/>
      <c r="H14" s="338"/>
      <c r="I14" s="324"/>
      <c r="J14" s="106"/>
      <c r="K14" s="50"/>
      <c r="L14" s="50"/>
      <c r="S14" s="115" t="s">
        <v>100</v>
      </c>
      <c r="T14" s="290" t="s">
        <v>101</v>
      </c>
      <c r="U14" s="290"/>
      <c r="V14" s="290"/>
      <c r="W14" s="290"/>
      <c r="X14" s="290"/>
      <c r="Y14" s="290"/>
      <c r="Z14" s="290"/>
      <c r="AA14" s="290"/>
      <c r="AB14" s="115"/>
      <c r="AC14" s="116" t="s">
        <v>125</v>
      </c>
      <c r="AD14" s="115"/>
    </row>
    <row r="15" spans="1:31" x14ac:dyDescent="0.3">
      <c r="A15" s="331"/>
      <c r="B15" s="327"/>
      <c r="C15" s="327"/>
      <c r="D15" s="332"/>
      <c r="E15" s="322"/>
      <c r="F15" s="333"/>
      <c r="G15" s="321"/>
      <c r="H15" s="334"/>
      <c r="I15" s="322"/>
      <c r="J15" s="70"/>
      <c r="K15" s="50"/>
      <c r="L15" s="50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t="s">
        <v>136</v>
      </c>
    </row>
    <row r="16" spans="1:31" x14ac:dyDescent="0.3">
      <c r="A16" s="28"/>
      <c r="B16" s="60"/>
      <c r="C16" s="60"/>
      <c r="D16" s="62"/>
      <c r="E16" s="65"/>
      <c r="F16" s="65"/>
      <c r="G16" s="66"/>
      <c r="H16" s="80"/>
      <c r="I16" s="50"/>
      <c r="J16" s="50"/>
      <c r="K16" s="50"/>
      <c r="L16" s="50"/>
      <c r="S16" s="113" t="s">
        <v>102</v>
      </c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</row>
    <row r="17" spans="1:30" ht="36" customHeight="1" thickBot="1" x14ac:dyDescent="0.35">
      <c r="S17" s="290" t="s">
        <v>104</v>
      </c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</row>
    <row r="18" spans="1:30" ht="15" customHeight="1" x14ac:dyDescent="0.3">
      <c r="A18" s="708" t="s">
        <v>10</v>
      </c>
      <c r="B18" s="710" t="s">
        <v>11</v>
      </c>
      <c r="C18" s="712" t="s">
        <v>12</v>
      </c>
      <c r="D18" s="712" t="s">
        <v>13</v>
      </c>
      <c r="E18" s="712" t="s">
        <v>30</v>
      </c>
      <c r="F18" s="710" t="s">
        <v>31</v>
      </c>
      <c r="G18" s="710" t="s">
        <v>16</v>
      </c>
      <c r="H18" s="287" t="s">
        <v>17</v>
      </c>
      <c r="I18" s="728" t="s">
        <v>18</v>
      </c>
      <c r="J18" s="730" t="s">
        <v>66</v>
      </c>
      <c r="K18" s="702" t="s">
        <v>32</v>
      </c>
      <c r="L18" s="704" t="s">
        <v>33</v>
      </c>
      <c r="M18" s="698" t="s">
        <v>19</v>
      </c>
      <c r="N18" s="815" t="s">
        <v>119</v>
      </c>
      <c r="O18" s="816"/>
      <c r="P18" s="723" t="s">
        <v>20</v>
      </c>
      <c r="Q18" s="724"/>
      <c r="S18" s="290" t="s">
        <v>105</v>
      </c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</row>
    <row r="19" spans="1:30" s="6" customFormat="1" ht="15" thickBot="1" x14ac:dyDescent="0.35">
      <c r="A19" s="709"/>
      <c r="B19" s="711"/>
      <c r="C19" s="713"/>
      <c r="D19" s="713"/>
      <c r="E19" s="713"/>
      <c r="F19" s="711"/>
      <c r="G19" s="711"/>
      <c r="H19" s="294"/>
      <c r="I19" s="729"/>
      <c r="J19" s="731"/>
      <c r="K19" s="703"/>
      <c r="L19" s="705"/>
      <c r="M19" s="699"/>
      <c r="N19" s="645"/>
      <c r="O19" s="646"/>
      <c r="P19" s="295" t="s">
        <v>21</v>
      </c>
      <c r="Q19" s="74" t="s">
        <v>22</v>
      </c>
      <c r="S19" s="115" t="s">
        <v>106</v>
      </c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</row>
    <row r="20" spans="1:30" ht="43.2" customHeight="1" x14ac:dyDescent="0.3">
      <c r="A20" s="586">
        <v>38</v>
      </c>
      <c r="B20" s="725" t="s">
        <v>221</v>
      </c>
      <c r="C20" s="592" t="s">
        <v>12</v>
      </c>
      <c r="D20" s="592">
        <f>40+10+40</f>
        <v>90</v>
      </c>
      <c r="E20" s="85" t="s">
        <v>254</v>
      </c>
      <c r="F20" s="509" t="s">
        <v>26</v>
      </c>
      <c r="G20" s="52" t="s">
        <v>252</v>
      </c>
      <c r="H20" s="85" t="s">
        <v>65</v>
      </c>
      <c r="I20" s="467">
        <v>12.9</v>
      </c>
      <c r="J20" s="688">
        <f>AVERAGE(I20:I27)</f>
        <v>20.416249999999998</v>
      </c>
      <c r="K20" s="299">
        <f>(J20*30%)+J20</f>
        <v>26.541124999999997</v>
      </c>
      <c r="L20" s="302">
        <f>70%*J20</f>
        <v>14.291374999999997</v>
      </c>
      <c r="M20" s="204" t="str">
        <f>IF(I20&gt;K$20,"EXCESSIVAMENTE ELEVADO",IF(I20&lt;L$20,"INEXEQUÍVEL","VÁLIDO"))</f>
        <v>INEXEQUÍVEL</v>
      </c>
      <c r="N20" s="201">
        <f>I20/$J$20</f>
        <v>0.63184962958427726</v>
      </c>
      <c r="O20" s="360" t="s">
        <v>554</v>
      </c>
      <c r="P20" s="605">
        <f>TRUNC(AVERAGE(I21:I27),2)</f>
        <v>21.49</v>
      </c>
      <c r="Q20" s="609">
        <f>D20*P20</f>
        <v>1934.1</v>
      </c>
      <c r="S20" s="715" t="s">
        <v>107</v>
      </c>
      <c r="T20" s="715"/>
      <c r="U20" s="715"/>
      <c r="V20" s="715"/>
      <c r="W20" s="715"/>
      <c r="X20" s="715"/>
      <c r="Y20" s="715"/>
      <c r="Z20" s="715"/>
      <c r="AA20" s="715"/>
      <c r="AB20" s="715"/>
      <c r="AC20" s="715"/>
      <c r="AD20" s="115"/>
    </row>
    <row r="21" spans="1:30" ht="49.95" customHeight="1" x14ac:dyDescent="0.3">
      <c r="A21" s="587"/>
      <c r="B21" s="727"/>
      <c r="C21" s="584"/>
      <c r="D21" s="584"/>
      <c r="E21" s="421" t="s">
        <v>270</v>
      </c>
      <c r="F21" s="45" t="s">
        <v>24</v>
      </c>
      <c r="G21" s="41" t="s">
        <v>274</v>
      </c>
      <c r="H21" s="38" t="s">
        <v>68</v>
      </c>
      <c r="I21" s="35">
        <v>15.9</v>
      </c>
      <c r="J21" s="663"/>
      <c r="K21" s="96"/>
      <c r="L21" s="173"/>
      <c r="M21" s="185" t="str">
        <f t="shared" ref="M21:M27" si="0">IF(I21&gt;K$20,"EXCESSIVAMENTE ELEVADO",IF(I21&lt;L$20,"INEXEQUÍVEL","VÁLIDO"))</f>
        <v>VÁLIDO</v>
      </c>
      <c r="N21" s="165"/>
      <c r="O21" s="180"/>
      <c r="P21" s="606"/>
      <c r="Q21" s="610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</row>
    <row r="22" spans="1:30" ht="55.2" customHeight="1" x14ac:dyDescent="0.3">
      <c r="A22" s="587"/>
      <c r="B22" s="727"/>
      <c r="C22" s="584"/>
      <c r="D22" s="584"/>
      <c r="E22" s="36" t="s">
        <v>562</v>
      </c>
      <c r="F22" s="40" t="s">
        <v>24</v>
      </c>
      <c r="G22" s="34" t="s">
        <v>561</v>
      </c>
      <c r="H22" s="33" t="s">
        <v>65</v>
      </c>
      <c r="I22" s="35">
        <v>19.420000000000002</v>
      </c>
      <c r="J22" s="663"/>
      <c r="K22" s="300"/>
      <c r="L22" s="303"/>
      <c r="M22" s="185" t="str">
        <f t="shared" si="0"/>
        <v>VÁLIDO</v>
      </c>
      <c r="N22" s="166"/>
      <c r="O22" s="217"/>
      <c r="P22" s="607"/>
      <c r="Q22" s="611"/>
      <c r="Y22" s="25"/>
    </row>
    <row r="23" spans="1:30" ht="55.2" customHeight="1" x14ac:dyDescent="0.3">
      <c r="A23" s="587"/>
      <c r="B23" s="727"/>
      <c r="C23" s="584"/>
      <c r="D23" s="584"/>
      <c r="E23" s="36" t="s">
        <v>559</v>
      </c>
      <c r="F23" s="40" t="s">
        <v>24</v>
      </c>
      <c r="G23" s="34" t="s">
        <v>560</v>
      </c>
      <c r="H23" s="33" t="s">
        <v>65</v>
      </c>
      <c r="I23" s="300">
        <v>20</v>
      </c>
      <c r="J23" s="663"/>
      <c r="K23" s="300"/>
      <c r="L23" s="303"/>
      <c r="M23" s="185" t="str">
        <f t="shared" si="0"/>
        <v>VÁLIDO</v>
      </c>
      <c r="N23" s="166"/>
      <c r="O23" s="217"/>
      <c r="P23" s="607"/>
      <c r="Q23" s="611"/>
      <c r="Y23" s="25"/>
    </row>
    <row r="24" spans="1:30" ht="79.8" customHeight="1" x14ac:dyDescent="0.3">
      <c r="A24" s="587"/>
      <c r="B24" s="727"/>
      <c r="C24" s="584"/>
      <c r="D24" s="584"/>
      <c r="E24" s="308" t="s">
        <v>556</v>
      </c>
      <c r="F24" s="507" t="s">
        <v>27</v>
      </c>
      <c r="G24" s="34" t="s">
        <v>233</v>
      </c>
      <c r="H24" s="179" t="s">
        <v>139</v>
      </c>
      <c r="I24" s="446">
        <f>(29.9/20)+(20.6)</f>
        <v>22.095000000000002</v>
      </c>
      <c r="J24" s="663"/>
      <c r="K24" s="300"/>
      <c r="L24" s="303"/>
      <c r="M24" s="185" t="str">
        <f t="shared" si="0"/>
        <v>VÁLIDO</v>
      </c>
      <c r="N24" s="166"/>
      <c r="O24" s="217"/>
      <c r="P24" s="607"/>
      <c r="Q24" s="611"/>
      <c r="Y24" s="25"/>
    </row>
    <row r="25" spans="1:30" ht="91.2" customHeight="1" x14ac:dyDescent="0.3">
      <c r="A25" s="587"/>
      <c r="B25" s="727"/>
      <c r="C25" s="584"/>
      <c r="D25" s="584"/>
      <c r="E25" s="308" t="s">
        <v>556</v>
      </c>
      <c r="F25" s="507" t="s">
        <v>27</v>
      </c>
      <c r="G25" s="34" t="s">
        <v>233</v>
      </c>
      <c r="H25" s="179" t="s">
        <v>139</v>
      </c>
      <c r="I25" s="446">
        <f>(29.9/20)+(20.6)</f>
        <v>22.095000000000002</v>
      </c>
      <c r="J25" s="663"/>
      <c r="K25" s="300"/>
      <c r="L25" s="303"/>
      <c r="M25" s="185" t="str">
        <f t="shared" si="0"/>
        <v>VÁLIDO</v>
      </c>
      <c r="N25" s="166"/>
      <c r="O25" s="217"/>
      <c r="P25" s="607"/>
      <c r="Q25" s="611"/>
      <c r="Y25" s="25"/>
    </row>
    <row r="26" spans="1:30" ht="45.6" customHeight="1" x14ac:dyDescent="0.3">
      <c r="A26" s="587"/>
      <c r="B26" s="727"/>
      <c r="C26" s="584"/>
      <c r="D26" s="584"/>
      <c r="E26" s="181" t="s">
        <v>227</v>
      </c>
      <c r="F26" s="181" t="s">
        <v>26</v>
      </c>
      <c r="G26" s="57" t="s">
        <v>228</v>
      </c>
      <c r="H26" s="90" t="s">
        <v>65</v>
      </c>
      <c r="I26" s="449">
        <v>25</v>
      </c>
      <c r="J26" s="663"/>
      <c r="K26" s="300"/>
      <c r="L26" s="303"/>
      <c r="M26" s="250" t="str">
        <f t="shared" si="0"/>
        <v>VÁLIDO</v>
      </c>
      <c r="N26" s="166"/>
      <c r="O26" s="217"/>
      <c r="P26" s="607"/>
      <c r="Q26" s="611"/>
      <c r="Y26" s="25"/>
    </row>
    <row r="27" spans="1:30" ht="97.2" customHeight="1" thickBot="1" x14ac:dyDescent="0.35">
      <c r="A27" s="588"/>
      <c r="B27" s="807"/>
      <c r="C27" s="593"/>
      <c r="D27" s="593"/>
      <c r="E27" s="489" t="s">
        <v>557</v>
      </c>
      <c r="F27" s="506" t="s">
        <v>27</v>
      </c>
      <c r="G27" s="53" t="s">
        <v>558</v>
      </c>
      <c r="H27" s="354" t="s">
        <v>139</v>
      </c>
      <c r="I27" s="447">
        <f>(27.9/30)+(24.99)</f>
        <v>25.919999999999998</v>
      </c>
      <c r="J27" s="689"/>
      <c r="K27" s="301"/>
      <c r="L27" s="304"/>
      <c r="M27" s="534" t="str">
        <f t="shared" si="0"/>
        <v>VÁLIDO</v>
      </c>
      <c r="N27" s="533"/>
      <c r="O27" s="535"/>
      <c r="P27" s="608"/>
      <c r="Q27" s="612"/>
      <c r="Y27" s="25"/>
    </row>
    <row r="28" spans="1:30" ht="15" thickBot="1" x14ac:dyDescent="0.35">
      <c r="A28" s="838"/>
      <c r="B28" s="839"/>
      <c r="C28" s="839"/>
      <c r="D28" s="839"/>
      <c r="E28" s="839"/>
      <c r="F28" s="839"/>
      <c r="G28" s="839"/>
      <c r="H28" s="839"/>
      <c r="I28" s="839"/>
      <c r="J28" s="839"/>
      <c r="K28" s="839"/>
      <c r="L28" s="839"/>
      <c r="M28" s="839"/>
      <c r="N28" s="839"/>
      <c r="O28" s="839"/>
      <c r="P28" s="840"/>
      <c r="Q28" s="44">
        <f>SUM(Q20:Q27)</f>
        <v>1934.1</v>
      </c>
    </row>
    <row r="30" spans="1:30" x14ac:dyDescent="0.3">
      <c r="A30" s="259"/>
    </row>
    <row r="31" spans="1:30" s="13" customFormat="1" x14ac:dyDescent="0.3">
      <c r="A31" s="62"/>
      <c r="B31" s="80"/>
      <c r="C31" s="62"/>
      <c r="D31" s="62"/>
      <c r="E31" s="82"/>
      <c r="F31" s="82"/>
      <c r="G31" s="81"/>
      <c r="H31" s="62"/>
      <c r="I31" s="62"/>
      <c r="J31" s="62"/>
      <c r="P31"/>
      <c r="Q31"/>
      <c r="R31"/>
      <c r="S31"/>
      <c r="T31"/>
      <c r="U31"/>
      <c r="V31"/>
      <c r="W31"/>
      <c r="X31"/>
      <c r="Y31"/>
    </row>
    <row r="32" spans="1:30" s="13" customFormat="1" x14ac:dyDescent="0.3">
      <c r="A32" s="62"/>
      <c r="B32" s="80"/>
      <c r="C32" s="62"/>
      <c r="D32" s="62"/>
      <c r="E32" s="82"/>
      <c r="F32" s="82"/>
      <c r="G32" s="81"/>
      <c r="H32" s="62"/>
      <c r="I32" s="62"/>
      <c r="J32" s="62"/>
      <c r="P32"/>
      <c r="Q32"/>
      <c r="R32"/>
      <c r="S32"/>
      <c r="T32"/>
      <c r="U32"/>
      <c r="V32"/>
      <c r="W32"/>
      <c r="X32"/>
      <c r="Y32"/>
    </row>
    <row r="33" spans="1:25" s="13" customFormat="1" x14ac:dyDescent="0.3">
      <c r="A33" s="62"/>
      <c r="B33" s="80"/>
      <c r="C33" s="62"/>
      <c r="D33" s="62"/>
      <c r="E33" s="82"/>
      <c r="F33" s="82"/>
      <c r="G33" s="81"/>
      <c r="H33" s="62"/>
      <c r="I33" s="62"/>
      <c r="J33" s="62"/>
      <c r="P33"/>
      <c r="Q33"/>
      <c r="R33"/>
      <c r="S33"/>
      <c r="T33"/>
      <c r="U33"/>
      <c r="V33"/>
      <c r="W33"/>
      <c r="X33"/>
      <c r="Y33"/>
    </row>
  </sheetData>
  <mergeCells count="23">
    <mergeCell ref="N18:O19"/>
    <mergeCell ref="S20:AC20"/>
    <mergeCell ref="A28:P28"/>
    <mergeCell ref="P18:Q18"/>
    <mergeCell ref="A20:A27"/>
    <mergeCell ref="B20:B27"/>
    <mergeCell ref="C20:C27"/>
    <mergeCell ref="D20:D27"/>
    <mergeCell ref="J20:J27"/>
    <mergeCell ref="P20:P27"/>
    <mergeCell ref="Q20:Q27"/>
    <mergeCell ref="G18:G19"/>
    <mergeCell ref="I18:I19"/>
    <mergeCell ref="J18:J19"/>
    <mergeCell ref="K18:K19"/>
    <mergeCell ref="L18:L19"/>
    <mergeCell ref="M18:M19"/>
    <mergeCell ref="A18:A19"/>
    <mergeCell ref="B18:B19"/>
    <mergeCell ref="C18:C19"/>
    <mergeCell ref="D18:D19"/>
    <mergeCell ref="E18:E19"/>
    <mergeCell ref="F18:F19"/>
  </mergeCells>
  <conditionalFormatting sqref="M18:M20 M21:O27">
    <cfRule type="containsText" dxfId="58" priority="15" operator="containsText" text="Excessivamente elevado">
      <formula>NOT(ISERROR(SEARCH("Excessivamente elevado",M18)))</formula>
    </cfRule>
  </conditionalFormatting>
  <conditionalFormatting sqref="M20 M21:O27">
    <cfRule type="cellIs" dxfId="57" priority="13" operator="lessThan">
      <formula>"K$25"</formula>
    </cfRule>
    <cfRule type="cellIs" dxfId="56" priority="14" operator="greaterThan">
      <formula>"J$25"</formula>
    </cfRule>
  </conditionalFormatting>
  <conditionalFormatting sqref="M20 M21:O27">
    <cfRule type="cellIs" dxfId="55" priority="11" operator="lessThan">
      <formula>"K$25"</formula>
    </cfRule>
    <cfRule type="cellIs" dxfId="54" priority="12" operator="greaterThan">
      <formula>"J&amp;25"</formula>
    </cfRule>
  </conditionalFormatting>
  <conditionalFormatting sqref="N18">
    <cfRule type="containsText" dxfId="53" priority="10" operator="containsText" text="Excessivamente elevado">
      <formula>NOT(ISERROR(SEARCH("Excessivamente elevado",N18)))</formula>
    </cfRule>
  </conditionalFormatting>
  <conditionalFormatting sqref="N20">
    <cfRule type="containsText" dxfId="52" priority="5" operator="containsText" text="Excessivamente elevado">
      <formula>NOT(ISERROR(SEARCH("Excessivamente elevado",N20)))</formula>
    </cfRule>
  </conditionalFormatting>
  <conditionalFormatting sqref="N20">
    <cfRule type="cellIs" dxfId="51" priority="3" operator="lessThan">
      <formula>"K$25"</formula>
    </cfRule>
    <cfRule type="cellIs" dxfId="50" priority="4" operator="greaterThan">
      <formula>"J$25"</formula>
    </cfRule>
  </conditionalFormatting>
  <conditionalFormatting sqref="N20">
    <cfRule type="cellIs" dxfId="49" priority="1" operator="lessThan">
      <formula>"K$25"</formula>
    </cfRule>
    <cfRule type="cellIs" dxfId="48" priority="2" operator="greaterThan">
      <formula>"J&amp;25"</formula>
    </cfRule>
  </conditionalFormatting>
  <conditionalFormatting sqref="N20">
    <cfRule type="containsText" priority="6" operator="containsText" text="Excessivamente elevado">
      <formula>NOT(ISERROR(SEARCH("Excessivamente elevado",N20)))</formula>
    </cfRule>
    <cfRule type="containsText" dxfId="47" priority="7" operator="containsText" text="Válido">
      <formula>NOT(ISERROR(SEARCH("Válido",N20)))</formula>
    </cfRule>
    <cfRule type="containsText" dxfId="46" priority="8" operator="containsText" text="Inexequível">
      <formula>NOT(ISERROR(SEARCH("Inexequível",N20)))</formula>
    </cfRule>
    <cfRule type="aboveAverage" dxfId="45" priority="9" aboveAverage="0"/>
  </conditionalFormatting>
  <conditionalFormatting sqref="M20 M21:O27">
    <cfRule type="containsText" priority="5093" operator="containsText" text="Excessivamente elevado">
      <formula>NOT(ISERROR(SEARCH("Excessivamente elevado",M20)))</formula>
    </cfRule>
    <cfRule type="containsText" dxfId="44" priority="5094" operator="containsText" text="Válido">
      <formula>NOT(ISERROR(SEARCH("Válido",M20)))</formula>
    </cfRule>
    <cfRule type="containsText" dxfId="43" priority="5095" operator="containsText" text="Inexequível">
      <formula>NOT(ISERROR(SEARCH("Inexequível",M20)))</formula>
    </cfRule>
    <cfRule type="aboveAverage" dxfId="42" priority="5096" aboveAverage="0"/>
  </conditionalFormatting>
  <pageMargins left="0.23622047244094491" right="0.23622047244094491" top="0.74803149606299213" bottom="0.74803149606299213" header="0.31496062992125984" footer="0.31496062992125984"/>
  <pageSetup paperSize="9" scale="6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6B65A122B1EA4396ED60EA1B858177" ma:contentTypeVersion="8" ma:contentTypeDescription="Crie um novo documento." ma:contentTypeScope="" ma:versionID="dcf6f166244e9f375accece2eee53b7b">
  <xsd:schema xmlns:xsd="http://www.w3.org/2001/XMLSchema" xmlns:xs="http://www.w3.org/2001/XMLSchema" xmlns:p="http://schemas.microsoft.com/office/2006/metadata/properties" xmlns:ns2="d24f8861-b641-4a7d-8939-db33b24aee54" targetNamespace="http://schemas.microsoft.com/office/2006/metadata/properties" ma:root="true" ma:fieldsID="6e36d08d4eee9729c7c257bb3f2c4c93" ns2:_="">
    <xsd:import namespace="d24f8861-b641-4a7d-8939-db33b24aee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f8861-b641-4a7d-8939-db33b24aee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B0A5DB-A326-4CDF-AB3C-BAA6AF37B3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f8861-b641-4a7d-8939-db33b24aee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64410E-408F-4D15-B886-B6358C8603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5DFE1F-081A-413B-A4B7-33A52117BAA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2</vt:i4>
      </vt:variant>
    </vt:vector>
  </HeadingPairs>
  <TitlesOfParts>
    <vt:vector size="16" baseType="lpstr">
      <vt:lpstr>Grupo 1 </vt:lpstr>
      <vt:lpstr>Grupo 2</vt:lpstr>
      <vt:lpstr>Grupo 3 </vt:lpstr>
      <vt:lpstr>Grupo 4 </vt:lpstr>
      <vt:lpstr>Grupo 5</vt:lpstr>
      <vt:lpstr>ITEM 35 - Resma papel</vt:lpstr>
      <vt:lpstr>ITEM 36- Tesoura</vt:lpstr>
      <vt:lpstr>ITEM 37</vt:lpstr>
      <vt:lpstr>ITEM 38</vt:lpstr>
      <vt:lpstr>ITEM 39</vt:lpstr>
      <vt:lpstr>ITEM 40</vt:lpstr>
      <vt:lpstr>ITEM 41</vt:lpstr>
      <vt:lpstr>TOTAL</vt:lpstr>
      <vt:lpstr>GRUPO - 19</vt:lpstr>
      <vt:lpstr>'Grupo 1 '!_Hlk16782509</vt:lpstr>
      <vt:lpstr>'Grupo 5'!_Hlk16782509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Dhyonatas Lopes de Macedo</dc:creator>
  <cp:keywords/>
  <dc:description/>
  <cp:lastModifiedBy>leumaise@gmail.com</cp:lastModifiedBy>
  <cp:revision/>
  <cp:lastPrinted>2022-09-15T22:15:54Z</cp:lastPrinted>
  <dcterms:created xsi:type="dcterms:W3CDTF">2020-01-27T17:52:42Z</dcterms:created>
  <dcterms:modified xsi:type="dcterms:W3CDTF">2022-09-30T22:31:42Z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0x010100B46B65A122B1EA4396ED60EA1B858177</vt:lpwstr>
  </property>
</Properties>
</file>