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UCOP\SELITA\CPL 2022\03. Licitações\PE 35.2022 - Proteção de Perímetro - 0000615-88.2022.4.90.8000\5 Publicação\"/>
    </mc:Choice>
  </mc:AlternateContent>
  <xr:revisionPtr revIDLastSave="0" documentId="8_{32C0A6A4-BEE1-47A2-A03C-348DF296950A}" xr6:coauthVersionLast="47" xr6:coauthVersionMax="47" xr10:uidLastSave="{00000000-0000-0000-0000-000000000000}"/>
  <bookViews>
    <workbookView xWindow="19090" yWindow="-110" windowWidth="19420" windowHeight="10420" xr2:uid="{4DF30B18-FB63-44D0-918B-145B58E4D6C5}"/>
  </bookViews>
  <sheets>
    <sheet name="LOTE UNICO (2)" sheetId="16" r:id="rId1"/>
    <sheet name="Comparativo itens - contratos" sheetId="14" state="hidden" r:id="rId2"/>
    <sheet name="Especificações Tecnicas" sheetId="1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16" l="1"/>
  <c r="O5" i="16"/>
  <c r="E2" i="16"/>
  <c r="L2" i="16"/>
  <c r="G4" i="16"/>
  <c r="L4" i="16"/>
  <c r="J5" i="16"/>
  <c r="J4" i="16"/>
  <c r="J2" i="16"/>
  <c r="O4" i="16"/>
  <c r="O2" i="16"/>
  <c r="G3" i="16"/>
  <c r="E40" i="14"/>
  <c r="F38" i="14"/>
  <c r="N26" i="14"/>
  <c r="O26" i="14"/>
  <c r="N21" i="14"/>
  <c r="O21" i="14"/>
  <c r="N16" i="14"/>
  <c r="O16" i="14"/>
  <c r="N11" i="14"/>
  <c r="O11" i="14"/>
  <c r="O36" i="14"/>
  <c r="N31" i="14"/>
  <c r="J22" i="14"/>
  <c r="J17" i="14"/>
  <c r="D40" i="14"/>
  <c r="D41" i="14"/>
  <c r="E41" i="14"/>
  <c r="D42" i="14"/>
  <c r="E42" i="14"/>
  <c r="D43" i="14"/>
  <c r="E43" i="14"/>
  <c r="L3" i="16"/>
  <c r="O3" i="16"/>
  <c r="O6" i="16"/>
  <c r="D23" i="14"/>
  <c r="E23" i="14"/>
  <c r="D31" i="14"/>
  <c r="E31" i="14"/>
  <c r="D32" i="14"/>
  <c r="E32" i="14"/>
  <c r="D33" i="14"/>
  <c r="E33" i="14"/>
  <c r="D30" i="14"/>
  <c r="E30" i="14"/>
  <c r="D28" i="14"/>
  <c r="E28" i="14"/>
  <c r="F28" i="14"/>
  <c r="D22" i="14"/>
  <c r="E22" i="14"/>
  <c r="D20" i="14"/>
  <c r="E20" i="14"/>
  <c r="C12" i="14"/>
  <c r="D12" i="14"/>
  <c r="E12" i="14"/>
  <c r="D14" i="14"/>
  <c r="E14" i="14"/>
  <c r="E15" i="14"/>
  <c r="E6" i="14"/>
  <c r="E7" i="14"/>
  <c r="E4" i="14"/>
  <c r="F4" i="14"/>
  <c r="F20" i="14"/>
  <c r="F12" i="14"/>
</calcChain>
</file>

<file path=xl/sharedStrings.xml><?xml version="1.0" encoding="utf-8"?>
<sst xmlns="http://schemas.openxmlformats.org/spreadsheetml/2006/main" count="136" uniqueCount="71">
  <si>
    <t>Item</t>
  </si>
  <si>
    <t>Descrição</t>
  </si>
  <si>
    <t>QTD</t>
  </si>
  <si>
    <r>
      <t xml:space="preserve">Produtos </t>
    </r>
    <r>
      <rPr>
        <b/>
        <vertAlign val="superscript"/>
        <sz val="10"/>
        <color rgb="FF000000"/>
        <rFont val="Arial"/>
        <family val="2"/>
      </rPr>
      <t xml:space="preserve"> (1)</t>
    </r>
  </si>
  <si>
    <r>
      <t xml:space="preserve">Contrato 022/2022 Min Saúde / CGMAP / SAA
</t>
    </r>
    <r>
      <rPr>
        <b/>
        <sz val="10"/>
        <rFont val="Arial"/>
        <family val="2"/>
      </rPr>
      <t>(36 meses)</t>
    </r>
  </si>
  <si>
    <t>Termo Homologação PE SEFAZ-PB 66/2021
(36 meses)</t>
  </si>
  <si>
    <t>Ata de Registro de Preços MP-MT 124/2021
(36 meses)</t>
  </si>
  <si>
    <t>Contrato ANEEL 004/2022
(36 meses)</t>
  </si>
  <si>
    <t>Contrato INPI 09/2021
(36 meses)</t>
  </si>
  <si>
    <r>
      <t>Proposta Comercial
PC 189-H2022 - NCT</t>
    </r>
    <r>
      <rPr>
        <b/>
        <vertAlign val="superscript"/>
        <sz val="10"/>
        <color rgb="FF000000"/>
        <rFont val="Arial"/>
        <family val="2"/>
      </rPr>
      <t xml:space="preserve"> (2)</t>
    </r>
  </si>
  <si>
    <t xml:space="preserve">% </t>
  </si>
  <si>
    <r>
      <t xml:space="preserve">Valor Estimado </t>
    </r>
    <r>
      <rPr>
        <b/>
        <vertAlign val="superscript"/>
        <sz val="10"/>
        <color rgb="FF000000"/>
        <rFont val="Arial"/>
        <family val="2"/>
      </rPr>
      <t>(3)</t>
    </r>
  </si>
  <si>
    <t>Extensão de garantia do fabricante, serviços de atualização e suporte técnico, manutenção corretiva e preventiva das soluções de segurança de perímetro pelo prazo de 36 meses</t>
  </si>
  <si>
    <t>FortiGate</t>
  </si>
  <si>
    <t>FortiWeb</t>
  </si>
  <si>
    <t>FortiManager-VM + FortiAnalyzer-VM</t>
  </si>
  <si>
    <t>FortiSandbox + Fortinet Zero Trust Access</t>
  </si>
  <si>
    <t>VALOR TOTAL</t>
  </si>
  <si>
    <t>Observações:</t>
  </si>
  <si>
    <t>Contrato</t>
  </si>
  <si>
    <t>Senado - 18/02/2021</t>
  </si>
  <si>
    <t>Vencida</t>
  </si>
  <si>
    <t xml:space="preserve">SENADO  </t>
  </si>
  <si>
    <t>Itens</t>
  </si>
  <si>
    <t>Custo por mês</t>
  </si>
  <si>
    <t>Custo por 36 meses - comparativo CJF</t>
  </si>
  <si>
    <t>Custo total</t>
  </si>
  <si>
    <t>contratado por 60 meses</t>
  </si>
  <si>
    <t>Fortigate</t>
  </si>
  <si>
    <t>FortiAuthenticator</t>
  </si>
  <si>
    <t>Não usado, pois CJF não possui</t>
  </si>
  <si>
    <t>FortiAnalyzer</t>
  </si>
  <si>
    <t>FortiManager</t>
  </si>
  <si>
    <t>36 meses</t>
  </si>
  <si>
    <t>Custo mensal</t>
  </si>
  <si>
    <t>Custo total por item</t>
  </si>
  <si>
    <t>Termo de Homologação de PE MS-RJ  041/2021 - 01/02/2022</t>
  </si>
  <si>
    <t>No prazo</t>
  </si>
  <si>
    <t>MSRJ</t>
  </si>
  <si>
    <t>Contratos</t>
  </si>
  <si>
    <t>Senado</t>
  </si>
  <si>
    <t>SEFAZ</t>
  </si>
  <si>
    <t>contratado por 36 meses</t>
  </si>
  <si>
    <t>FortiGate-1500D</t>
  </si>
  <si>
    <t>Não há menção</t>
  </si>
  <si>
    <t>FortiAnalyzer-VM</t>
  </si>
  <si>
    <t>FortiManager-VM</t>
  </si>
  <si>
    <t>MPMT</t>
  </si>
  <si>
    <t>ANEEL</t>
  </si>
  <si>
    <t>Termo de Homologação de SEFAZ - PB - 11/08/2021</t>
  </si>
  <si>
    <t xml:space="preserve"> FortiGate-1500D</t>
  </si>
  <si>
    <t xml:space="preserve"> Não há menção</t>
  </si>
  <si>
    <t>Fortiweb</t>
  </si>
  <si>
    <t>Ata de Registro de preços - MPMT - 16/12/2021</t>
  </si>
  <si>
    <t>FortiGate FG51E</t>
  </si>
  <si>
    <t>FortSandbox</t>
  </si>
  <si>
    <t>PREGÃO ELETRÔNICO Nº 21/2021-ANEEL - Realizado em 02/02/2022</t>
  </si>
  <si>
    <t>Custo total dos itens</t>
  </si>
  <si>
    <t>REGISTRO DE PREÇOS para contratação de empresa especializada no fornecimento de equipamentos e soluções de TIC (Tecnologia da Informação e comunicação), composta de Segurança de Rede Firewall (NGFW), Segurança de aplicações (WAF), Segurança de e-mail (AntiSpam), Conectividade sem fio (wireless), Soluções de conectividade (Switch Core, Switch de acesso, Transceiver) e Insumos de conectividade Cordões Ópticos e Patch Cords Cat6.
contratado por60 meses</t>
  </si>
  <si>
    <t>FortiGate  2000E</t>
  </si>
  <si>
    <t>-</t>
  </si>
  <si>
    <t>Especificações CJF</t>
  </si>
  <si>
    <t>FortiGate 1500D da FORTINET</t>
  </si>
  <si>
    <t>FortiWeb 2000E da FORTINET</t>
  </si>
  <si>
    <t>FortiSandbox 2000E da FORTINET</t>
  </si>
  <si>
    <t xml:space="preserve">FortiManager-VM da FORTINET </t>
  </si>
  <si>
    <t xml:space="preserve">FortiAnalyzer-VM da FORTINET </t>
  </si>
  <si>
    <t>(1) Neste mapa de preços, a solução pretendida foi separada por produtos apenas para compararação de valores com outros contratos. A contratação se dará por item único conforme descrito nos artefatos da contratação.</t>
  </si>
  <si>
    <t>Menor valor de outras contratações</t>
  </si>
  <si>
    <t>(2) Os valores da proposta PC 189-H2022 - NCT não foram considerados no cálculo da coluna Menor valor de outras contratações. A proposta foi mantida para ser usada como referência no cálculo dos produtos que não tiveram o valor aferido por contrato, no caso FortiSandbox + Fortinet Zero Trust Access.</t>
  </si>
  <si>
    <t xml:space="preserve">(3) O valor estimado dos produtos FortiSandbox + Fortinet Zero Trust Access foi calculado utilizando-se deflator de 40% sobre o valor da proposta comercial. O índice do deflator foi resultado da diferença percentual entre o total dos demais produtos da proposta comercial e da coluna Menor valor de outras contratações.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</si>
</sst>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  <numFmt numFmtId="166" formatCode="&quot;R$&quot;\ #,##0.00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9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9" fontId="6" fillId="0" borderId="0" xfId="1" applyFont="1" applyBorder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2" applyFont="1" applyBorder="1" applyAlignment="1">
      <alignment horizontal="center"/>
    </xf>
    <xf numFmtId="164" fontId="0" fillId="0" borderId="0" xfId="0" applyNumberFormat="1"/>
    <xf numFmtId="0" fontId="7" fillId="0" borderId="0" xfId="0" applyFont="1"/>
    <xf numFmtId="164" fontId="7" fillId="0" borderId="0" xfId="2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12" xfId="0" applyBorder="1"/>
    <xf numFmtId="164" fontId="0" fillId="0" borderId="12" xfId="2" applyFont="1" applyBorder="1" applyAlignment="1">
      <alignment horizontal="center"/>
    </xf>
    <xf numFmtId="164" fontId="0" fillId="0" borderId="12" xfId="0" applyNumberFormat="1" applyBorder="1"/>
    <xf numFmtId="0" fontId="7" fillId="0" borderId="12" xfId="0" applyFont="1" applyBorder="1"/>
    <xf numFmtId="0" fontId="9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2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2" applyFont="1" applyBorder="1" applyAlignment="1">
      <alignment vertical="center"/>
    </xf>
    <xf numFmtId="164" fontId="0" fillId="0" borderId="12" xfId="2" applyFont="1" applyBorder="1" applyAlignment="1">
      <alignment vertical="center"/>
    </xf>
    <xf numFmtId="0" fontId="0" fillId="0" borderId="15" xfId="0" applyBorder="1"/>
    <xf numFmtId="166" fontId="3" fillId="0" borderId="16" xfId="0" applyNumberFormat="1" applyFont="1" applyBorder="1" applyAlignment="1">
      <alignment horizontal="right" vertical="center"/>
    </xf>
    <xf numFmtId="0" fontId="0" fillId="0" borderId="17" xfId="0" applyBorder="1"/>
    <xf numFmtId="0" fontId="3" fillId="0" borderId="14" xfId="0" applyFont="1" applyBorder="1" applyAlignment="1">
      <alignment vertical="top" wrapText="1"/>
    </xf>
    <xf numFmtId="166" fontId="3" fillId="0" borderId="14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0" fontId="0" fillId="10" borderId="9" xfId="0" applyFill="1" applyBorder="1"/>
    <xf numFmtId="0" fontId="0" fillId="10" borderId="0" xfId="0" applyFill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1" borderId="19" xfId="0" applyFill="1" applyBorder="1"/>
    <xf numFmtId="164" fontId="0" fillId="0" borderId="19" xfId="2" applyFont="1" applyBorder="1" applyAlignment="1">
      <alignment horizontal="center"/>
    </xf>
    <xf numFmtId="164" fontId="7" fillId="0" borderId="19" xfId="2" applyFont="1" applyBorder="1" applyAlignment="1">
      <alignment horizontal="center"/>
    </xf>
    <xf numFmtId="164" fontId="0" fillId="0" borderId="19" xfId="2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164" fontId="8" fillId="0" borderId="19" xfId="2" applyFont="1" applyBorder="1" applyAlignment="1">
      <alignment vertical="center"/>
    </xf>
    <xf numFmtId="0" fontId="8" fillId="11" borderId="19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0" fillId="0" borderId="21" xfId="2" applyFont="1" applyBorder="1" applyAlignment="1">
      <alignment horizontal="center"/>
    </xf>
    <xf numFmtId="164" fontId="8" fillId="0" borderId="21" xfId="2" applyFont="1" applyBorder="1" applyAlignment="1">
      <alignment vertical="center"/>
    </xf>
    <xf numFmtId="164" fontId="0" fillId="0" borderId="21" xfId="2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24" xfId="0" applyBorder="1"/>
    <xf numFmtId="166" fontId="3" fillId="0" borderId="25" xfId="0" applyNumberFormat="1" applyFont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43" fontId="6" fillId="0" borderId="0" xfId="3" applyFont="1" applyBorder="1" applyAlignment="1"/>
    <xf numFmtId="166" fontId="0" fillId="0" borderId="0" xfId="0" applyNumberFormat="1"/>
    <xf numFmtId="9" fontId="3" fillId="0" borderId="16" xfId="1" applyFont="1" applyBorder="1" applyAlignment="1">
      <alignment horizontal="right" vertical="center"/>
    </xf>
    <xf numFmtId="0" fontId="0" fillId="0" borderId="0" xfId="0" applyAlignment="1">
      <alignment wrapText="1"/>
    </xf>
    <xf numFmtId="9" fontId="3" fillId="0" borderId="2" xfId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9" fontId="3" fillId="0" borderId="5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164" fontId="12" fillId="16" borderId="0" xfId="0" applyNumberFormat="1" applyFont="1" applyFill="1" applyAlignment="1">
      <alignment horizontal="center" vertical="center"/>
    </xf>
    <xf numFmtId="0" fontId="10" fillId="12" borderId="20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0" fillId="13" borderId="20" xfId="0" applyFont="1" applyFill="1" applyBorder="1" applyAlignment="1">
      <alignment horizontal="center"/>
    </xf>
    <xf numFmtId="0" fontId="10" fillId="13" borderId="0" xfId="0" applyFont="1" applyFill="1" applyAlignment="1">
      <alignment horizontal="center"/>
    </xf>
    <xf numFmtId="0" fontId="10" fillId="14" borderId="20" xfId="0" applyFont="1" applyFill="1" applyBorder="1" applyAlignment="1">
      <alignment horizontal="center"/>
    </xf>
    <xf numFmtId="0" fontId="10" fillId="14" borderId="0" xfId="0" applyFont="1" applyFill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1" fillId="9" borderId="0" xfId="0" applyFont="1" applyFill="1" applyAlignment="1">
      <alignment horizontal="center"/>
    </xf>
    <xf numFmtId="0" fontId="10" fillId="15" borderId="20" xfId="0" applyFont="1" applyFill="1" applyBorder="1" applyAlignment="1">
      <alignment horizontal="center"/>
    </xf>
    <xf numFmtId="0" fontId="10" fillId="15" borderId="0" xfId="0" applyFont="1" applyFill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1" xfId="2" applyFont="1" applyBorder="1" applyAlignment="1">
      <alignment horizontal="center" vertical="center"/>
    </xf>
    <xf numFmtId="164" fontId="0" fillId="0" borderId="19" xfId="2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64" fontId="0" fillId="0" borderId="0" xfId="2" applyFont="1" applyBorder="1" applyAlignment="1">
      <alignment horizontal="center" vertical="center"/>
    </xf>
    <xf numFmtId="164" fontId="0" fillId="0" borderId="12" xfId="2" applyFont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1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D6D4-F463-4CD4-858D-70AF231A58A9}">
  <sheetPr>
    <pageSetUpPr fitToPage="1"/>
  </sheetPr>
  <dimension ref="A1:O11"/>
  <sheetViews>
    <sheetView tabSelected="1" zoomScale="90" zoomScaleNormal="90" workbookViewId="0">
      <selection activeCell="J2" sqref="J2:J5"/>
    </sheetView>
  </sheetViews>
  <sheetFormatPr defaultRowHeight="14.5" x14ac:dyDescent="0.35"/>
  <cols>
    <col min="1" max="1" width="5.453125" customWidth="1"/>
    <col min="2" max="2" width="27.26953125" style="3" customWidth="1"/>
    <col min="3" max="3" width="6.26953125" style="3" customWidth="1"/>
    <col min="4" max="4" width="38.26953125" style="3" bestFit="1" customWidth="1"/>
    <col min="5" max="9" width="17.7265625" style="3" customWidth="1"/>
    <col min="10" max="10" width="17.7265625" customWidth="1"/>
    <col min="11" max="11" width="3.26953125" customWidth="1"/>
    <col min="12" max="12" width="17.7265625" customWidth="1"/>
    <col min="13" max="13" width="5.26953125" customWidth="1"/>
    <col min="14" max="14" width="3.26953125" customWidth="1"/>
    <col min="15" max="15" width="17.7265625" customWidth="1"/>
  </cols>
  <sheetData>
    <row r="1" spans="1:15" ht="54.5" thickBot="1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8" t="s">
        <v>9</v>
      </c>
      <c r="L1" s="4" t="s">
        <v>68</v>
      </c>
      <c r="M1" s="4" t="s">
        <v>10</v>
      </c>
      <c r="O1" s="4" t="s">
        <v>11</v>
      </c>
    </row>
    <row r="2" spans="1:15" ht="24" customHeight="1" x14ac:dyDescent="0.35">
      <c r="A2" s="62">
        <v>1</v>
      </c>
      <c r="B2" s="62" t="s">
        <v>12</v>
      </c>
      <c r="C2" s="62">
        <v>1</v>
      </c>
      <c r="D2" s="30" t="s">
        <v>13</v>
      </c>
      <c r="E2" s="31">
        <f>737000+52200</f>
        <v>789200</v>
      </c>
      <c r="F2" s="31">
        <v>923780</v>
      </c>
      <c r="G2" s="31"/>
      <c r="H2" s="31">
        <v>788000</v>
      </c>
      <c r="I2" s="35"/>
      <c r="J2" s="31">
        <f>1497040</f>
        <v>1497040</v>
      </c>
      <c r="L2" s="31">
        <f>MIN(E2:I2)</f>
        <v>788000</v>
      </c>
      <c r="M2" s="59">
        <f>(L2+L3+L4)/(J2+J3+J4)</f>
        <v>0.59736861593147539</v>
      </c>
      <c r="O2" s="31">
        <f>L2</f>
        <v>788000</v>
      </c>
    </row>
    <row r="3" spans="1:15" ht="24" customHeight="1" x14ac:dyDescent="0.35">
      <c r="A3" s="63"/>
      <c r="B3" s="63"/>
      <c r="C3" s="63"/>
      <c r="D3" s="32" t="s">
        <v>14</v>
      </c>
      <c r="E3" s="35"/>
      <c r="F3" s="35"/>
      <c r="G3" s="35">
        <f>499000*2</f>
        <v>998000</v>
      </c>
      <c r="H3" s="35"/>
      <c r="I3" s="35"/>
      <c r="J3" s="35">
        <v>1101600</v>
      </c>
      <c r="L3" s="35">
        <f>MIN(E3:I3)</f>
        <v>998000</v>
      </c>
      <c r="M3" s="60"/>
      <c r="O3" s="35">
        <f>MIN(G3:K3)</f>
        <v>998000</v>
      </c>
    </row>
    <row r="4" spans="1:15" ht="24" customHeight="1" thickBot="1" x14ac:dyDescent="0.4">
      <c r="A4" s="63"/>
      <c r="B4" s="63"/>
      <c r="C4" s="63"/>
      <c r="D4" s="32" t="s">
        <v>15</v>
      </c>
      <c r="E4" s="35">
        <v>339800</v>
      </c>
      <c r="F4" s="35"/>
      <c r="G4" s="35">
        <f>116000+176000</f>
        <v>292000</v>
      </c>
      <c r="H4" s="35"/>
      <c r="I4" s="35">
        <v>150000</v>
      </c>
      <c r="J4" s="35">
        <f>189360+452880</f>
        <v>642240</v>
      </c>
      <c r="L4" s="35">
        <f>MIN(E4:I4)</f>
        <v>150000</v>
      </c>
      <c r="M4" s="61"/>
      <c r="O4" s="35">
        <f>MIN(G4:K4)</f>
        <v>150000</v>
      </c>
    </row>
    <row r="5" spans="1:15" ht="24" customHeight="1" thickBot="1" x14ac:dyDescent="0.4">
      <c r="A5" s="64"/>
      <c r="B5" s="64"/>
      <c r="C5" s="64"/>
      <c r="D5" s="52" t="s">
        <v>16</v>
      </c>
      <c r="E5" s="53"/>
      <c r="F5" s="53"/>
      <c r="G5" s="54"/>
      <c r="H5" s="35"/>
      <c r="I5" s="35"/>
      <c r="J5" s="53">
        <f>952920+236808</f>
        <v>1189728</v>
      </c>
      <c r="L5" s="35">
        <v>713836.8</v>
      </c>
      <c r="M5" s="57" t="s">
        <v>60</v>
      </c>
      <c r="O5" s="35">
        <f>J5*0.6</f>
        <v>713836.79999999993</v>
      </c>
    </row>
    <row r="6" spans="1:15" ht="15" thickBot="1" x14ac:dyDescent="0.4">
      <c r="A6" s="5"/>
      <c r="B6" s="6" t="s">
        <v>17</v>
      </c>
      <c r="C6" s="7"/>
      <c r="D6" s="33"/>
      <c r="E6" s="33"/>
      <c r="F6" s="33"/>
      <c r="G6" s="33"/>
      <c r="H6" s="33"/>
      <c r="I6" s="34"/>
      <c r="J6" s="9"/>
      <c r="L6" s="9"/>
      <c r="M6" s="9"/>
      <c r="O6" s="10">
        <f>SUM(O2:O5)</f>
        <v>2649836.7999999998</v>
      </c>
    </row>
    <row r="7" spans="1:15" x14ac:dyDescent="0.35">
      <c r="A7" s="65"/>
      <c r="B7" s="65"/>
      <c r="C7" s="2"/>
      <c r="E7" s="55"/>
      <c r="F7" s="11"/>
      <c r="G7" s="11"/>
      <c r="H7" s="11"/>
      <c r="I7" s="11"/>
      <c r="J7" s="11"/>
      <c r="O7" s="2"/>
    </row>
    <row r="8" spans="1:15" x14ac:dyDescent="0.35">
      <c r="A8" s="66" t="s">
        <v>18</v>
      </c>
      <c r="B8" s="66"/>
      <c r="C8" s="2"/>
      <c r="D8" s="2"/>
      <c r="E8" s="2"/>
      <c r="F8" s="2"/>
      <c r="G8" s="2"/>
      <c r="H8" s="2"/>
      <c r="I8" s="2"/>
      <c r="J8" s="1"/>
      <c r="L8" s="56"/>
      <c r="M8" s="56"/>
      <c r="O8" s="2"/>
    </row>
    <row r="9" spans="1:15" x14ac:dyDescent="0.35">
      <c r="A9" s="67" t="s">
        <v>67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30.75" customHeight="1" x14ac:dyDescent="0.35">
      <c r="A10" s="67" t="s">
        <v>69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30" customHeight="1" x14ac:dyDescent="0.35">
      <c r="A11" s="58" t="s">
        <v>70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</sheetData>
  <mergeCells count="9">
    <mergeCell ref="A11:O11"/>
    <mergeCell ref="M2:M4"/>
    <mergeCell ref="A2:A5"/>
    <mergeCell ref="B2:B5"/>
    <mergeCell ref="C2:C5"/>
    <mergeCell ref="A7:B7"/>
    <mergeCell ref="A8:B8"/>
    <mergeCell ref="A9:O9"/>
    <mergeCell ref="A10:O10"/>
  </mergeCells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BBA1F-3ED1-4E6B-8D15-925D28E5D78A}">
  <dimension ref="A1:O43"/>
  <sheetViews>
    <sheetView topLeftCell="A19" workbookViewId="0">
      <selection activeCell="B57" sqref="B57"/>
    </sheetView>
  </sheetViews>
  <sheetFormatPr defaultRowHeight="14.5" x14ac:dyDescent="0.35"/>
  <cols>
    <col min="1" max="1" width="19.81640625" customWidth="1"/>
    <col min="2" max="2" width="22" customWidth="1"/>
    <col min="3" max="3" width="19.54296875" customWidth="1"/>
    <col min="4" max="4" width="20.54296875" customWidth="1"/>
    <col min="5" max="5" width="28.7265625" customWidth="1"/>
    <col min="6" max="6" width="15.81640625" bestFit="1" customWidth="1"/>
    <col min="7" max="7" width="9.7265625" style="13" customWidth="1"/>
    <col min="8" max="8" width="12.81640625" bestFit="1" customWidth="1"/>
    <col min="9" max="10" width="13.26953125" bestFit="1" customWidth="1"/>
    <col min="11" max="11" width="14.7265625" customWidth="1"/>
    <col min="12" max="12" width="13.26953125" bestFit="1" customWidth="1"/>
    <col min="13" max="13" width="13.26953125" customWidth="1"/>
    <col min="14" max="14" width="19.1796875" customWidth="1"/>
    <col min="15" max="15" width="21.26953125" customWidth="1"/>
  </cols>
  <sheetData>
    <row r="1" spans="1:15" ht="15" thickBot="1" x14ac:dyDescent="0.4">
      <c r="A1" t="s">
        <v>19</v>
      </c>
    </row>
    <row r="2" spans="1:15" x14ac:dyDescent="0.35">
      <c r="A2" s="101" t="s">
        <v>20</v>
      </c>
      <c r="B2" s="102"/>
      <c r="C2" s="102"/>
      <c r="D2" s="102"/>
      <c r="E2" s="102"/>
      <c r="F2" s="103"/>
      <c r="G2" s="50" t="s">
        <v>21</v>
      </c>
    </row>
    <row r="3" spans="1:15" x14ac:dyDescent="0.35">
      <c r="A3" s="51" t="s">
        <v>22</v>
      </c>
      <c r="B3" s="13" t="s">
        <v>23</v>
      </c>
      <c r="C3" s="13"/>
      <c r="D3" s="13" t="s">
        <v>24</v>
      </c>
      <c r="E3" s="13" t="s">
        <v>25</v>
      </c>
      <c r="F3" s="14" t="s">
        <v>26</v>
      </c>
    </row>
    <row r="4" spans="1:15" x14ac:dyDescent="0.35">
      <c r="A4" s="90" t="s">
        <v>27</v>
      </c>
      <c r="B4" t="s">
        <v>28</v>
      </c>
      <c r="D4" s="15">
        <v>90000</v>
      </c>
      <c r="E4" s="16">
        <f>D4*36</f>
        <v>3240000</v>
      </c>
      <c r="F4" s="92">
        <f>E4+E6+E7</f>
        <v>6012000</v>
      </c>
    </row>
    <row r="5" spans="1:15" x14ac:dyDescent="0.35">
      <c r="A5" s="90"/>
      <c r="B5" s="17" t="s">
        <v>29</v>
      </c>
      <c r="C5" s="17"/>
      <c r="D5" s="18">
        <v>58000</v>
      </c>
      <c r="E5" s="19" t="s">
        <v>30</v>
      </c>
      <c r="F5" s="92"/>
    </row>
    <row r="6" spans="1:15" x14ac:dyDescent="0.35">
      <c r="A6" s="90"/>
      <c r="B6" t="s">
        <v>31</v>
      </c>
      <c r="D6" s="15">
        <v>35000</v>
      </c>
      <c r="E6" s="16">
        <f t="shared" ref="E6:E7" si="0">D6*36</f>
        <v>1260000</v>
      </c>
      <c r="F6" s="92"/>
    </row>
    <row r="7" spans="1:15" ht="15" thickBot="1" x14ac:dyDescent="0.4">
      <c r="A7" s="91"/>
      <c r="B7" s="20" t="s">
        <v>32</v>
      </c>
      <c r="C7" s="20"/>
      <c r="D7" s="21">
        <v>42000</v>
      </c>
      <c r="E7" s="22">
        <f t="shared" si="0"/>
        <v>1512000</v>
      </c>
      <c r="F7" s="93"/>
    </row>
    <row r="8" spans="1:15" x14ac:dyDescent="0.35">
      <c r="O8" s="13" t="s">
        <v>33</v>
      </c>
    </row>
    <row r="9" spans="1:15" ht="15" thickBot="1" x14ac:dyDescent="0.4">
      <c r="N9" s="12" t="s">
        <v>34</v>
      </c>
      <c r="O9" s="12" t="s">
        <v>35</v>
      </c>
    </row>
    <row r="10" spans="1:15" x14ac:dyDescent="0.35">
      <c r="A10" s="104" t="s">
        <v>36</v>
      </c>
      <c r="B10" s="105"/>
      <c r="C10" s="105"/>
      <c r="D10" s="105"/>
      <c r="E10" s="105"/>
      <c r="F10" s="106"/>
      <c r="G10" s="13" t="s">
        <v>37</v>
      </c>
      <c r="H10" s="45" t="s">
        <v>0</v>
      </c>
      <c r="I10" s="69" t="s">
        <v>28</v>
      </c>
      <c r="J10" s="70"/>
      <c r="K10" s="70"/>
      <c r="L10" s="70"/>
      <c r="M10" s="70"/>
      <c r="N10" s="70"/>
      <c r="O10" s="70"/>
    </row>
    <row r="11" spans="1:15" x14ac:dyDescent="0.35">
      <c r="A11" s="51" t="s">
        <v>38</v>
      </c>
      <c r="B11" s="13" t="s">
        <v>23</v>
      </c>
      <c r="C11" s="13" t="s">
        <v>26</v>
      </c>
      <c r="D11" s="13" t="s">
        <v>24</v>
      </c>
      <c r="E11" s="13" t="s">
        <v>25</v>
      </c>
      <c r="F11" s="14" t="s">
        <v>26</v>
      </c>
      <c r="H11" s="39" t="s">
        <v>39</v>
      </c>
      <c r="I11" s="43" t="s">
        <v>40</v>
      </c>
      <c r="J11" s="43" t="s">
        <v>38</v>
      </c>
      <c r="K11" s="43" t="s">
        <v>41</v>
      </c>
      <c r="L11" s="44"/>
      <c r="M11" s="44"/>
      <c r="N11" s="81">
        <f>AVERAGE(J12:M12)</f>
        <v>23066.39</v>
      </c>
      <c r="O11" s="83">
        <f>N11*36</f>
        <v>830390.04</v>
      </c>
    </row>
    <row r="12" spans="1:15" x14ac:dyDescent="0.35">
      <c r="A12" s="90" t="s">
        <v>42</v>
      </c>
      <c r="B12" t="s">
        <v>43</v>
      </c>
      <c r="C12" s="15">
        <f>737000</f>
        <v>737000</v>
      </c>
      <c r="D12" s="15">
        <f>C12/36</f>
        <v>20472.222222222223</v>
      </c>
      <c r="E12" s="16">
        <f>D12*36</f>
        <v>737000</v>
      </c>
      <c r="F12" s="92">
        <f>E12+E14+E15</f>
        <v>1081000</v>
      </c>
      <c r="H12" s="39" t="s">
        <v>34</v>
      </c>
      <c r="I12" s="41">
        <v>90000</v>
      </c>
      <c r="J12" s="40">
        <v>20472.22</v>
      </c>
      <c r="K12" s="40">
        <v>25660.560000000001</v>
      </c>
      <c r="L12" s="42"/>
      <c r="M12" s="42"/>
      <c r="N12" s="81"/>
      <c r="O12" s="84"/>
    </row>
    <row r="13" spans="1:15" x14ac:dyDescent="0.35">
      <c r="A13" s="90"/>
      <c r="B13" s="17" t="s">
        <v>44</v>
      </c>
      <c r="C13" s="17"/>
      <c r="D13" s="18"/>
      <c r="E13" s="19"/>
      <c r="F13" s="92"/>
    </row>
    <row r="14" spans="1:15" x14ac:dyDescent="0.35">
      <c r="A14" s="90"/>
      <c r="B14" t="s">
        <v>45</v>
      </c>
      <c r="C14" s="107">
        <v>344000</v>
      </c>
      <c r="D14" s="107">
        <f>C14/36</f>
        <v>9555.5555555555547</v>
      </c>
      <c r="E14" s="16">
        <f t="shared" ref="E14:E15" si="1">D14*36</f>
        <v>344000</v>
      </c>
      <c r="F14" s="92"/>
    </row>
    <row r="15" spans="1:15" ht="15" thickBot="1" x14ac:dyDescent="0.4">
      <c r="A15" s="91"/>
      <c r="B15" s="20" t="s">
        <v>46</v>
      </c>
      <c r="C15" s="108"/>
      <c r="D15" s="108"/>
      <c r="E15" s="22">
        <f t="shared" si="1"/>
        <v>0</v>
      </c>
      <c r="F15" s="93"/>
      <c r="H15" s="45" t="s">
        <v>0</v>
      </c>
      <c r="I15" s="71" t="s">
        <v>45</v>
      </c>
      <c r="J15" s="72"/>
      <c r="K15" s="72"/>
      <c r="L15" s="72"/>
      <c r="M15" s="72"/>
      <c r="N15" s="72"/>
      <c r="O15" s="72"/>
    </row>
    <row r="16" spans="1:15" x14ac:dyDescent="0.35">
      <c r="H16" s="39" t="s">
        <v>39</v>
      </c>
      <c r="I16" s="43" t="s">
        <v>40</v>
      </c>
      <c r="J16" s="43" t="s">
        <v>38</v>
      </c>
      <c r="K16" s="43"/>
      <c r="L16" s="43" t="s">
        <v>47</v>
      </c>
      <c r="M16" s="43" t="s">
        <v>48</v>
      </c>
      <c r="N16" s="81">
        <f>AVERAGE(J17:M17)</f>
        <v>2926.0433333333331</v>
      </c>
      <c r="O16" s="83">
        <f>N16*36</f>
        <v>105337.56</v>
      </c>
    </row>
    <row r="17" spans="1:15" ht="15" thickBot="1" x14ac:dyDescent="0.4">
      <c r="H17" s="39" t="s">
        <v>34</v>
      </c>
      <c r="I17" s="41">
        <v>35000</v>
      </c>
      <c r="J17" s="40">
        <f>9556.26/2</f>
        <v>4778.13</v>
      </c>
      <c r="K17" s="40"/>
      <c r="L17" s="40">
        <v>2444.44</v>
      </c>
      <c r="M17" s="40">
        <v>1555.56</v>
      </c>
      <c r="N17" s="81"/>
      <c r="O17" s="84"/>
    </row>
    <row r="18" spans="1:15" x14ac:dyDescent="0.35">
      <c r="A18" s="95" t="s">
        <v>49</v>
      </c>
      <c r="B18" s="96"/>
      <c r="C18" s="96"/>
      <c r="D18" s="96"/>
      <c r="E18" s="96"/>
      <c r="F18" s="97"/>
      <c r="G18" s="50" t="s">
        <v>21</v>
      </c>
    </row>
    <row r="19" spans="1:15" x14ac:dyDescent="0.35">
      <c r="A19" s="51" t="s">
        <v>41</v>
      </c>
      <c r="B19" s="13" t="s">
        <v>23</v>
      </c>
      <c r="C19" s="13" t="s">
        <v>26</v>
      </c>
      <c r="D19" s="13" t="s">
        <v>24</v>
      </c>
      <c r="E19" s="13" t="s">
        <v>25</v>
      </c>
      <c r="F19" s="14" t="s">
        <v>26</v>
      </c>
    </row>
    <row r="20" spans="1:15" x14ac:dyDescent="0.35">
      <c r="A20" s="90" t="s">
        <v>42</v>
      </c>
      <c r="B20" t="s">
        <v>50</v>
      </c>
      <c r="C20" s="15">
        <v>923780</v>
      </c>
      <c r="D20" s="15">
        <f>C20/36</f>
        <v>25660.555555555555</v>
      </c>
      <c r="E20" s="16">
        <f>D20*36</f>
        <v>923780</v>
      </c>
      <c r="F20" s="92">
        <f>E20+E22+E23</f>
        <v>923780</v>
      </c>
      <c r="H20" s="45" t="s">
        <v>0</v>
      </c>
      <c r="I20" s="73" t="s">
        <v>46</v>
      </c>
      <c r="J20" s="74"/>
      <c r="K20" s="74"/>
      <c r="L20" s="74"/>
      <c r="M20" s="74"/>
      <c r="N20" s="74"/>
      <c r="O20" s="74"/>
    </row>
    <row r="21" spans="1:15" x14ac:dyDescent="0.35">
      <c r="A21" s="90"/>
      <c r="B21" s="17" t="s">
        <v>44</v>
      </c>
      <c r="C21" s="17"/>
      <c r="D21" s="18"/>
      <c r="E21" s="19"/>
      <c r="F21" s="92"/>
      <c r="H21" s="39" t="s">
        <v>39</v>
      </c>
      <c r="I21" s="43" t="s">
        <v>40</v>
      </c>
      <c r="J21" s="43" t="s">
        <v>38</v>
      </c>
      <c r="K21" s="43"/>
      <c r="L21" s="43" t="s">
        <v>47</v>
      </c>
      <c r="M21" s="43"/>
      <c r="N21" s="81">
        <f>AVERAGE(J22:M22)</f>
        <v>3194.62</v>
      </c>
      <c r="O21" s="83">
        <f>N21*36</f>
        <v>115006.31999999999</v>
      </c>
    </row>
    <row r="22" spans="1:15" x14ac:dyDescent="0.35">
      <c r="A22" s="90"/>
      <c r="B22" s="17" t="s">
        <v>51</v>
      </c>
      <c r="C22" s="28"/>
      <c r="D22" s="28">
        <f>C22/36</f>
        <v>0</v>
      </c>
      <c r="E22" s="16">
        <f t="shared" ref="E22:E23" si="2">D22*36</f>
        <v>0</v>
      </c>
      <c r="F22" s="92"/>
      <c r="H22" s="39" t="s">
        <v>34</v>
      </c>
      <c r="I22" s="41">
        <v>42000</v>
      </c>
      <c r="J22" s="40">
        <f>9556.26/2</f>
        <v>4778.13</v>
      </c>
      <c r="K22" s="40"/>
      <c r="L22" s="40">
        <v>1611.11</v>
      </c>
      <c r="M22" s="40"/>
      <c r="N22" s="81"/>
      <c r="O22" s="84"/>
    </row>
    <row r="23" spans="1:15" ht="15" thickBot="1" x14ac:dyDescent="0.4">
      <c r="A23" s="91"/>
      <c r="B23" s="23" t="s">
        <v>44</v>
      </c>
      <c r="C23" s="29"/>
      <c r="D23" s="29">
        <f>C23/36</f>
        <v>0</v>
      </c>
      <c r="E23" s="22">
        <f t="shared" si="2"/>
        <v>0</v>
      </c>
      <c r="F23" s="93"/>
    </row>
    <row r="25" spans="1:15" ht="15" thickBot="1" x14ac:dyDescent="0.4">
      <c r="H25" s="45" t="s">
        <v>0</v>
      </c>
      <c r="I25" s="75" t="s">
        <v>52</v>
      </c>
      <c r="J25" s="76"/>
      <c r="K25" s="76"/>
      <c r="L25" s="76"/>
      <c r="M25" s="76"/>
      <c r="N25" s="76"/>
      <c r="O25" s="76"/>
    </row>
    <row r="26" spans="1:15" x14ac:dyDescent="0.35">
      <c r="A26" s="98" t="s">
        <v>53</v>
      </c>
      <c r="B26" s="99"/>
      <c r="C26" s="99"/>
      <c r="D26" s="99"/>
      <c r="E26" s="99"/>
      <c r="F26" s="100"/>
      <c r="G26" s="13" t="s">
        <v>37</v>
      </c>
      <c r="H26" s="39" t="s">
        <v>39</v>
      </c>
      <c r="I26" s="43"/>
      <c r="J26" s="43" t="s">
        <v>38</v>
      </c>
      <c r="K26" s="43"/>
      <c r="L26" s="43" t="s">
        <v>47</v>
      </c>
      <c r="M26" s="46"/>
      <c r="N26" s="82">
        <f>AVERAGE(I27:M27)</f>
        <v>17166.665000000001</v>
      </c>
      <c r="O26" s="85">
        <f>N26*36</f>
        <v>617999.94000000006</v>
      </c>
    </row>
    <row r="27" spans="1:15" x14ac:dyDescent="0.35">
      <c r="A27" s="51" t="s">
        <v>47</v>
      </c>
      <c r="B27" s="13" t="s">
        <v>23</v>
      </c>
      <c r="C27" s="13" t="s">
        <v>26</v>
      </c>
      <c r="D27" s="13" t="s">
        <v>24</v>
      </c>
      <c r="E27" s="13" t="s">
        <v>25</v>
      </c>
      <c r="F27" s="14" t="s">
        <v>26</v>
      </c>
      <c r="H27" s="39" t="s">
        <v>34</v>
      </c>
      <c r="I27" s="41"/>
      <c r="J27" s="40">
        <v>20472.22</v>
      </c>
      <c r="K27" s="40"/>
      <c r="L27" s="40">
        <v>13861.11</v>
      </c>
      <c r="M27" s="47"/>
      <c r="N27" s="82"/>
      <c r="O27" s="86"/>
    </row>
    <row r="28" spans="1:15" x14ac:dyDescent="0.35">
      <c r="A28" s="90" t="s">
        <v>42</v>
      </c>
      <c r="B28" t="s">
        <v>54</v>
      </c>
      <c r="C28" s="15">
        <v>143000</v>
      </c>
      <c r="D28" s="15">
        <f>C28/36</f>
        <v>3972.2222222222222</v>
      </c>
      <c r="E28" s="16">
        <f>D28*36</f>
        <v>143000</v>
      </c>
      <c r="F28" s="92">
        <f>E28+E30+E33+E31+E29+E32</f>
        <v>788000</v>
      </c>
    </row>
    <row r="29" spans="1:15" x14ac:dyDescent="0.35">
      <c r="A29" s="90"/>
      <c r="B29" s="17" t="s">
        <v>44</v>
      </c>
      <c r="C29" s="17"/>
      <c r="D29" s="18"/>
      <c r="E29" s="19"/>
      <c r="F29" s="92"/>
    </row>
    <row r="30" spans="1:15" x14ac:dyDescent="0.35">
      <c r="A30" s="90"/>
      <c r="B30" s="24" t="s">
        <v>31</v>
      </c>
      <c r="C30" s="28">
        <v>88000</v>
      </c>
      <c r="D30" s="28">
        <f>C30/36</f>
        <v>2444.4444444444443</v>
      </c>
      <c r="E30" s="16">
        <f t="shared" ref="E30:E33" si="3">D30*36</f>
        <v>88000</v>
      </c>
      <c r="F30" s="92"/>
      <c r="H30" s="45" t="s">
        <v>0</v>
      </c>
      <c r="I30" s="77" t="s">
        <v>55</v>
      </c>
      <c r="J30" s="78"/>
      <c r="K30" s="78"/>
      <c r="L30" s="78"/>
      <c r="M30" s="78"/>
      <c r="N30" s="78"/>
      <c r="O30" s="78"/>
    </row>
    <row r="31" spans="1:15" x14ac:dyDescent="0.35">
      <c r="A31" s="90"/>
      <c r="B31" s="24" t="s">
        <v>32</v>
      </c>
      <c r="C31" s="28">
        <v>58000</v>
      </c>
      <c r="D31" s="28">
        <f t="shared" ref="D31:D33" si="4">C31/36</f>
        <v>1611.1111111111111</v>
      </c>
      <c r="E31" s="16">
        <f t="shared" si="3"/>
        <v>58000</v>
      </c>
      <c r="F31" s="92"/>
      <c r="H31" s="39" t="s">
        <v>39</v>
      </c>
      <c r="I31" s="43"/>
      <c r="J31" s="43"/>
      <c r="K31" s="43"/>
      <c r="L31" s="44"/>
      <c r="M31" s="48"/>
      <c r="N31" s="82" t="e">
        <f>AVERAGE(I32:L32)</f>
        <v>#DIV/0!</v>
      </c>
      <c r="O31" s="79"/>
    </row>
    <row r="32" spans="1:15" x14ac:dyDescent="0.35">
      <c r="A32" s="90"/>
      <c r="B32" s="17" t="s">
        <v>55</v>
      </c>
      <c r="C32" s="28"/>
      <c r="D32" s="28">
        <f t="shared" si="4"/>
        <v>0</v>
      </c>
      <c r="E32" s="16">
        <f t="shared" si="3"/>
        <v>0</v>
      </c>
      <c r="F32" s="92"/>
      <c r="H32" s="39" t="s">
        <v>34</v>
      </c>
      <c r="I32" s="41"/>
      <c r="J32" s="40"/>
      <c r="K32" s="40"/>
      <c r="L32" s="42"/>
      <c r="M32" s="49"/>
      <c r="N32" s="82"/>
      <c r="O32" s="80"/>
    </row>
    <row r="33" spans="1:15" ht="15" thickBot="1" x14ac:dyDescent="0.4">
      <c r="A33" s="91"/>
      <c r="B33" s="20" t="s">
        <v>52</v>
      </c>
      <c r="C33" s="29">
        <v>499000</v>
      </c>
      <c r="D33" s="29">
        <f t="shared" si="4"/>
        <v>13861.111111111111</v>
      </c>
      <c r="E33" s="22">
        <f t="shared" si="3"/>
        <v>499000</v>
      </c>
      <c r="F33" s="93"/>
    </row>
    <row r="34" spans="1:15" x14ac:dyDescent="0.35">
      <c r="A34" s="25"/>
      <c r="B34" s="24"/>
      <c r="C34" s="26"/>
      <c r="D34" s="26"/>
      <c r="E34" s="16"/>
      <c r="F34" s="27"/>
    </row>
    <row r="35" spans="1:15" ht="15" thickBot="1" x14ac:dyDescent="0.4"/>
    <row r="36" spans="1:15" x14ac:dyDescent="0.35">
      <c r="A36" s="87" t="s">
        <v>56</v>
      </c>
      <c r="B36" s="88"/>
      <c r="C36" s="88"/>
      <c r="D36" s="88"/>
      <c r="E36" s="88"/>
      <c r="F36" s="89"/>
      <c r="N36" s="94" t="s">
        <v>57</v>
      </c>
      <c r="O36" s="68">
        <f>SUM(O11:O32)</f>
        <v>1668733.8600000003</v>
      </c>
    </row>
    <row r="37" spans="1:15" x14ac:dyDescent="0.35">
      <c r="A37" s="36"/>
      <c r="B37" s="37" t="s">
        <v>23</v>
      </c>
      <c r="C37" s="37" t="s">
        <v>26</v>
      </c>
      <c r="D37" s="37" t="s">
        <v>24</v>
      </c>
      <c r="E37" s="37" t="s">
        <v>25</v>
      </c>
      <c r="F37" s="38" t="s">
        <v>26</v>
      </c>
      <c r="N37" s="94"/>
      <c r="O37" s="68"/>
    </row>
    <row r="38" spans="1:15" x14ac:dyDescent="0.35">
      <c r="A38" s="90" t="s">
        <v>58</v>
      </c>
      <c r="B38" t="s">
        <v>59</v>
      </c>
      <c r="C38" s="15" t="s">
        <v>60</v>
      </c>
      <c r="D38" s="15" t="s">
        <v>60</v>
      </c>
      <c r="E38" s="16">
        <v>0</v>
      </c>
      <c r="F38" s="92">
        <f>E38+E40+E43+E41+E39+E42</f>
        <v>56000</v>
      </c>
    </row>
    <row r="39" spans="1:15" x14ac:dyDescent="0.35">
      <c r="A39" s="90"/>
      <c r="B39" s="17" t="s">
        <v>44</v>
      </c>
      <c r="C39" s="17"/>
      <c r="D39" s="18"/>
      <c r="E39" s="19"/>
      <c r="F39" s="92"/>
    </row>
    <row r="40" spans="1:15" x14ac:dyDescent="0.35">
      <c r="A40" s="90"/>
      <c r="B40" s="24" t="s">
        <v>31</v>
      </c>
      <c r="C40" s="28">
        <v>56000</v>
      </c>
      <c r="D40" s="28">
        <f>C40/36</f>
        <v>1555.5555555555557</v>
      </c>
      <c r="E40" s="16">
        <f>D40*36</f>
        <v>56000</v>
      </c>
      <c r="F40" s="92"/>
    </row>
    <row r="41" spans="1:15" x14ac:dyDescent="0.35">
      <c r="A41" s="90"/>
      <c r="B41" s="17" t="s">
        <v>44</v>
      </c>
      <c r="C41" s="28"/>
      <c r="D41" s="28">
        <f>C41/36</f>
        <v>0</v>
      </c>
      <c r="E41" s="16">
        <f>D41*36</f>
        <v>0</v>
      </c>
      <c r="F41" s="92"/>
    </row>
    <row r="42" spans="1:15" x14ac:dyDescent="0.35">
      <c r="A42" s="90"/>
      <c r="B42" s="17" t="s">
        <v>44</v>
      </c>
      <c r="C42" s="28"/>
      <c r="D42" s="28">
        <f>C42/36</f>
        <v>0</v>
      </c>
      <c r="E42" s="16">
        <f>D42*36</f>
        <v>0</v>
      </c>
      <c r="F42" s="92"/>
    </row>
    <row r="43" spans="1:15" ht="15" thickBot="1" x14ac:dyDescent="0.4">
      <c r="A43" s="91"/>
      <c r="B43" s="23" t="s">
        <v>44</v>
      </c>
      <c r="C43" s="29"/>
      <c r="D43" s="29">
        <f>C43/36</f>
        <v>0</v>
      </c>
      <c r="E43" s="22">
        <f>D43*36</f>
        <v>0</v>
      </c>
      <c r="F43" s="93"/>
    </row>
  </sheetData>
  <mergeCells count="34">
    <mergeCell ref="A2:F2"/>
    <mergeCell ref="F4:F7"/>
    <mergeCell ref="A10:F10"/>
    <mergeCell ref="A12:A15"/>
    <mergeCell ref="F12:F15"/>
    <mergeCell ref="C14:C15"/>
    <mergeCell ref="D14:D15"/>
    <mergeCell ref="A18:F18"/>
    <mergeCell ref="A20:A23"/>
    <mergeCell ref="F20:F23"/>
    <mergeCell ref="A26:F26"/>
    <mergeCell ref="A4:A7"/>
    <mergeCell ref="A36:F36"/>
    <mergeCell ref="A38:A43"/>
    <mergeCell ref="F38:F43"/>
    <mergeCell ref="N36:N37"/>
    <mergeCell ref="A28:A33"/>
    <mergeCell ref="F28:F33"/>
    <mergeCell ref="O36:O37"/>
    <mergeCell ref="I10:O10"/>
    <mergeCell ref="I15:O15"/>
    <mergeCell ref="I20:O20"/>
    <mergeCell ref="I25:O25"/>
    <mergeCell ref="I30:O30"/>
    <mergeCell ref="O31:O32"/>
    <mergeCell ref="N11:N12"/>
    <mergeCell ref="N16:N17"/>
    <mergeCell ref="N21:N22"/>
    <mergeCell ref="N26:N27"/>
    <mergeCell ref="N31:N32"/>
    <mergeCell ref="O11:O12"/>
    <mergeCell ref="O16:O17"/>
    <mergeCell ref="O21:O22"/>
    <mergeCell ref="O26:O2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7B09-D643-4FDE-9457-05602B687BCE}">
  <dimension ref="A2:A7"/>
  <sheetViews>
    <sheetView workbookViewId="0">
      <selection activeCell="A3" sqref="A3:A7"/>
    </sheetView>
  </sheetViews>
  <sheetFormatPr defaultRowHeight="14.5" x14ac:dyDescent="0.35"/>
  <cols>
    <col min="1" max="1" width="39.7265625" customWidth="1"/>
  </cols>
  <sheetData>
    <row r="2" spans="1:1" x14ac:dyDescent="0.35">
      <c r="A2" s="12" t="s">
        <v>61</v>
      </c>
    </row>
    <row r="3" spans="1:1" x14ac:dyDescent="0.35">
      <c r="A3" t="s">
        <v>62</v>
      </c>
    </row>
    <row r="4" spans="1:1" x14ac:dyDescent="0.35">
      <c r="A4" t="s">
        <v>63</v>
      </c>
    </row>
    <row r="5" spans="1:1" x14ac:dyDescent="0.35">
      <c r="A5" t="s">
        <v>64</v>
      </c>
    </row>
    <row r="6" spans="1:1" x14ac:dyDescent="0.35">
      <c r="A6" t="s">
        <v>65</v>
      </c>
    </row>
    <row r="7" spans="1:1" x14ac:dyDescent="0.35">
      <c r="A7" t="s">
        <v>66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abab79-a488-4777-b089-0fd15bb434df">
      <Terms xmlns="http://schemas.microsoft.com/office/infopath/2007/PartnerControls"/>
    </lcf76f155ced4ddcb4097134ff3c332f>
    <TaxCatchAll xmlns="8bdd92aa-71d2-4816-b7c7-d828239f2bf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DE5108AF010A4D93A3F2E60BB88C0A" ma:contentTypeVersion="15" ma:contentTypeDescription="Crie um novo documento." ma:contentTypeScope="" ma:versionID="1af6779db7d5a41e981700dfc22c98d2">
  <xsd:schema xmlns:xsd="http://www.w3.org/2001/XMLSchema" xmlns:xs="http://www.w3.org/2001/XMLSchema" xmlns:p="http://schemas.microsoft.com/office/2006/metadata/properties" xmlns:ns2="22abab79-a488-4777-b089-0fd15bb434df" xmlns:ns3="8bdd92aa-71d2-4816-b7c7-d828239f2bf4" targetNamespace="http://schemas.microsoft.com/office/2006/metadata/properties" ma:root="true" ma:fieldsID="4584c6fa5e3c5186a2b8f445a8dbb70f" ns2:_="" ns3:_="">
    <xsd:import namespace="22abab79-a488-4777-b089-0fd15bb434df"/>
    <xsd:import namespace="8bdd92aa-71d2-4816-b7c7-d828239f2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bab79-a488-4777-b089-0fd15bb43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d92aa-71d2-4816-b7c7-d828239f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475c276-7b79-4f05-b562-c3deb6886a89}" ma:internalName="TaxCatchAll" ma:showField="CatchAllData" ma:web="8bdd92aa-71d2-4816-b7c7-d828239f2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33A046-86B6-472E-800F-D72D504F67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E0EEE-A0A1-4A0E-A480-8B51073118E0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8bdd92aa-71d2-4816-b7c7-d828239f2bf4"/>
    <ds:schemaRef ds:uri="http://purl.org/dc/terms/"/>
    <ds:schemaRef ds:uri="22abab79-a488-4777-b089-0fd15bb434d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0333280-B876-45DE-B339-4089D437578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2abab79-a488-4777-b089-0fd15bb434df"/>
    <ds:schemaRef ds:uri="8bdd92aa-71d2-4816-b7c7-d828239f2bf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 UNICO (2)</vt:lpstr>
      <vt:lpstr>Comparativo itens - contratos</vt:lpstr>
      <vt:lpstr>Especificações Tecnicas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Cosme Diego Da Silva Augusto</dc:creator>
  <cp:keywords/>
  <dc:description/>
  <cp:lastModifiedBy>Rodrigo Jordão Dias</cp:lastModifiedBy>
  <cp:revision/>
  <dcterms:created xsi:type="dcterms:W3CDTF">2022-02-07T20:23:47Z</dcterms:created>
  <dcterms:modified xsi:type="dcterms:W3CDTF">2022-12-07T16:20:56Z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0x010100C2DE5108AF010A4D93A3F2E60BB88C0A</vt:lpwstr>
  </property>
  <property fmtid="{D5CDD505-2E9C-101B-9397-08002B2CF9AE}" pid="3" name="MediaServiceImageTags">
    <vt:lpwstr/>
  </property>
</Properties>
</file>