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23223c20f9b5cfc2/Área de Trabalho/Secomp/2023/Pesquisas precos/0001935.2022 instalação de gerador/"/>
    </mc:Choice>
  </mc:AlternateContent>
  <xr:revisionPtr revIDLastSave="2162" documentId="8_{86B7F188-1974-4A07-A505-25DD1E5E4C1B}" xr6:coauthVersionLast="47" xr6:coauthVersionMax="47" xr10:uidLastSave="{42A4C6DC-A4AF-4162-B8F4-728C9CFD2F2B}"/>
  <bookViews>
    <workbookView xWindow="28680" yWindow="-1365" windowWidth="38640" windowHeight="15840" tabRatio="920" xr2:uid="{00000000-000D-0000-FFFF-FFFF00000000}"/>
  </bookViews>
  <sheets>
    <sheet name="Orçamento" sheetId="82" r:id="rId1"/>
    <sheet name="Planilha BDI" sheetId="83" r:id="rId2"/>
    <sheet name="Grupo 2 - Motor Gerador 1.2" sheetId="77" r:id="rId3"/>
    <sheet name="Grupo 4 - Painel Transf Aut 1.4" sheetId="79" r:id="rId4"/>
    <sheet name="Grupo 5 Superestrutura eletri" sheetId="80" r:id="rId5"/>
    <sheet name="Planilha2" sheetId="78" r:id="rId6"/>
    <sheet name="GRUPO - 19" sheetId="54" state="hidden" r:id="rId7"/>
  </sheets>
  <definedNames>
    <definedName name="_xlnm._FilterDatabase" localSheetId="2" hidden="1">'Grupo 2 - Motor Gerador 1.2'!#REF!</definedName>
    <definedName name="_xlnm._FilterDatabase" localSheetId="3" hidden="1">'Grupo 4 - Painel Transf Aut 1.4'!#REF!</definedName>
    <definedName name="_xlnm._FilterDatabase" localSheetId="4" hidden="1">'Grupo 5 Superestrutura eletri'!#REF!</definedName>
    <definedName name="_Hlk16782509" localSheetId="2">'Grupo 2 - Motor Gerador 1.2'!$K$6</definedName>
    <definedName name="_Hlk16782509" localSheetId="3">'Grupo 4 - Painel Transf Aut 1.4'!$K$6</definedName>
    <definedName name="_Hlk16782509" localSheetId="4">'Grupo 5 Superestrutura eletri'!$K$6</definedName>
    <definedName name="_xlnm.Print_Area" localSheetId="0">Orçamento!$A$1:$M$81</definedName>
    <definedName name="_xlnm.Print_Area" localSheetId="1">'Planilha BDI'!$A$1:$C$34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82" l="1"/>
  <c r="P44" i="79"/>
  <c r="J18" i="80" l="1"/>
  <c r="N20" i="80" s="1"/>
  <c r="P20" i="77"/>
  <c r="P21" i="77"/>
  <c r="P22" i="77"/>
  <c r="P23" i="77"/>
  <c r="P24" i="77"/>
  <c r="P25" i="77"/>
  <c r="P26" i="77"/>
  <c r="P27" i="77"/>
  <c r="G56" i="82"/>
  <c r="P40" i="80"/>
  <c r="N39" i="80"/>
  <c r="U41" i="80"/>
  <c r="T41" i="80"/>
  <c r="X41" i="80"/>
  <c r="J40" i="80"/>
  <c r="N42" i="80" s="1"/>
  <c r="P34" i="80"/>
  <c r="Q34" i="80" s="1"/>
  <c r="U35" i="80"/>
  <c r="T35" i="80"/>
  <c r="X35" i="80"/>
  <c r="J34" i="80"/>
  <c r="P29" i="80"/>
  <c r="Q29" i="80" s="1"/>
  <c r="U30" i="80"/>
  <c r="T30" i="80"/>
  <c r="X30" i="80"/>
  <c r="J29" i="80"/>
  <c r="L29" i="80" s="1"/>
  <c r="P24" i="80"/>
  <c r="G53" i="82" s="1"/>
  <c r="P18" i="80"/>
  <c r="Q18" i="80" s="1"/>
  <c r="U24" i="80"/>
  <c r="T24" i="80"/>
  <c r="X24" i="80"/>
  <c r="J24" i="80"/>
  <c r="N22" i="80" s="1"/>
  <c r="U19" i="80"/>
  <c r="T19" i="80"/>
  <c r="X19" i="80"/>
  <c r="J55" i="79"/>
  <c r="P26" i="79"/>
  <c r="G26" i="82" s="1"/>
  <c r="T28" i="79"/>
  <c r="U28" i="79"/>
  <c r="V28" i="79" s="1"/>
  <c r="W28" i="79" s="1"/>
  <c r="X28" i="79"/>
  <c r="J71" i="82"/>
  <c r="J66" i="82"/>
  <c r="I45" i="82"/>
  <c r="J11" i="82"/>
  <c r="P51" i="79"/>
  <c r="G34" i="82" s="1"/>
  <c r="I34" i="82" s="1"/>
  <c r="Q23" i="77"/>
  <c r="U21" i="77"/>
  <c r="T21" i="77"/>
  <c r="J23" i="77"/>
  <c r="N21" i="77" s="1"/>
  <c r="X21" i="77"/>
  <c r="P22" i="79"/>
  <c r="G25" i="82" s="1"/>
  <c r="P40" i="79"/>
  <c r="Q40" i="79" s="1"/>
  <c r="L40" i="79"/>
  <c r="X31" i="79"/>
  <c r="U31" i="79"/>
  <c r="T31" i="79"/>
  <c r="X35" i="79"/>
  <c r="X24" i="79"/>
  <c r="X20" i="79"/>
  <c r="U24" i="79"/>
  <c r="T24" i="79"/>
  <c r="P19" i="79"/>
  <c r="Q19" i="79" s="1"/>
  <c r="U20" i="79"/>
  <c r="T20" i="79"/>
  <c r="P101" i="79"/>
  <c r="Q101" i="79" s="1"/>
  <c r="T102" i="79"/>
  <c r="U102" i="79"/>
  <c r="X102" i="79"/>
  <c r="J101" i="79"/>
  <c r="N102" i="79" s="1"/>
  <c r="P98" i="79"/>
  <c r="Q98" i="79" s="1"/>
  <c r="U99" i="79"/>
  <c r="T99" i="79"/>
  <c r="X99" i="79"/>
  <c r="P93" i="79"/>
  <c r="G42" i="82" s="1"/>
  <c r="I42" i="82" s="1"/>
  <c r="U94" i="79"/>
  <c r="T94" i="79"/>
  <c r="X94" i="79"/>
  <c r="U90" i="79"/>
  <c r="P89" i="79"/>
  <c r="G41" i="82" s="1"/>
  <c r="I41" i="82" s="1"/>
  <c r="T90" i="79"/>
  <c r="U52" i="79"/>
  <c r="T52" i="79"/>
  <c r="X52" i="79"/>
  <c r="J51" i="79"/>
  <c r="K51" i="79" s="1"/>
  <c r="P49" i="79"/>
  <c r="Q49" i="79" s="1"/>
  <c r="U50" i="79"/>
  <c r="T50" i="79"/>
  <c r="X50" i="79"/>
  <c r="P46" i="79"/>
  <c r="Q46" i="79" s="1"/>
  <c r="J49" i="79"/>
  <c r="L49" i="79" s="1"/>
  <c r="U47" i="79"/>
  <c r="T47" i="79"/>
  <c r="X47" i="79"/>
  <c r="J46" i="79"/>
  <c r="L46" i="79" s="1"/>
  <c r="Q44" i="79"/>
  <c r="U45" i="79"/>
  <c r="T45" i="79"/>
  <c r="X45" i="79"/>
  <c r="J44" i="79"/>
  <c r="L44" i="79" s="1"/>
  <c r="T42" i="79"/>
  <c r="X38" i="79"/>
  <c r="X42" i="79"/>
  <c r="U42" i="79"/>
  <c r="J40" i="79"/>
  <c r="K40" i="79" s="1"/>
  <c r="P34" i="79"/>
  <c r="Q34" i="79" s="1"/>
  <c r="P36" i="79"/>
  <c r="Q36" i="79" s="1"/>
  <c r="U38" i="79"/>
  <c r="T38" i="79"/>
  <c r="J36" i="79"/>
  <c r="L36" i="79" s="1"/>
  <c r="U35" i="79"/>
  <c r="T35" i="79"/>
  <c r="J34" i="79"/>
  <c r="K34" i="79" s="1"/>
  <c r="L40" i="80" l="1"/>
  <c r="V35" i="80"/>
  <c r="W35" i="80" s="1"/>
  <c r="G55" i="82"/>
  <c r="G52" i="82"/>
  <c r="V21" i="77"/>
  <c r="W21" i="77" s="1"/>
  <c r="G13" i="82"/>
  <c r="I13" i="82" s="1"/>
  <c r="J13" i="82" s="1"/>
  <c r="J19" i="82" s="1"/>
  <c r="N22" i="77"/>
  <c r="N18" i="80"/>
  <c r="N40" i="80"/>
  <c r="N41" i="80"/>
  <c r="N34" i="80"/>
  <c r="K34" i="80"/>
  <c r="M32" i="80" s="1"/>
  <c r="L34" i="80"/>
  <c r="K29" i="80"/>
  <c r="M29" i="80" s="1"/>
  <c r="K40" i="80"/>
  <c r="V41" i="80"/>
  <c r="W41" i="80" s="1"/>
  <c r="N32" i="80"/>
  <c r="N30" i="80"/>
  <c r="N36" i="80"/>
  <c r="N33" i="80"/>
  <c r="N29" i="80"/>
  <c r="N37" i="80"/>
  <c r="N24" i="80"/>
  <c r="N31" i="80"/>
  <c r="N35" i="80"/>
  <c r="N23" i="80"/>
  <c r="N17" i="80"/>
  <c r="N28" i="80"/>
  <c r="V30" i="80"/>
  <c r="W30" i="80" s="1"/>
  <c r="N27" i="80"/>
  <c r="N26" i="80"/>
  <c r="N21" i="80"/>
  <c r="N25" i="80"/>
  <c r="K24" i="80"/>
  <c r="L24" i="80"/>
  <c r="K18" i="80"/>
  <c r="V24" i="80"/>
  <c r="W24" i="80" s="1"/>
  <c r="N19" i="80"/>
  <c r="L18" i="80"/>
  <c r="V19" i="80"/>
  <c r="W19" i="80" s="1"/>
  <c r="K36" i="79"/>
  <c r="L34" i="79"/>
  <c r="K44" i="79"/>
  <c r="G33" i="82"/>
  <c r="L51" i="79"/>
  <c r="K49" i="79"/>
  <c r="M49" i="79" s="1"/>
  <c r="K101" i="79"/>
  <c r="M102" i="79" s="1"/>
  <c r="G28" i="82"/>
  <c r="G43" i="82"/>
  <c r="I43" i="82" s="1"/>
  <c r="N45" i="79"/>
  <c r="L101" i="79"/>
  <c r="G29" i="82"/>
  <c r="G44" i="82"/>
  <c r="I44" i="82" s="1"/>
  <c r="K46" i="79"/>
  <c r="M46" i="79" s="1"/>
  <c r="G30" i="82"/>
  <c r="G31" i="82"/>
  <c r="G24" i="82"/>
  <c r="G32" i="82"/>
  <c r="N24" i="77"/>
  <c r="K23" i="77"/>
  <c r="N23" i="77"/>
  <c r="L23" i="77"/>
  <c r="N20" i="77"/>
  <c r="N25" i="77"/>
  <c r="N27" i="77"/>
  <c r="N26" i="77"/>
  <c r="N101" i="79"/>
  <c r="V102" i="79"/>
  <c r="W102" i="79" s="1"/>
  <c r="V31" i="79"/>
  <c r="W31" i="79" s="1"/>
  <c r="V24" i="79"/>
  <c r="W24" i="79" s="1"/>
  <c r="V20" i="79"/>
  <c r="W20" i="79" s="1"/>
  <c r="V99" i="79"/>
  <c r="W99" i="79" s="1"/>
  <c r="V94" i="79"/>
  <c r="W94" i="79" s="1"/>
  <c r="V90" i="79"/>
  <c r="W90" i="79" s="1"/>
  <c r="N57" i="79"/>
  <c r="N51" i="79"/>
  <c r="N52" i="79"/>
  <c r="N43" i="79"/>
  <c r="N49" i="79"/>
  <c r="N48" i="79"/>
  <c r="N50" i="79"/>
  <c r="V52" i="79"/>
  <c r="W52" i="79" s="1"/>
  <c r="V50" i="79"/>
  <c r="W50" i="79" s="1"/>
  <c r="N39" i="79"/>
  <c r="M34" i="79"/>
  <c r="N46" i="79"/>
  <c r="N36" i="79"/>
  <c r="N47" i="79"/>
  <c r="V38" i="79"/>
  <c r="W38" i="79" s="1"/>
  <c r="N44" i="79"/>
  <c r="V47" i="79"/>
  <c r="W47" i="79" s="1"/>
  <c r="V45" i="79"/>
  <c r="W45" i="79" s="1"/>
  <c r="M42" i="79"/>
  <c r="N41" i="79"/>
  <c r="N42" i="79"/>
  <c r="N37" i="79"/>
  <c r="N40" i="79"/>
  <c r="V42" i="79"/>
  <c r="W42" i="79" s="1"/>
  <c r="M40" i="79"/>
  <c r="N35" i="79"/>
  <c r="N38" i="79"/>
  <c r="V35" i="79"/>
  <c r="W35" i="79" s="1"/>
  <c r="M36" i="80" l="1"/>
  <c r="M35" i="80"/>
  <c r="M37" i="80"/>
  <c r="M41" i="80"/>
  <c r="M39" i="80"/>
  <c r="M40" i="80"/>
  <c r="M42" i="80"/>
  <c r="M38" i="80"/>
  <c r="M33" i="80"/>
  <c r="M34" i="80"/>
  <c r="M18" i="80"/>
  <c r="M31" i="80"/>
  <c r="M28" i="80"/>
  <c r="M30" i="80"/>
  <c r="M19" i="80"/>
  <c r="M17" i="80"/>
  <c r="M21" i="80"/>
  <c r="M27" i="80"/>
  <c r="M22" i="80"/>
  <c r="M20" i="80"/>
  <c r="M50" i="79"/>
  <c r="M24" i="77"/>
  <c r="M26" i="77"/>
  <c r="M27" i="77"/>
  <c r="M25" i="77"/>
  <c r="M20" i="77"/>
  <c r="M21" i="77"/>
  <c r="M22" i="77"/>
  <c r="M23" i="77"/>
  <c r="M101" i="79"/>
  <c r="M48" i="79"/>
  <c r="M52" i="79"/>
  <c r="M51" i="79"/>
  <c r="M44" i="79"/>
  <c r="M45" i="79"/>
  <c r="M43" i="79"/>
  <c r="M47" i="79"/>
  <c r="M41" i="79"/>
  <c r="M39" i="79"/>
  <c r="M35" i="79"/>
  <c r="M36" i="79"/>
  <c r="M38" i="79"/>
  <c r="M37" i="79"/>
  <c r="M33" i="79" l="1"/>
  <c r="P30" i="79"/>
  <c r="Q26" i="79"/>
  <c r="J26" i="79"/>
  <c r="Q22" i="79"/>
  <c r="J19" i="79"/>
  <c r="J22" i="79"/>
  <c r="K22" i="79" s="1"/>
  <c r="J30" i="79"/>
  <c r="I69" i="82"/>
  <c r="I70" i="82"/>
  <c r="J70" i="82" s="1"/>
  <c r="I68" i="82"/>
  <c r="J68" i="82" s="1"/>
  <c r="I61" i="82"/>
  <c r="J61" i="82" s="1"/>
  <c r="I62" i="82"/>
  <c r="J62" i="82" s="1"/>
  <c r="I63" i="82"/>
  <c r="J63" i="82" s="1"/>
  <c r="I64" i="82"/>
  <c r="J64" i="82" s="1"/>
  <c r="I65" i="82"/>
  <c r="J65" i="82" s="1"/>
  <c r="I60" i="82"/>
  <c r="J60" i="82" s="1"/>
  <c r="I57" i="82"/>
  <c r="I49" i="82"/>
  <c r="I50" i="82"/>
  <c r="I51" i="82"/>
  <c r="I48" i="82"/>
  <c r="I24" i="82"/>
  <c r="I21" i="82"/>
  <c r="I14" i="82"/>
  <c r="I15" i="82"/>
  <c r="I16" i="82"/>
  <c r="I17" i="82"/>
  <c r="I18" i="82"/>
  <c r="I9" i="82"/>
  <c r="I10" i="82"/>
  <c r="I8" i="82"/>
  <c r="N27" i="79" l="1"/>
  <c r="N28" i="79"/>
  <c r="L19" i="79"/>
  <c r="K19" i="79"/>
  <c r="M20" i="79" s="1"/>
  <c r="N20" i="79"/>
  <c r="N32" i="79"/>
  <c r="N31" i="79"/>
  <c r="N30" i="79"/>
  <c r="L30" i="79"/>
  <c r="K30" i="79"/>
  <c r="L26" i="79"/>
  <c r="K26" i="79"/>
  <c r="Q30" i="79"/>
  <c r="G27" i="82"/>
  <c r="L22" i="79"/>
  <c r="N23" i="79"/>
  <c r="N26" i="79"/>
  <c r="N25" i="79"/>
  <c r="N29" i="79"/>
  <c r="N19" i="79"/>
  <c r="N21" i="79"/>
  <c r="N22" i="79"/>
  <c r="N24" i="79"/>
  <c r="Q89" i="79"/>
  <c r="J10" i="82"/>
  <c r="T10" i="82" s="1"/>
  <c r="I73" i="82"/>
  <c r="J73" i="82" s="1"/>
  <c r="J74" i="82" s="1"/>
  <c r="J69" i="82"/>
  <c r="J57" i="82"/>
  <c r="J51" i="82"/>
  <c r="J50" i="82"/>
  <c r="J49" i="82"/>
  <c r="J48" i="82"/>
  <c r="J45" i="82"/>
  <c r="J41" i="82"/>
  <c r="J24" i="82"/>
  <c r="J21" i="82"/>
  <c r="J22" i="82" s="1"/>
  <c r="J18" i="82"/>
  <c r="T18" i="82" s="1"/>
  <c r="J17" i="82"/>
  <c r="T17" i="82" s="1"/>
  <c r="J16" i="82"/>
  <c r="T16" i="82" s="1"/>
  <c r="J15" i="82"/>
  <c r="J14" i="82"/>
  <c r="T14" i="82" s="1"/>
  <c r="J9" i="82"/>
  <c r="T9" i="82" s="1"/>
  <c r="J8" i="82"/>
  <c r="J98" i="79"/>
  <c r="J93" i="79"/>
  <c r="M26" i="79" l="1"/>
  <c r="M28" i="79"/>
  <c r="L98" i="79"/>
  <c r="K98" i="79"/>
  <c r="K93" i="79"/>
  <c r="L93" i="79"/>
  <c r="M29" i="79"/>
  <c r="M22" i="79"/>
  <c r="M25" i="79"/>
  <c r="N96" i="79"/>
  <c r="N99" i="79"/>
  <c r="N100" i="79"/>
  <c r="N98" i="79"/>
  <c r="N97" i="79"/>
  <c r="N91" i="79"/>
  <c r="N93" i="79"/>
  <c r="N92" i="79"/>
  <c r="N95" i="79"/>
  <c r="N94" i="79"/>
  <c r="X90" i="79"/>
  <c r="J89" i="79"/>
  <c r="M27" i="79"/>
  <c r="M19" i="79"/>
  <c r="M21" i="79"/>
  <c r="I32" i="82"/>
  <c r="J32" i="82" s="1"/>
  <c r="J34" i="82"/>
  <c r="T15" i="82"/>
  <c r="W84" i="82"/>
  <c r="G54" i="82"/>
  <c r="Q40" i="80"/>
  <c r="W83" i="82"/>
  <c r="Q51" i="79"/>
  <c r="Q93" i="79"/>
  <c r="T8" i="82"/>
  <c r="N38" i="80"/>
  <c r="I52" i="82" l="1"/>
  <c r="J52" i="82" s="1"/>
  <c r="I55" i="82"/>
  <c r="J55" i="82" s="1"/>
  <c r="I54" i="82"/>
  <c r="J54" i="82" s="1"/>
  <c r="I56" i="82"/>
  <c r="J56" i="82" s="1"/>
  <c r="L89" i="79"/>
  <c r="K89" i="79"/>
  <c r="M97" i="79"/>
  <c r="M99" i="79"/>
  <c r="M100" i="79"/>
  <c r="M98" i="79"/>
  <c r="M96" i="79"/>
  <c r="M92" i="79"/>
  <c r="M93" i="79"/>
  <c r="M94" i="79"/>
  <c r="M95" i="79"/>
  <c r="M91" i="79"/>
  <c r="N90" i="79"/>
  <c r="N89" i="79"/>
  <c r="J42" i="82"/>
  <c r="I33" i="82"/>
  <c r="J33" i="82" s="1"/>
  <c r="J44" i="82"/>
  <c r="I29" i="82"/>
  <c r="J29" i="82" s="1"/>
  <c r="I31" i="82"/>
  <c r="J31" i="82" s="1"/>
  <c r="I26" i="82"/>
  <c r="J26" i="82" s="1"/>
  <c r="I25" i="82"/>
  <c r="J25" i="82" s="1"/>
  <c r="J43" i="82"/>
  <c r="Q24" i="80"/>
  <c r="W56" i="80" s="1"/>
  <c r="O12" i="82"/>
  <c r="T12" i="82"/>
  <c r="M24" i="79"/>
  <c r="M23" i="79"/>
  <c r="M23" i="80"/>
  <c r="M26" i="80"/>
  <c r="M24" i="80"/>
  <c r="M25" i="80"/>
  <c r="I53" i="82" l="1"/>
  <c r="J53" i="82" s="1"/>
  <c r="J58" i="82" s="1"/>
  <c r="M90" i="79"/>
  <c r="M89" i="79"/>
  <c r="I30" i="82"/>
  <c r="J30" i="82" s="1"/>
  <c r="T13" i="82"/>
  <c r="O67" i="82"/>
  <c r="O23" i="82"/>
  <c r="O72" i="82"/>
  <c r="O20" i="82"/>
  <c r="O47" i="82"/>
  <c r="O7" i="82"/>
  <c r="O59" i="82"/>
  <c r="Q43" i="80" l="1"/>
  <c r="P55" i="79"/>
  <c r="G35" i="82" s="1"/>
  <c r="I35" i="82" s="1"/>
  <c r="P85" i="79" l="1"/>
  <c r="G40" i="82" s="1"/>
  <c r="I40" i="82" s="1"/>
  <c r="U86" i="79"/>
  <c r="T86" i="79"/>
  <c r="X86" i="79"/>
  <c r="U74" i="79"/>
  <c r="X74" i="79"/>
  <c r="P73" i="79"/>
  <c r="T74" i="79"/>
  <c r="U80" i="79"/>
  <c r="T80" i="79"/>
  <c r="P79" i="79"/>
  <c r="G39" i="82" s="1"/>
  <c r="I39" i="82" s="1"/>
  <c r="X80" i="79"/>
  <c r="J79" i="79"/>
  <c r="T62" i="79"/>
  <c r="X62" i="79"/>
  <c r="J61" i="79"/>
  <c r="P61" i="79"/>
  <c r="G36" i="82" s="1"/>
  <c r="I36" i="82" s="1"/>
  <c r="U62" i="79"/>
  <c r="X68" i="79"/>
  <c r="J67" i="79"/>
  <c r="P67" i="79"/>
  <c r="U68" i="79"/>
  <c r="T68" i="79"/>
  <c r="T56" i="79"/>
  <c r="X56" i="79"/>
  <c r="U56" i="79"/>
  <c r="Q55" i="79"/>
  <c r="M32" i="79"/>
  <c r="J85" i="79"/>
  <c r="J73" i="79"/>
  <c r="N85" i="79" l="1"/>
  <c r="L85" i="79"/>
  <c r="K85" i="79"/>
  <c r="K61" i="79"/>
  <c r="L61" i="79"/>
  <c r="Q73" i="79"/>
  <c r="G38" i="82"/>
  <c r="I38" i="82" s="1"/>
  <c r="G37" i="82"/>
  <c r="I37" i="82" s="1"/>
  <c r="J37" i="82" s="1"/>
  <c r="N79" i="79"/>
  <c r="K79" i="79"/>
  <c r="L79" i="79"/>
  <c r="N73" i="79"/>
  <c r="L73" i="79"/>
  <c r="K73" i="79"/>
  <c r="M71" i="79" s="1"/>
  <c r="N71" i="79"/>
  <c r="L67" i="79"/>
  <c r="K67" i="79"/>
  <c r="N55" i="79"/>
  <c r="L55" i="79"/>
  <c r="K55" i="79"/>
  <c r="V62" i="79"/>
  <c r="W62" i="79" s="1"/>
  <c r="Q67" i="79"/>
  <c r="N83" i="79"/>
  <c r="N86" i="79"/>
  <c r="N87" i="79"/>
  <c r="V86" i="79"/>
  <c r="W86" i="79" s="1"/>
  <c r="N76" i="79"/>
  <c r="N72" i="79"/>
  <c r="N74" i="79"/>
  <c r="N75" i="79"/>
  <c r="N78" i="79"/>
  <c r="N77" i="79"/>
  <c r="N80" i="79"/>
  <c r="N82" i="79"/>
  <c r="N81" i="79"/>
  <c r="V80" i="79"/>
  <c r="W80" i="79" s="1"/>
  <c r="V74" i="79"/>
  <c r="W74" i="79" s="1"/>
  <c r="N88" i="79"/>
  <c r="N84" i="79"/>
  <c r="N59" i="79"/>
  <c r="N62" i="79"/>
  <c r="N63" i="79"/>
  <c r="N64" i="79"/>
  <c r="N60" i="79"/>
  <c r="N69" i="79"/>
  <c r="N68" i="79"/>
  <c r="N70" i="79"/>
  <c r="N65" i="79"/>
  <c r="N66" i="79"/>
  <c r="V56" i="79"/>
  <c r="W56" i="79" s="1"/>
  <c r="N61" i="79"/>
  <c r="V68" i="79"/>
  <c r="W68" i="79" s="1"/>
  <c r="N67" i="79"/>
  <c r="N53" i="79"/>
  <c r="N56" i="79"/>
  <c r="N58" i="79"/>
  <c r="N54" i="79"/>
  <c r="Q79" i="79"/>
  <c r="Q85" i="79"/>
  <c r="Q61" i="79"/>
  <c r="G10" i="78"/>
  <c r="Q103" i="79" l="1"/>
  <c r="M78" i="79"/>
  <c r="M77" i="79"/>
  <c r="M74" i="79"/>
  <c r="M82" i="79"/>
  <c r="M72" i="79"/>
  <c r="M76" i="79"/>
  <c r="M80" i="79"/>
  <c r="M81" i="79"/>
  <c r="M75" i="79"/>
  <c r="M79" i="79"/>
  <c r="M73" i="79"/>
  <c r="M86" i="79"/>
  <c r="M84" i="79"/>
  <c r="M88" i="79"/>
  <c r="M83" i="79"/>
  <c r="M87" i="79"/>
  <c r="M85" i="79"/>
  <c r="M65" i="79"/>
  <c r="M70" i="79"/>
  <c r="M68" i="79"/>
  <c r="M69" i="79"/>
  <c r="M66" i="79"/>
  <c r="M64" i="79"/>
  <c r="M63" i="79"/>
  <c r="M60" i="79"/>
  <c r="M62" i="79"/>
  <c r="M59" i="79"/>
  <c r="M67" i="79"/>
  <c r="M61" i="79"/>
  <c r="M58" i="79"/>
  <c r="M53" i="79"/>
  <c r="M57" i="79"/>
  <c r="M56" i="79"/>
  <c r="M54" i="79"/>
  <c r="M55" i="79"/>
  <c r="J40" i="82"/>
  <c r="J39" i="82"/>
  <c r="J35" i="82"/>
  <c r="I28" i="82"/>
  <c r="J28" i="82" s="1"/>
  <c r="J38" i="82"/>
  <c r="J36" i="82"/>
  <c r="Q28" i="77"/>
  <c r="M30" i="79" l="1"/>
  <c r="M31" i="79"/>
  <c r="I27" i="82"/>
  <c r="J27" i="82" s="1"/>
  <c r="J46" i="82" s="1"/>
  <c r="W85" i="82" l="1"/>
  <c r="W86" i="82" s="1"/>
  <c r="L72" i="82"/>
  <c r="L59" i="82" l="1"/>
  <c r="L12" i="82"/>
  <c r="L20" i="82"/>
  <c r="L47" i="82"/>
  <c r="L23" i="82"/>
  <c r="L67" i="82"/>
  <c r="L7" i="82"/>
  <c r="R6" i="82" l="1"/>
  <c r="Q6" i="82"/>
  <c r="P6" i="82"/>
  <c r="P38" i="82" l="1"/>
  <c r="P53" i="82"/>
  <c r="P56" i="82"/>
  <c r="P44" i="82"/>
  <c r="P41" i="82"/>
  <c r="P64" i="82"/>
  <c r="P34" i="82"/>
  <c r="P23" i="82"/>
  <c r="P48" i="82"/>
  <c r="P28" i="82"/>
  <c r="P37" i="82"/>
  <c r="P63" i="82"/>
  <c r="P30" i="82"/>
  <c r="P51" i="82"/>
  <c r="P43" i="82"/>
  <c r="P24" i="82"/>
  <c r="P33" i="82"/>
  <c r="P62" i="82"/>
  <c r="P26" i="82"/>
  <c r="P49" i="82"/>
  <c r="P39" i="82"/>
  <c r="P72" i="82"/>
  <c r="P29" i="82"/>
  <c r="P61" i="82"/>
  <c r="P45" i="82"/>
  <c r="P55" i="82"/>
  <c r="P31" i="82"/>
  <c r="P69" i="82"/>
  <c r="P7" i="82"/>
  <c r="P59" i="82"/>
  <c r="P50" i="82"/>
  <c r="P36" i="82"/>
  <c r="P47" i="82"/>
  <c r="P27" i="82"/>
  <c r="P68" i="82"/>
  <c r="P67" i="82"/>
  <c r="P57" i="82"/>
  <c r="P42" i="82"/>
  <c r="P32" i="82"/>
  <c r="P40" i="82"/>
  <c r="P54" i="82"/>
  <c r="P52" i="82"/>
  <c r="P65" i="82"/>
  <c r="P21" i="82"/>
  <c r="P20" i="82"/>
  <c r="P35" i="82"/>
  <c r="P70" i="82"/>
  <c r="P25" i="82"/>
  <c r="P60" i="82"/>
  <c r="T6" i="82"/>
  <c r="Q70" i="82"/>
  <c r="Q42" i="82"/>
  <c r="Q44" i="82"/>
  <c r="Q7" i="82"/>
  <c r="Q61" i="82"/>
  <c r="Q26" i="82"/>
  <c r="Q49" i="82"/>
  <c r="Q56" i="82"/>
  <c r="Q40" i="82"/>
  <c r="Q50" i="82"/>
  <c r="Q69" i="82"/>
  <c r="Q60" i="82"/>
  <c r="Q21" i="82"/>
  <c r="Q20" i="82"/>
  <c r="Q48" i="82"/>
  <c r="Q36" i="82"/>
  <c r="Q55" i="82"/>
  <c r="Q68" i="82"/>
  <c r="Q59" i="82"/>
  <c r="Q32" i="82"/>
  <c r="Q43" i="82"/>
  <c r="Q28" i="82"/>
  <c r="Q47" i="82"/>
  <c r="Q67" i="82"/>
  <c r="Q57" i="82"/>
  <c r="Q24" i="82"/>
  <c r="Q39" i="82"/>
  <c r="Q41" i="82"/>
  <c r="Q45" i="82"/>
  <c r="Q65" i="82"/>
  <c r="Q51" i="82"/>
  <c r="Q23" i="82"/>
  <c r="Q31" i="82"/>
  <c r="Q33" i="82"/>
  <c r="Q52" i="82"/>
  <c r="Q63" i="82"/>
  <c r="Q34" i="82"/>
  <c r="Q25" i="82"/>
  <c r="Q27" i="82"/>
  <c r="Q29" i="82"/>
  <c r="Q72" i="82"/>
  <c r="Q62" i="82"/>
  <c r="Q30" i="82"/>
  <c r="Q53" i="82"/>
  <c r="Q35" i="82"/>
  <c r="Q37" i="82"/>
  <c r="Q54" i="82"/>
  <c r="Q64" i="82"/>
  <c r="Q38" i="82"/>
  <c r="R27" i="82"/>
  <c r="R44" i="82"/>
  <c r="R60" i="82"/>
  <c r="R26" i="82"/>
  <c r="R52" i="82"/>
  <c r="R68" i="82"/>
  <c r="R67" i="82"/>
  <c r="R47" i="82"/>
  <c r="R69" i="82"/>
  <c r="R45" i="82"/>
  <c r="R59" i="82"/>
  <c r="R57" i="82"/>
  <c r="R40" i="82"/>
  <c r="R21" i="82"/>
  <c r="R20" i="82"/>
  <c r="R56" i="82"/>
  <c r="R41" i="82"/>
  <c r="R53" i="82"/>
  <c r="R36" i="82"/>
  <c r="R48" i="82"/>
  <c r="R29" i="82"/>
  <c r="R23" i="82"/>
  <c r="R32" i="82"/>
  <c r="R65" i="82"/>
  <c r="R50" i="82"/>
  <c r="R43" i="82"/>
  <c r="R25" i="82"/>
  <c r="R37" i="82"/>
  <c r="R28" i="82"/>
  <c r="R64" i="82"/>
  <c r="R42" i="82"/>
  <c r="R63" i="82"/>
  <c r="R38" i="82"/>
  <c r="R35" i="82"/>
  <c r="R49" i="82"/>
  <c r="R70" i="82"/>
  <c r="R33" i="82"/>
  <c r="R62" i="82"/>
  <c r="R34" i="82"/>
  <c r="R31" i="82"/>
  <c r="R55" i="82"/>
  <c r="R54" i="82"/>
  <c r="R7" i="82"/>
  <c r="R61" i="82"/>
  <c r="R30" i="82"/>
  <c r="R39" i="82"/>
  <c r="R51" i="82"/>
  <c r="R72" i="82"/>
  <c r="R24" i="82"/>
  <c r="T61" i="82" l="1"/>
  <c r="T24" i="82"/>
  <c r="T35" i="82"/>
  <c r="T60" i="82"/>
  <c r="T45" i="82"/>
  <c r="T42" i="82"/>
  <c r="T72" i="82"/>
  <c r="T36" i="82"/>
  <c r="T33" i="82"/>
  <c r="T38" i="82"/>
  <c r="T23" i="82"/>
  <c r="T70" i="82"/>
  <c r="T32" i="82"/>
  <c r="T50" i="82"/>
  <c r="T29" i="82"/>
  <c r="T43" i="82"/>
  <c r="T34" i="82"/>
  <c r="T48" i="82"/>
  <c r="T59" i="82"/>
  <c r="T20" i="82"/>
  <c r="T57" i="82"/>
  <c r="T7" i="82"/>
  <c r="T39" i="82"/>
  <c r="T30" i="82"/>
  <c r="T41" i="82"/>
  <c r="T47" i="82"/>
  <c r="T40" i="82"/>
  <c r="T21" i="82"/>
  <c r="T67" i="82"/>
  <c r="T69" i="82"/>
  <c r="T49" i="82"/>
  <c r="T63" i="82"/>
  <c r="T44" i="82"/>
  <c r="T64" i="82"/>
  <c r="T65" i="82"/>
  <c r="T68" i="82"/>
  <c r="T31" i="82"/>
  <c r="T26" i="82"/>
  <c r="T37" i="82"/>
  <c r="T56" i="82"/>
  <c r="T54" i="82"/>
  <c r="T25" i="82"/>
  <c r="T51" i="82"/>
  <c r="T52" i="82"/>
  <c r="T27" i="82"/>
  <c r="T55" i="82"/>
  <c r="T62" i="82"/>
  <c r="T28" i="82"/>
  <c r="T53" i="82"/>
  <c r="G5" i="54" l="1"/>
  <c r="G4" i="54" l="1"/>
  <c r="G3" i="54"/>
  <c r="G6" i="54" l="1"/>
</calcChain>
</file>

<file path=xl/sharedStrings.xml><?xml version="1.0" encoding="utf-8"?>
<sst xmlns="http://schemas.openxmlformats.org/spreadsheetml/2006/main" count="1440" uniqueCount="497">
  <si>
    <t>Seção  de Compras - SECOMP /SUCOP / SAD</t>
  </si>
  <si>
    <t>MAPA COMPARATIVO DE PREÇOS</t>
  </si>
  <si>
    <t>Critérios Estatísticos por item</t>
  </si>
  <si>
    <t>MÉDIA</t>
  </si>
  <si>
    <t>PREÇO MÍNIMO</t>
  </si>
  <si>
    <t>ITEM</t>
  </si>
  <si>
    <t>ESPECIFICAÇÃO / FORMATO</t>
  </si>
  <si>
    <t>UND</t>
  </si>
  <si>
    <t>QTD.</t>
  </si>
  <si>
    <t>COTAÇÃO</t>
  </si>
  <si>
    <t>PARÂMETROS</t>
  </si>
  <si>
    <t>EMPRESAS</t>
  </si>
  <si>
    <t>PORTE</t>
  </si>
  <si>
    <t>VALOR
UNIT.</t>
  </si>
  <si>
    <t>AVALIÇÃO</t>
  </si>
  <si>
    <t>MÉDIAS/MEDIANA</t>
  </si>
  <si>
    <t>Valor total</t>
  </si>
  <si>
    <t>TOTAL: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</si>
  <si>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</si>
  <si>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</si>
  <si>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</si>
  <si>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</si>
  <si>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</si>
  <si>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</si>
  <si>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</si>
  <si>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</si>
  <si>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</si>
  <si>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</si>
  <si>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</si>
  <si>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</si>
  <si>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</si>
  <si>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</si>
  <si>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</si>
  <si>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</si>
  <si>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MÉDIA
valores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</si>
  <si>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</si>
  <si>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</si>
  <si>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</si>
  <si>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</si>
  <si>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</si>
  <si>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</si>
  <si>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</si>
  <si>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</si>
  <si>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</si>
  <si>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</si>
  <si>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5.</t>
  </si>
  <si>
    <t>6.</t>
  </si>
  <si>
    <t>7.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</si>
  <si>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</si>
  <si>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</si>
  <si>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</si>
  <si>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</si>
  <si>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</si>
  <si>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</si>
  <si>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>&lt;
70% da média</t>
  </si>
  <si>
    <t>OBSERVAÇÕES
AVALIAÇÃO</t>
  </si>
  <si>
    <t>NÃO</t>
  </si>
  <si>
    <t>SIM</t>
  </si>
  <si>
    <t xml:space="preserve">11. </t>
  </si>
  <si>
    <t>Observar se os preços de internet não estão abarcando promoções temporais e/ou quantitativas que possam influcienciar no preço de forma</t>
  </si>
  <si>
    <t xml:space="preserve">O valor estimado sugere contratação exclusiva para ME e EPP? </t>
  </si>
  <si>
    <t xml:space="preserve">da média dos preços obtidos
</t>
  </si>
  <si>
    <t xml:space="preserve">Processo SEI </t>
  </si>
  <si>
    <t xml:space="preserve">Objeto: </t>
  </si>
  <si>
    <t>25% acima média</t>
  </si>
  <si>
    <t>Coluna1</t>
  </si>
  <si>
    <r>
      <rPr>
        <sz val="6.5"/>
        <rFont val="Arial MT"/>
        <family val="2"/>
      </rPr>
      <t>ENGENHEIRO CIVIL DE OBRA PLENO COM ENCARGOS</t>
    </r>
  </si>
  <si>
    <r>
      <rPr>
        <sz val="6.5"/>
        <rFont val="Arial MT"/>
        <family val="2"/>
      </rPr>
      <t>ENGENHEIRO ELETRICISTA COM ENCARGOS COMPLEMENTARES</t>
    </r>
  </si>
  <si>
    <r>
      <rPr>
        <sz val="6.5"/>
        <rFont val="Arial MT"/>
        <family val="2"/>
      </rPr>
      <t>MESTRE DE OBRAS COM ENCARGOS COMPLEMENTARES</t>
    </r>
  </si>
  <si>
    <t>M²</t>
  </si>
  <si>
    <t>CABO FLEX FLEXÍVEL DE 2,5mm2 PARA, COR (VERDE), ISOLAÇÃO ANTICHAMA, CERTIFICAÇÃO INMETRO</t>
  </si>
  <si>
    <t>UN. TR</t>
  </si>
  <si>
    <t>VALOR</t>
  </si>
  <si>
    <t>valor</t>
  </si>
  <si>
    <t>Un. Ata</t>
  </si>
  <si>
    <t>MT</t>
  </si>
  <si>
    <t>rolo com 100 mt</t>
  </si>
  <si>
    <t>KG</t>
  </si>
  <si>
    <t>PAINEL COM SOLEIRA, 1800X600X600, COM PORTA PROJETOS E ALÇAS PARA IÇAMENTO</t>
  </si>
  <si>
    <t>Proposta Comercial</t>
  </si>
  <si>
    <t>Fornecedor</t>
  </si>
  <si>
    <t>DISJUNTOR TRIPOLAR TIPO CAIXA MOLDADA 800A, 55KA, SEM
DISPARADOR</t>
  </si>
  <si>
    <t>PÇ</t>
  </si>
  <si>
    <t>TRANSFORMADOR DE CORRENTE PARA PROTEÇÃO, 800:5A, 5VA C0,5</t>
  </si>
  <si>
    <t>POLICARBONATO CRISTAL 5MM</t>
  </si>
  <si>
    <t>ISOLADOR PARALELO 30X60 C/ ROSCA 1/4"</t>
  </si>
  <si>
    <t>BR</t>
  </si>
  <si>
    <t>BARRA DE COBRE 3/8"x2.1/2" CANTOS VIVOS</t>
  </si>
  <si>
    <t>Rocha Bressan Engenharia Ind. E Com. Ltda
CNPJ 26.415.117/0001-20</t>
  </si>
  <si>
    <t>CANALETA PVC PERFURADA 40X40, COR AZUL PETRÓLEO</t>
  </si>
  <si>
    <t>CABO FLEX #1,0MM2, ISOLAÇÃO 450/750V, NA COR PRETA</t>
  </si>
  <si>
    <t>CABO FLEX #1,5MM2, ISOLAÇÃO 450/750V, NA COR PRETA</t>
  </si>
  <si>
    <t>CABO FLEX #1,5MM2, ISOLAÇÃO 450/750V, NA COR AZUL</t>
  </si>
  <si>
    <t>CABO FLEX #2,5MM2, ISOLAÇÃO 450/750V, NA COR PRETA</t>
  </si>
  <si>
    <t>CABO FLEX #2,5MM2, ISOLAÇÃO 450/750V, NA COR AZUL</t>
  </si>
  <si>
    <t>CABO FLEX #2,5MM2, ISOLAÇÃO 450/750V, NA COR VERDE</t>
  </si>
  <si>
    <t>GARRA FINAL PARA BORNE SAK</t>
  </si>
  <si>
    <t>pç</t>
  </si>
  <si>
    <t>CONECTOR SAK #2,5MM2</t>
  </si>
  <si>
    <t>CONECTOR SAK #2,5MM2 NA COR AZUL</t>
  </si>
  <si>
    <t>Comprasnet / outros</t>
  </si>
  <si>
    <t>Instituto Federal de Educação, Ciência e Tecnologia de Alçagoas
P.E n. 07/2022</t>
  </si>
  <si>
    <t>Renova Construções Comércio e Serviços Ltda
CNPJ: 33.148.439/0001-15</t>
  </si>
  <si>
    <t>W. F. DE MORAIS EIRELI 
CNPJ: 04998810000130</t>
  </si>
  <si>
    <t>Prefeitura Municipal de Rio Maria - PA
072/2022-000032</t>
  </si>
  <si>
    <t>Tribunal Regional Eleitoral - CE
P.E n. 102/2022</t>
  </si>
  <si>
    <t>LUCAS PONTALTI LIMA 32082507890
CNPJ: 42.894.921/000-195</t>
  </si>
  <si>
    <t>ME</t>
  </si>
  <si>
    <t>LUCAS PONTALTI LIMA 32082507890
CNPJ: 42.894.921/0001-95</t>
  </si>
  <si>
    <t>RAVANELLO &amp; CIA LTDA.
CNPJ: 93.082.725/0001-57</t>
  </si>
  <si>
    <t xml:space="preserve"> Universidade Federal de Santa Maria - RS
P.E n. 1/2023</t>
  </si>
  <si>
    <t>Caixa Econômica Federal - MG
P.E n. 1/2023
SINAPI-202212-MG-DES-2394 12/2022</t>
  </si>
  <si>
    <t>Santa Helena Comercio De Pecas E Servicos Ltda
CNPJ: 08.739.131/0001-05</t>
  </si>
  <si>
    <t xml:space="preserve">Comando do Exército
Parque Regional de Manutenção - 8 - PA
P. E n. 12/2022 </t>
  </si>
  <si>
    <t>Grupo 02 - GRUPO MOTOR GERADOR - Fornecimento e instalação</t>
  </si>
  <si>
    <t>CAMINHÃO MUNCK 12 TON. (MÍNIMO 4H/DIA)</t>
  </si>
  <si>
    <t>Rodoagro Motores Geradores e Resp Ltda
CNPJ: 24.797.158/0001-00</t>
  </si>
  <si>
    <t>Demais</t>
  </si>
  <si>
    <t>Melquior SR Comercio e Serviços Ltda
CNPJ: 29.562.747/0001-15</t>
  </si>
  <si>
    <t>Rocha Bressan Engenharia Ind. e Com. Ltda
CNPJ: 26.415.117/0001-20</t>
  </si>
  <si>
    <t>CURVA VERTICAL EXTERNA 100X50</t>
  </si>
  <si>
    <t>CURVA HORIZONTAL 100X50</t>
  </si>
  <si>
    <t>EMENDA PARA ELETROCALHA 100X50</t>
  </si>
  <si>
    <t>ELETROCALHA PERFURADA 100X50</t>
  </si>
  <si>
    <t>TERMINAL PARA ELETROCALHA 100X50</t>
  </si>
  <si>
    <t>DEMAIS</t>
  </si>
  <si>
    <t xml:space="preserve">PM de Santa Cruz do Sul - RS
</t>
  </si>
  <si>
    <t>Instalart Materiais Elétricos Ltda
CNPJ: 05.117.514/0001-45</t>
  </si>
  <si>
    <t xml:space="preserve">PM de Santa Maria - RS
</t>
  </si>
  <si>
    <t>SVP Construções e Serviços Eireli
CNPJ: 21.020.956/0001-25</t>
  </si>
  <si>
    <t>BINOTTO CONSTRUÇÕES LTDA
CNPJ: 23.559.633/0001-30</t>
  </si>
  <si>
    <t xml:space="preserve">PM de Santa Maria - RS
(TMP)
</t>
  </si>
  <si>
    <t>CEZAR LUIZ ROSA
CNPJ: 16.642.651/0001-15</t>
  </si>
  <si>
    <t>VERSALHES INCORPORAÇÃO E CONSTRUÇÃO LTDA
CNPJ: 21.796.398/0001-94</t>
  </si>
  <si>
    <t xml:space="preserve">PM de Santa Maria - RS
(CNC - 21/9/2022)
</t>
  </si>
  <si>
    <t xml:space="preserve">PM de Santa Maria - RS
(CNC - 11/8/2022)
</t>
  </si>
  <si>
    <t>,</t>
  </si>
  <si>
    <t>Secretaria da Seguranca Publica Comando Polic.int.-5 Sjrio Preto
P. E 2/6/2022</t>
  </si>
  <si>
    <t>Serviço Nacional De Aprendizagem Industrial - SENAI
P.E n. 13/2022 (3/5/22)</t>
  </si>
  <si>
    <t>Edytudo Comercio De Ferragens E Variedades LTDA
CNPJ: 10.214.272/0001-48</t>
  </si>
  <si>
    <t>L C EMPREENDIMENTOS E CONSTRUCOES LTDA
CNPJ: 36.577.834/0001-01</t>
  </si>
  <si>
    <t>DEPARTAMENTO DA AGUA E ESGOTO SANITARIO DE JUINA
Pregão TCE-MT - 416637 (22/11/22)</t>
  </si>
  <si>
    <t>IVAN GUIA LEMOS DA SILVA &amp; CIA. LTDA.
CNPJ: 12.995.729/0001-24</t>
  </si>
  <si>
    <t>Setor de Licitações - RS
RP 216029 109 1340989 (13/1/23)</t>
  </si>
  <si>
    <t>GOIAS LED MATERIAIS ELETRICOS E CONSTRUCAO EIRELI.
CNPJ: 27.927.653/0001-77</t>
  </si>
  <si>
    <t>PM DE SANTA MARIA
[TCE-RS]
25/11/22</t>
  </si>
  <si>
    <t>&lt;
75% da média</t>
  </si>
  <si>
    <t>Genset Solutions Ltda
CNPJ: 07.346.027/0001-80</t>
  </si>
  <si>
    <t xml:space="preserve"> MINISTÉRIO DA EDUCAÇÃO UNIVERSIDADE FEDERAL DE PERNAMBUCO
P. E n. 35/2022</t>
  </si>
  <si>
    <t>CURVA VERTICAL EXTERNA 100X50
(item 1.5.5 - planilha orçamentária)</t>
  </si>
  <si>
    <t>CURVA HORIZONTAL 100X50
(item 1.5.6 - planilha orçamentária)</t>
  </si>
  <si>
    <t>EMENDA PARA ELETROCALHA 100X50
(item 1.5.7 - planilha orçamentária)</t>
  </si>
  <si>
    <t>ELETROCALHA PERFURADA 100X50
(item 1.5.8 - planilha orçamentária)</t>
  </si>
  <si>
    <t>TERMINAL PARA ELETROCALHA 100X50
(item 1.5.9 - planilha orçamentária)</t>
  </si>
  <si>
    <t>PAULO ELETRO LTDA
CNPJ: 41.841.443/0001-92</t>
  </si>
  <si>
    <t>Industria de Material Belico do Brasil/FI/MG
P.E n. 67/2022
(set/2022)</t>
  </si>
  <si>
    <t>ACOS &amp; PERFIS COMERCIAL E INDUSTRIAL LTDA 41.841.443/0001-92</t>
  </si>
  <si>
    <t>Universidade Federal de Pernambuco
P.E n. 21/2022
(outubro/2022)</t>
  </si>
  <si>
    <t>Comando do Exército
Colégio Militar de Porto Alegre - RS
P. E. n. 07/2022
(dez/2022)</t>
  </si>
  <si>
    <t>ALMADA MATERIAIS DE CONSTRUCAO LTDA
CNPJ: 13.014.203/0001-89</t>
  </si>
  <si>
    <t xml:space="preserve">da média dos preços obtidos. Considerado, por haver menos de três preços válidos
</t>
  </si>
  <si>
    <t>FAGUSA ELETRICA HIDRAULICA LTDA
CNPJ: 37.828.525/0001-20</t>
  </si>
  <si>
    <t>ARQUIVO NACIONAL - RJ
N.F n. 182 (21/6/22)</t>
  </si>
  <si>
    <t>INTERTRAVAMENTO MECÂNICO PARA CONTATOR TRIPOLAR 1000A
(item 1.4.5 da planilha orçamentária)</t>
  </si>
  <si>
    <t xml:space="preserve">CONTATOR TRIPOLAR DE FORÇA 1000A, 220VAC
</t>
  </si>
  <si>
    <t>(item 1.4.3 da planilha orçamentária)</t>
  </si>
  <si>
    <t>(item 1.4.2 da planilha orçamentária)</t>
  </si>
  <si>
    <t>(item 1.4.1 da planilha orçamentária)</t>
  </si>
  <si>
    <t xml:space="preserve">BLOCO DE CONTATO LATERAL P/ CONTATOR TRIPOLAR 1000A
</t>
  </si>
  <si>
    <t>(item 1.4.7 da planilha orçamentária)</t>
  </si>
  <si>
    <t>(item 1.4.8 da planilha orçamentária)</t>
  </si>
  <si>
    <t>BAEQUIP POWER SOLUTIONS EIRELI,
CNPJ: 19.387.167/0001-85</t>
  </si>
  <si>
    <t>INSTITUTO FEDERAL DE EDUCAÇÃO, CIÊNCIA E TECNOLOGIA DE SÃO PAULO
P. E. 48/2022</t>
  </si>
  <si>
    <t>(item 1.4.9 da planilha orçamentária)</t>
  </si>
  <si>
    <t>TRILHO DIN 35/7,5</t>
  </si>
  <si>
    <t>(item 1.4.10 da planilha orçamentária)</t>
  </si>
  <si>
    <t>TOP Power Engenharia Ltsa ME
CNPJ: 13.433616/0001-06</t>
  </si>
  <si>
    <t>Universidade Federal de Campinas - SP
P. E. n. DGA 659/2022</t>
  </si>
  <si>
    <t xml:space="preserve"> - Instituto do Patrimônio Histórico e Artístico Nacional - PA
DL n. 07/2022</t>
  </si>
  <si>
    <t>ATENAS MATERIAIS DE CONSTRUCAO LTDA
CNPJ: 79.109.088/0001-34</t>
  </si>
  <si>
    <t xml:space="preserve">da média dos preços obtidos. </t>
  </si>
  <si>
    <t>(item 1.4.14 da planilha orçamentária)</t>
  </si>
  <si>
    <t>(item 1.4.11 da planilha orçamentária)</t>
  </si>
  <si>
    <t>(item 1.4.15 da planilha orçamentária)</t>
  </si>
  <si>
    <t>(item 1.4.16 da planilha orçamentária)</t>
  </si>
  <si>
    <t>(item 1.4.17 da planilha orçamentária)</t>
  </si>
  <si>
    <t>(item 1.4.18 da planilha orçamentária)</t>
  </si>
  <si>
    <t>(item 1.4.19 da planilha orçamentária)</t>
  </si>
  <si>
    <t>Comprasnet / oturos</t>
  </si>
  <si>
    <t xml:space="preserve">A. PEREIRA LEITE MATERIAIS PARA CONSTRUCAO
CNPJ 29.567.496/0002-42 </t>
  </si>
  <si>
    <t>Serviço Autônomo de Água e Esgoto de São Gonçalo do Amarante Serviço Autônomo de Água e Esgoto de São Gonçalo do Amarante
RP 203578 21 2599</t>
  </si>
  <si>
    <t>PREFEITURA MUNICIPAL DE NOVA CANAA DO NORTE - MT
P.E n. TCE-MT - 419462</t>
  </si>
  <si>
    <t>R B D DA SILVA
CNPJ 31.859.224/0001-87</t>
  </si>
  <si>
    <t>INSTITUTO FEDERAL DE EDUCAÇÃO, CIÊNCIA E TECNOLOGIA DE SÃO PAULO
P.E 48/2022</t>
  </si>
  <si>
    <t>BAEQUIP POWER SOLUTIONS EIRELI
CNPJ 19.387.167/0001-85</t>
  </si>
  <si>
    <t>DEMAS</t>
  </si>
  <si>
    <t>CAIXA ECONÔMICA FEDERAL
SINAPI-202212-RR-NAODES-1624</t>
  </si>
  <si>
    <t>CAIXA ECONÔMICA FEDERAL
SINAPI-202212-GO-NAODES-1624</t>
  </si>
  <si>
    <t>CAIXA ECONÔMICA FEDERAL
SINAPI-202212-BA-NAODES-1624</t>
  </si>
  <si>
    <t>EMBRAPA Amazônia Oriental / PA
P. E. 17/2022</t>
  </si>
  <si>
    <t>A C do A Rodrigues Eireli
CNPJ: 28.037.573/0001-09</t>
  </si>
  <si>
    <t>EPP</t>
  </si>
  <si>
    <t>LEONARDO GOMES DE AGUIAR 81102771104
CNPJ: 37.278.582/0001-82</t>
  </si>
  <si>
    <t>da média dos preços obtidos
Considerado, por haver menos de três preços válidos</t>
  </si>
  <si>
    <r>
      <rPr>
        <b/>
        <sz val="6.5"/>
        <rFont val="Arial"/>
        <family val="2"/>
      </rPr>
      <t xml:space="preserve">PROPONENTE / TOMADOR
</t>
    </r>
    <r>
      <rPr>
        <sz val="6.5"/>
        <rFont val="Arial MT"/>
        <family val="2"/>
      </rPr>
      <t>CONSELHO DE JUSTIÇA FEDERAL</t>
    </r>
  </si>
  <si>
    <r>
      <rPr>
        <b/>
        <sz val="6.5"/>
        <color rgb="FF000000"/>
        <rFont val="Arial"/>
        <family val="2"/>
      </rPr>
      <t>NOME DO EMPREENDIMENTO</t>
    </r>
    <r>
      <rPr>
        <sz val="6.5"/>
        <color rgb="FF000000"/>
        <rFont val="Arial"/>
        <family val="2"/>
      </rPr>
      <t xml:space="preserve">
GERAÇÃO REDUNDANTE 500KVA +500KVA</t>
    </r>
  </si>
  <si>
    <t>PESQUISA FONTE DE PREÇOS</t>
  </si>
  <si>
    <r>
      <rPr>
        <b/>
        <sz val="6.5"/>
        <rFont val="Arial"/>
        <family val="2"/>
      </rPr>
      <t xml:space="preserve">LOCALIDADE SINAPI
</t>
    </r>
    <r>
      <rPr>
        <sz val="6.5"/>
        <rFont val="Arial"/>
        <family val="2"/>
      </rPr>
      <t>BRASILIA</t>
    </r>
  </si>
  <si>
    <r>
      <rPr>
        <b/>
        <sz val="6.5"/>
        <rFont val="Arial"/>
        <family val="2"/>
      </rPr>
      <t xml:space="preserve">DATA BASE
</t>
    </r>
    <r>
      <rPr>
        <sz val="6.5"/>
        <rFont val="Arial MT"/>
        <family val="2"/>
      </rPr>
      <t>06-19 (N DES.)</t>
    </r>
  </si>
  <si>
    <r>
      <rPr>
        <b/>
        <sz val="6.5"/>
        <rFont val="Arial"/>
        <family val="2"/>
      </rPr>
      <t xml:space="preserve">DESCRIÇÃO DO LOTE
</t>
    </r>
    <r>
      <rPr>
        <sz val="6.5"/>
        <rFont val="Arial MT"/>
        <family val="2"/>
      </rPr>
      <t>GERAÇÃO REDUNDANTE 500KVA +500KVA</t>
    </r>
  </si>
  <si>
    <r>
      <rPr>
        <b/>
        <sz val="6.5"/>
        <rFont val="Arial"/>
        <family val="2"/>
      </rPr>
      <t xml:space="preserve">MUNICÍPIO / UF
</t>
    </r>
    <r>
      <rPr>
        <sz val="6.5"/>
        <rFont val="Arial MT"/>
        <family val="2"/>
      </rPr>
      <t>BRASÍLIA-DF</t>
    </r>
  </si>
  <si>
    <r>
      <rPr>
        <b/>
        <sz val="6.5"/>
        <rFont val="Arial"/>
        <family val="2"/>
      </rPr>
      <t xml:space="preserve">BDI 1
</t>
    </r>
    <r>
      <rPr>
        <sz val="6.5"/>
        <rFont val="Arial MT"/>
        <family val="2"/>
      </rPr>
      <t>25,90%</t>
    </r>
  </si>
  <si>
    <r>
      <rPr>
        <b/>
        <sz val="6.5"/>
        <rFont val="Arial"/>
        <family val="2"/>
      </rPr>
      <t xml:space="preserve">BDI 2
</t>
    </r>
    <r>
      <rPr>
        <sz val="6.5"/>
        <rFont val="Arial"/>
        <family val="2"/>
      </rPr>
      <t>19</t>
    </r>
    <r>
      <rPr>
        <sz val="6.5"/>
        <rFont val="Arial MT"/>
        <family val="2"/>
      </rPr>
      <t>,95%</t>
    </r>
  </si>
  <si>
    <r>
      <rPr>
        <b/>
        <sz val="6.5"/>
        <rFont val="Arial"/>
        <family val="2"/>
      </rPr>
      <t xml:space="preserve">BDI 3
</t>
    </r>
    <r>
      <rPr>
        <sz val="6.5"/>
        <rFont val="Arial MT"/>
        <family val="2"/>
      </rPr>
      <t>0,00%</t>
    </r>
  </si>
  <si>
    <r>
      <rPr>
        <b/>
        <sz val="6.5"/>
        <rFont val="Arial"/>
        <family val="2"/>
      </rPr>
      <t>Item</t>
    </r>
  </si>
  <si>
    <r>
      <rPr>
        <b/>
        <sz val="6.5"/>
        <rFont val="Arial"/>
        <family val="2"/>
      </rPr>
      <t>Fonte</t>
    </r>
  </si>
  <si>
    <r>
      <rPr>
        <b/>
        <sz val="6.5"/>
        <rFont val="Arial"/>
        <family val="2"/>
      </rPr>
      <t>Código</t>
    </r>
  </si>
  <si>
    <r>
      <rPr>
        <b/>
        <sz val="6.5"/>
        <rFont val="Arial"/>
        <family val="2"/>
      </rPr>
      <t>Descrição</t>
    </r>
  </si>
  <si>
    <r>
      <rPr>
        <b/>
        <sz val="6.5"/>
        <rFont val="Arial"/>
        <family val="2"/>
      </rPr>
      <t>Unidade</t>
    </r>
  </si>
  <si>
    <r>
      <rPr>
        <b/>
        <sz val="6.5"/>
        <rFont val="Arial"/>
        <family val="2"/>
      </rPr>
      <t>Quantidade</t>
    </r>
  </si>
  <si>
    <r>
      <rPr>
        <b/>
        <sz val="6.5"/>
        <rFont val="Arial"/>
        <family val="2"/>
      </rPr>
      <t>Custo Unitário (sem BDI) (R$)</t>
    </r>
  </si>
  <si>
    <r>
      <rPr>
        <b/>
        <sz val="6.5"/>
        <rFont val="Arial"/>
        <family val="2"/>
      </rPr>
      <t>BDI (%)</t>
    </r>
  </si>
  <si>
    <r>
      <rPr>
        <b/>
        <sz val="6.5"/>
        <rFont val="Arial"/>
        <family val="2"/>
      </rPr>
      <t>Preço Unitário (com BDI) (R$)</t>
    </r>
  </si>
  <si>
    <r>
      <rPr>
        <b/>
        <sz val="6.5"/>
        <rFont val="Arial"/>
        <family val="2"/>
      </rPr>
      <t>Preço Total (R$)</t>
    </r>
  </si>
  <si>
    <t>%</t>
  </si>
  <si>
    <t>PE08/2022
IEC
500kVA</t>
  </si>
  <si>
    <t>Pregão 94/2021
CESAMA
315kVA</t>
  </si>
  <si>
    <t>PE32/2022
PGJ TO
430kVA</t>
  </si>
  <si>
    <t>Mediana</t>
  </si>
  <si>
    <t>GERAÇÃO REDUNDANTE 500KVA +500KVA</t>
  </si>
  <si>
    <r>
      <rPr>
        <b/>
        <sz val="6.5"/>
        <rFont val="Arial"/>
        <family val="2"/>
      </rPr>
      <t>GERAÇÃO REDUNDANTE 500KVA +500KVA</t>
    </r>
  </si>
  <si>
    <r>
      <rPr>
        <b/>
        <sz val="6.5"/>
        <rFont val="Arial"/>
        <family val="2"/>
      </rPr>
      <t>1.1.</t>
    </r>
  </si>
  <si>
    <r>
      <rPr>
        <b/>
        <sz val="6.5"/>
        <rFont val="Arial"/>
        <family val="2"/>
      </rPr>
      <t>ADMIMISTRAÇÃO LOCAL</t>
    </r>
  </si>
  <si>
    <r>
      <rPr>
        <b/>
        <sz val="6.5"/>
        <rFont val="Arial"/>
        <family val="2"/>
      </rPr>
      <t>-</t>
    </r>
  </si>
  <si>
    <r>
      <rPr>
        <sz val="6.5"/>
        <rFont val="Arial MT"/>
        <family val="2"/>
      </rPr>
      <t>1.1.1.</t>
    </r>
  </si>
  <si>
    <r>
      <rPr>
        <sz val="6.5"/>
        <rFont val="Arial MT"/>
        <family val="2"/>
      </rPr>
      <t>SINAPI</t>
    </r>
  </si>
  <si>
    <r>
      <rPr>
        <sz val="6.5"/>
        <rFont val="Arial MT"/>
        <family val="2"/>
      </rPr>
      <t>H</t>
    </r>
  </si>
  <si>
    <r>
      <rPr>
        <sz val="6.5"/>
        <rFont val="Arial MT"/>
        <family val="2"/>
      </rPr>
      <t>BDI 1</t>
    </r>
  </si>
  <si>
    <r>
      <rPr>
        <sz val="6.5"/>
        <rFont val="Arial MT"/>
        <family val="2"/>
      </rPr>
      <t>1.1.2.</t>
    </r>
  </si>
  <si>
    <r>
      <rPr>
        <sz val="6.5"/>
        <rFont val="Arial MT"/>
        <family val="2"/>
      </rPr>
      <t>1.1.3.</t>
    </r>
  </si>
  <si>
    <r>
      <rPr>
        <b/>
        <sz val="6.5"/>
        <rFont val="Arial"/>
        <family val="2"/>
      </rPr>
      <t>1.2.</t>
    </r>
  </si>
  <si>
    <r>
      <rPr>
        <b/>
        <sz val="6.5"/>
        <rFont val="Arial"/>
        <family val="2"/>
      </rPr>
      <t>GRUPO MOTOR GERADOR - FORNECIMENTO E INSTALAÇÃO</t>
    </r>
  </si>
  <si>
    <r>
      <rPr>
        <sz val="6.5"/>
        <rFont val="Arial MT"/>
        <family val="2"/>
      </rPr>
      <t>1.2.1.</t>
    </r>
  </si>
  <si>
    <r>
      <rPr>
        <sz val="6.5"/>
        <rFont val="Arial MT"/>
        <family val="2"/>
      </rPr>
      <t>Cotação</t>
    </r>
  </si>
  <si>
    <r>
      <rPr>
        <sz val="6.5"/>
        <rFont val="Arial MT"/>
        <family val="2"/>
      </rPr>
      <t>COT026</t>
    </r>
  </si>
  <si>
    <r>
      <rPr>
        <sz val="6.5"/>
        <rFont val="Arial MT"/>
        <family val="2"/>
      </rPr>
      <t>UND</t>
    </r>
  </si>
  <si>
    <r>
      <rPr>
        <sz val="6.5"/>
        <rFont val="Arial MT"/>
        <family val="2"/>
      </rPr>
      <t>BDI 2</t>
    </r>
  </si>
  <si>
    <t>BDI 2</t>
  </si>
  <si>
    <r>
      <rPr>
        <sz val="6.5"/>
        <rFont val="Arial MT"/>
        <family val="2"/>
      </rPr>
      <t>1.2.2.</t>
    </r>
  </si>
  <si>
    <r>
      <rPr>
        <sz val="6.5"/>
        <rFont val="Arial MT"/>
        <family val="2"/>
      </rPr>
      <t>AGETOP</t>
    </r>
  </si>
  <si>
    <r>
      <rPr>
        <sz val="6.5"/>
        <rFont val="Arial MT"/>
        <family val="2"/>
      </rPr>
      <t>1.2.3.</t>
    </r>
  </si>
  <si>
    <r>
      <rPr>
        <sz val="6.5"/>
        <rFont val="Arial MT"/>
        <family val="2"/>
      </rPr>
      <t>DEMOLIÇÃO DE ALVENARIA DE BLOCO FURADO, DE FORMA MANUAL,</t>
    </r>
  </si>
  <si>
    <r>
      <rPr>
        <sz val="6.5"/>
        <rFont val="Arial MT"/>
        <family val="2"/>
      </rPr>
      <t>M3</t>
    </r>
  </si>
  <si>
    <r>
      <rPr>
        <sz val="6.5"/>
        <rFont val="Arial MT"/>
        <family val="2"/>
      </rPr>
      <t>1.2.4.</t>
    </r>
  </si>
  <si>
    <r>
      <rPr>
        <sz val="6.5"/>
        <rFont val="Arial MT"/>
        <family val="2"/>
      </rPr>
      <t xml:space="preserve">ALVENARIA ESTRUTURAL DE BLOCOS CERÂMICOS 14X19X39, (ESPESSURA DE 14 CM), PARA PAREDES COM ÁREA LÍQUIDA MENOR QUE 6M², COM VÃOS, UTILIZANDO PALHETA E ARGAMASSA DE
</t>
    </r>
    <r>
      <rPr>
        <sz val="6.5"/>
        <rFont val="Arial MT"/>
        <family val="2"/>
      </rPr>
      <t>ASSENTAMENTO COM PREPARO MANUAL. AF_12/2014</t>
    </r>
  </si>
  <si>
    <r>
      <rPr>
        <sz val="6.5"/>
        <rFont val="Arial MT"/>
        <family val="2"/>
      </rPr>
      <t>M2</t>
    </r>
  </si>
  <si>
    <r>
      <rPr>
        <sz val="6.5"/>
        <rFont val="Arial MT"/>
        <family val="2"/>
      </rPr>
      <t>1.2.5.</t>
    </r>
  </si>
  <si>
    <r>
      <rPr>
        <sz val="6.5"/>
        <rFont val="Arial MT"/>
        <family val="2"/>
      </rPr>
      <t xml:space="preserve">EMBOÇO OU MASSA ÚNICA EM ARGAMASSA TRAÇO 1:2:8, PREPARO
</t>
    </r>
    <r>
      <rPr>
        <sz val="6.5"/>
        <rFont val="Arial MT"/>
        <family val="2"/>
      </rPr>
      <t>MANUAL, APLICADA MANUALMENTE EM PANOS DE FACHADA COM PRESENÇA DE VÃOS, ESPESSURA DE 25 MM. AF_06/2014</t>
    </r>
  </si>
  <si>
    <r>
      <rPr>
        <sz val="6.5"/>
        <rFont val="Arial MT"/>
        <family val="2"/>
      </rPr>
      <t>1.2.6.</t>
    </r>
  </si>
  <si>
    <r>
      <rPr>
        <sz val="6.5"/>
        <rFont val="Arial MT"/>
        <family val="2"/>
      </rPr>
      <t>PINTURA EPOXI INCLUSO EMASSAMENTO E FUNDO PREPARADOR</t>
    </r>
  </si>
  <si>
    <r>
      <rPr>
        <b/>
        <sz val="6.5"/>
        <rFont val="Arial"/>
        <family val="2"/>
      </rPr>
      <t>1.3.</t>
    </r>
  </si>
  <si>
    <r>
      <rPr>
        <b/>
        <sz val="6.5"/>
        <rFont val="Arial"/>
        <family val="2"/>
      </rPr>
      <t>INSTALAÇÃO DE ESCAPAMENTO</t>
    </r>
  </si>
  <si>
    <r>
      <rPr>
        <sz val="6.5"/>
        <rFont val="Arial MT"/>
        <family val="2"/>
      </rPr>
      <t>1.3.1.</t>
    </r>
  </si>
  <si>
    <r>
      <rPr>
        <sz val="6.5"/>
        <rFont val="Arial MT"/>
        <family val="2"/>
      </rPr>
      <t xml:space="preserve">ASSENTAMENTO DE PECAS, CONEXOES, APARELHOS E ACESSORIOS DE FERRO FUNDIDO DUCTIL, JUNTA ELASTICA, MECANICA OU
</t>
    </r>
    <r>
      <rPr>
        <sz val="6.5"/>
        <rFont val="Arial MT"/>
        <family val="2"/>
      </rPr>
      <t>FLANGEADA, COM DIAMETROS DE 50 A 300 MM.</t>
    </r>
  </si>
  <si>
    <r>
      <rPr>
        <sz val="6.5"/>
        <rFont val="Arial MT"/>
        <family val="2"/>
      </rPr>
      <t>KG</t>
    </r>
  </si>
  <si>
    <r>
      <rPr>
        <b/>
        <sz val="6.5"/>
        <rFont val="Arial"/>
        <family val="2"/>
      </rPr>
      <t>1.4.</t>
    </r>
  </si>
  <si>
    <t>PAINEL DE TRANSFERENCIA AUTOMÁTICA - FORNECIMENTO, MONTAGEM E INSTALAÇÃO</t>
  </si>
  <si>
    <r>
      <rPr>
        <sz val="6.5"/>
        <rFont val="Arial MT"/>
        <family val="2"/>
      </rPr>
      <t>1.4.1.</t>
    </r>
  </si>
  <si>
    <r>
      <rPr>
        <sz val="6.5"/>
        <rFont val="Arial MT"/>
        <family val="2"/>
      </rPr>
      <t>COT001</t>
    </r>
  </si>
  <si>
    <r>
      <rPr>
        <sz val="6.5"/>
        <rFont val="Arial MT"/>
        <family val="2"/>
      </rPr>
      <t>1.4.2.</t>
    </r>
  </si>
  <si>
    <r>
      <rPr>
        <sz val="6.5"/>
        <rFont val="Arial MT"/>
        <family val="2"/>
      </rPr>
      <t>COT002</t>
    </r>
  </si>
  <si>
    <r>
      <rPr>
        <sz val="6.5"/>
        <rFont val="Arial MT"/>
        <family val="2"/>
      </rPr>
      <t xml:space="preserve">DISJUNTOR TRIPOLAR TIPO CAIXA MOLDADA 800A, 55KA, SEM
</t>
    </r>
    <r>
      <rPr>
        <sz val="6.5"/>
        <rFont val="Arial MT"/>
        <family val="2"/>
      </rPr>
      <t>DISPARADOR</t>
    </r>
  </si>
  <si>
    <r>
      <rPr>
        <sz val="6.5"/>
        <rFont val="Arial MT"/>
        <family val="2"/>
      </rPr>
      <t>1.4.3.</t>
    </r>
  </si>
  <si>
    <r>
      <rPr>
        <sz val="6.5"/>
        <rFont val="Arial MT"/>
        <family val="2"/>
      </rPr>
      <t>COT003</t>
    </r>
  </si>
  <si>
    <r>
      <rPr>
        <sz val="6.5"/>
        <rFont val="Arial MT"/>
        <family val="2"/>
      </rPr>
      <t>CONTATOR TRIPOLAR DE FORÇA 1000A, 220VAC</t>
    </r>
  </si>
  <si>
    <r>
      <rPr>
        <sz val="6.5"/>
        <rFont val="Arial MT"/>
        <family val="2"/>
      </rPr>
      <t>PÇ</t>
    </r>
  </si>
  <si>
    <r>
      <rPr>
        <sz val="6.5"/>
        <rFont val="Arial MT"/>
        <family val="2"/>
      </rPr>
      <t>1.4.4.</t>
    </r>
  </si>
  <si>
    <r>
      <rPr>
        <sz val="6.5"/>
        <rFont val="Arial MT"/>
        <family val="2"/>
      </rPr>
      <t>COT004</t>
    </r>
  </si>
  <si>
    <r>
      <rPr>
        <sz val="6.5"/>
        <rFont val="Arial MT"/>
        <family val="2"/>
      </rPr>
      <t>BLOCO DE CONTATO LATERAL P/ CONTATOR TRIPOLAR 1000A</t>
    </r>
  </si>
  <si>
    <r>
      <rPr>
        <sz val="6.5"/>
        <rFont val="Arial MT"/>
        <family val="2"/>
      </rPr>
      <t>1.4.5.</t>
    </r>
  </si>
  <si>
    <r>
      <rPr>
        <sz val="6.5"/>
        <rFont val="Arial MT"/>
        <family val="2"/>
      </rPr>
      <t>COT005</t>
    </r>
  </si>
  <si>
    <r>
      <rPr>
        <sz val="6.5"/>
        <rFont val="Arial MT"/>
        <family val="2"/>
      </rPr>
      <t>INTERTRAVAMENTO MECÂNICO PARA CONTATOR TRIPOLAR 1000A</t>
    </r>
  </si>
  <si>
    <r>
      <rPr>
        <sz val="6.5"/>
        <rFont val="Arial MT"/>
        <family val="2"/>
      </rPr>
      <t>1.4.6.</t>
    </r>
  </si>
  <si>
    <r>
      <rPr>
        <sz val="6.5"/>
        <rFont val="Arial MT"/>
        <family val="2"/>
      </rPr>
      <t>COT007</t>
    </r>
  </si>
  <si>
    <r>
      <rPr>
        <sz val="6.5"/>
        <rFont val="Arial MT"/>
        <family val="2"/>
      </rPr>
      <t>TRANSFORMADOR DE CORRENTE PARA PROTEÇÃO, 800:5A, 5VA C0,5</t>
    </r>
  </si>
  <si>
    <r>
      <rPr>
        <sz val="6.5"/>
        <rFont val="Arial MT"/>
        <family val="2"/>
      </rPr>
      <t>1.4.7.</t>
    </r>
  </si>
  <si>
    <r>
      <rPr>
        <sz val="6.5"/>
        <rFont val="Arial MT"/>
        <family val="2"/>
      </rPr>
      <t>COT010</t>
    </r>
  </si>
  <si>
    <r>
      <rPr>
        <sz val="6.5"/>
        <rFont val="Arial MT"/>
        <family val="2"/>
      </rPr>
      <t>POLICARBONATO CRISTAL 5MM</t>
    </r>
  </si>
  <si>
    <r>
      <rPr>
        <sz val="6.5"/>
        <rFont val="Arial MT"/>
        <family val="2"/>
      </rPr>
      <t>1.4.8.</t>
    </r>
  </si>
  <si>
    <r>
      <rPr>
        <sz val="6.5"/>
        <rFont val="Arial MT"/>
        <family val="2"/>
      </rPr>
      <t>COT011</t>
    </r>
  </si>
  <si>
    <r>
      <rPr>
        <sz val="6.5"/>
        <rFont val="Arial MT"/>
        <family val="2"/>
      </rPr>
      <t>ISOLADOR PARALELO 30X60 C/ ROSCA 1/4"</t>
    </r>
  </si>
  <si>
    <r>
      <rPr>
        <sz val="6.5"/>
        <rFont val="Arial MT"/>
        <family val="2"/>
      </rPr>
      <t>1.4.9.</t>
    </r>
  </si>
  <si>
    <r>
      <rPr>
        <sz val="6.5"/>
        <rFont val="Arial MT"/>
        <family val="2"/>
      </rPr>
      <t>COT012</t>
    </r>
  </si>
  <si>
    <r>
      <rPr>
        <sz val="6.5"/>
        <rFont val="Arial MT"/>
        <family val="2"/>
      </rPr>
      <t>BR</t>
    </r>
  </si>
  <si>
    <r>
      <rPr>
        <sz val="6.5"/>
        <rFont val="Arial MT"/>
        <family val="2"/>
      </rPr>
      <t>1.4.10.</t>
    </r>
  </si>
  <si>
    <r>
      <rPr>
        <sz val="6.5"/>
        <rFont val="Arial MT"/>
        <family val="2"/>
      </rPr>
      <t>COT013</t>
    </r>
  </si>
  <si>
    <r>
      <rPr>
        <sz val="6.5"/>
        <rFont val="Arial MT"/>
        <family val="2"/>
      </rPr>
      <t>BARRA DE COBRE 3/8"x2.1/2" CANTOS VIVOS</t>
    </r>
  </si>
  <si>
    <r>
      <rPr>
        <sz val="6.5"/>
        <rFont val="Arial MT"/>
        <family val="2"/>
      </rPr>
      <t>1.4.11.</t>
    </r>
  </si>
  <si>
    <r>
      <rPr>
        <sz val="6.5"/>
        <rFont val="Arial MT"/>
        <family val="2"/>
      </rPr>
      <t>COT014</t>
    </r>
  </si>
  <si>
    <r>
      <rPr>
        <sz val="6.5"/>
        <rFont val="Arial MT"/>
        <family val="2"/>
      </rPr>
      <t>CANALETA PVC PERFURADA 40X40, COR AZUL PETRÓLEO</t>
    </r>
  </si>
  <si>
    <r>
      <rPr>
        <sz val="6.5"/>
        <rFont val="Arial MT"/>
        <family val="2"/>
      </rPr>
      <t>1.4.12.</t>
    </r>
  </si>
  <si>
    <r>
      <rPr>
        <sz val="6.5"/>
        <rFont val="Arial MT"/>
        <family val="2"/>
      </rPr>
      <t>COT015</t>
    </r>
  </si>
  <si>
    <r>
      <rPr>
        <sz val="6.5"/>
        <rFont val="Arial MT"/>
        <family val="2"/>
      </rPr>
      <t>CABO FLEX #1,0MM2, ISOLAÇÃO 450/750V, NA COR PRETA</t>
    </r>
  </si>
  <si>
    <r>
      <rPr>
        <sz val="6.5"/>
        <rFont val="Arial MT"/>
        <family val="2"/>
      </rPr>
      <t>MT</t>
    </r>
  </si>
  <si>
    <r>
      <rPr>
        <sz val="6.5"/>
        <rFont val="Arial MT"/>
        <family val="2"/>
      </rPr>
      <t>1.4.13.</t>
    </r>
  </si>
  <si>
    <r>
      <rPr>
        <sz val="6.5"/>
        <rFont val="Arial MT"/>
        <family val="2"/>
      </rPr>
      <t>COT016</t>
    </r>
  </si>
  <si>
    <r>
      <rPr>
        <sz val="6.5"/>
        <rFont val="Arial MT"/>
        <family val="2"/>
      </rPr>
      <t>CABO FLEX #1,5MM2, ISOLAÇÃO 450/750V, NA COR PRETA</t>
    </r>
  </si>
  <si>
    <r>
      <rPr>
        <sz val="6.5"/>
        <rFont val="Arial MT"/>
        <family val="2"/>
      </rPr>
      <t>1.4.14.</t>
    </r>
  </si>
  <si>
    <r>
      <rPr>
        <sz val="6.5"/>
        <rFont val="Arial MT"/>
        <family val="2"/>
      </rPr>
      <t>COT017</t>
    </r>
  </si>
  <si>
    <r>
      <rPr>
        <sz val="6.5"/>
        <rFont val="Arial MT"/>
        <family val="2"/>
      </rPr>
      <t>CABO FLEX #1,5MM2, ISOLAÇÃO 450/750V, NA COR AZUL</t>
    </r>
  </si>
  <si>
    <r>
      <rPr>
        <sz val="6.5"/>
        <rFont val="Arial MT"/>
        <family val="2"/>
      </rPr>
      <t>1.4.15.</t>
    </r>
  </si>
  <si>
    <r>
      <rPr>
        <sz val="6.5"/>
        <rFont val="Arial MT"/>
        <family val="2"/>
      </rPr>
      <t>COT018</t>
    </r>
  </si>
  <si>
    <r>
      <rPr>
        <sz val="6.5"/>
        <rFont val="Arial MT"/>
        <family val="2"/>
      </rPr>
      <t>CABO FLEX #2,5MM2, ISOLAÇÃO 450/750V, NA COR PRETA</t>
    </r>
  </si>
  <si>
    <r>
      <rPr>
        <sz val="6.5"/>
        <rFont val="Arial MT"/>
        <family val="2"/>
      </rPr>
      <t>1.4.16.</t>
    </r>
  </si>
  <si>
    <r>
      <rPr>
        <sz val="6.5"/>
        <rFont val="Arial MT"/>
        <family val="2"/>
      </rPr>
      <t>COT019</t>
    </r>
  </si>
  <si>
    <r>
      <rPr>
        <sz val="6.5"/>
        <rFont val="Arial MT"/>
        <family val="2"/>
      </rPr>
      <t>CABO FLEX #2,5MM2, ISOLAÇÃO 450/750V, NA COR AZUL</t>
    </r>
  </si>
  <si>
    <r>
      <rPr>
        <sz val="6.5"/>
        <rFont val="Arial MT"/>
        <family val="2"/>
      </rPr>
      <t>1.4.17.</t>
    </r>
  </si>
  <si>
    <r>
      <rPr>
        <sz val="6.5"/>
        <rFont val="Arial MT"/>
        <family val="2"/>
      </rPr>
      <t>COT020</t>
    </r>
  </si>
  <si>
    <r>
      <rPr>
        <sz val="6.5"/>
        <rFont val="Arial MT"/>
        <family val="2"/>
      </rPr>
      <t>CABO FLEX #2,5MM2, ISOLAÇÃO 450/750V, NA COR VERDE</t>
    </r>
  </si>
  <si>
    <r>
      <rPr>
        <sz val="6.5"/>
        <rFont val="Arial MT"/>
        <family val="2"/>
      </rPr>
      <t>1.4.18.</t>
    </r>
  </si>
  <si>
    <r>
      <rPr>
        <sz val="6.5"/>
        <rFont val="Arial MT"/>
        <family val="2"/>
      </rPr>
      <t>COT021</t>
    </r>
  </si>
  <si>
    <r>
      <rPr>
        <sz val="6.5"/>
        <rFont val="Arial MT"/>
        <family val="2"/>
      </rPr>
      <t>GARRA FINAL PARA BORNE SAK</t>
    </r>
  </si>
  <si>
    <r>
      <rPr>
        <sz val="6.5"/>
        <rFont val="Arial MT"/>
        <family val="2"/>
      </rPr>
      <t>1.4.19.</t>
    </r>
  </si>
  <si>
    <r>
      <rPr>
        <sz val="6.5"/>
        <rFont val="Arial MT"/>
        <family val="2"/>
      </rPr>
      <t>COT022</t>
    </r>
  </si>
  <si>
    <r>
      <rPr>
        <sz val="6.5"/>
        <rFont val="Arial MT"/>
        <family val="2"/>
      </rPr>
      <t>CONECTOR SAK #2,5MM2</t>
    </r>
  </si>
  <si>
    <r>
      <rPr>
        <sz val="6.5"/>
        <rFont val="Arial MT"/>
        <family val="2"/>
      </rPr>
      <t>1.4.20.</t>
    </r>
  </si>
  <si>
    <r>
      <rPr>
        <sz val="6.5"/>
        <rFont val="Arial MT"/>
        <family val="2"/>
      </rPr>
      <t>COT023</t>
    </r>
  </si>
  <si>
    <r>
      <rPr>
        <sz val="6.5"/>
        <rFont val="Arial MT"/>
        <family val="2"/>
      </rPr>
      <t>CONECTOR SAK #2,5MM2 NA COR AZUL</t>
    </r>
  </si>
  <si>
    <r>
      <rPr>
        <sz val="6.5"/>
        <rFont val="Arial MT"/>
        <family val="2"/>
      </rPr>
      <t>1.4.21.</t>
    </r>
  </si>
  <si>
    <r>
      <rPr>
        <sz val="6.5"/>
        <rFont val="Arial MT"/>
        <family val="2"/>
      </rPr>
      <t>COT024</t>
    </r>
  </si>
  <si>
    <r>
      <rPr>
        <sz val="6.5"/>
        <rFont val="Arial MT"/>
        <family val="2"/>
      </rPr>
      <t>CONECTOR SAK #2,5MM2 TERRA</t>
    </r>
  </si>
  <si>
    <r>
      <rPr>
        <sz val="6.5"/>
        <rFont val="Arial MT"/>
        <family val="2"/>
      </rPr>
      <t>1.4.22.</t>
    </r>
  </si>
  <si>
    <r>
      <rPr>
        <sz val="6.5"/>
        <rFont val="Arial MT"/>
        <family val="2"/>
      </rPr>
      <t>ELETRICISTA COM ENCARGOS COMPLEMENTARES</t>
    </r>
  </si>
  <si>
    <r>
      <rPr>
        <b/>
        <sz val="6.5"/>
        <rFont val="Arial"/>
        <family val="2"/>
      </rPr>
      <t>1.5.</t>
    </r>
  </si>
  <si>
    <r>
      <rPr>
        <b/>
        <sz val="6.5"/>
        <rFont val="Arial"/>
        <family val="2"/>
      </rPr>
      <t>SUPRAESTRUTURA ELÉTRICA</t>
    </r>
  </si>
  <si>
    <r>
      <rPr>
        <sz val="6.5"/>
        <rFont val="Arial MT"/>
        <family val="2"/>
      </rPr>
      <t>1.5.1.</t>
    </r>
  </si>
  <si>
    <r>
      <rPr>
        <sz val="6.5"/>
        <rFont val="Arial MT"/>
        <family val="2"/>
      </rPr>
      <t>FIXAÇÃO DE TUBOS HORIZONTAIS DE PVC, CPVC OU COBRE DIÂMETROS MENORES OU IGUAIS A 40 MM OU ELETROCALHAS ATÉ 150MM DE LARGURA, COM ABRAÇADEIRA METÁLICA RÍGIDA TIPO D 1/2,</t>
    </r>
    <r>
      <rPr>
        <sz val="6.5"/>
        <rFont val="Microsoft Sans Serif"/>
        <family val="2"/>
      </rPr>
      <t xml:space="preserve"> 
</t>
    </r>
    <r>
      <rPr>
        <sz val="6.5"/>
        <rFont val="Arial MT"/>
        <family val="2"/>
      </rPr>
      <t>FIXADA EM PERFILADO EM LAJE. AF_05/2015</t>
    </r>
  </si>
  <si>
    <r>
      <rPr>
        <sz val="6.5"/>
        <rFont val="Arial MT"/>
        <family val="2"/>
      </rPr>
      <t>M</t>
    </r>
  </si>
  <si>
    <r>
      <rPr>
        <sz val="6.5"/>
        <rFont val="Arial MT"/>
        <family val="2"/>
      </rPr>
      <t>1.5.2.</t>
    </r>
  </si>
  <si>
    <r>
      <rPr>
        <sz val="6.5"/>
        <rFont val="Arial MT"/>
        <family val="2"/>
      </rPr>
      <t>TERMINAL A PRESSAO REFORCADO PARA CONEXAO DE CABO DE COBRE A BARRA, CABO 150 E 185MM2 - FORNECIMENTO E INSTALACAO</t>
    </r>
  </si>
  <si>
    <r>
      <rPr>
        <sz val="6.5"/>
        <rFont val="Arial MT"/>
        <family val="2"/>
      </rPr>
      <t>UN</t>
    </r>
  </si>
  <si>
    <r>
      <rPr>
        <sz val="6.5"/>
        <rFont val="Arial MT"/>
        <family val="2"/>
      </rPr>
      <t>1.5.3.</t>
    </r>
  </si>
  <si>
    <r>
      <rPr>
        <sz val="6.5"/>
        <rFont val="Arial MT"/>
        <family val="2"/>
      </rPr>
      <t>CABO DE COBRE FLEXÍVEL ISOLADO, 185 MM², ANTI-CHAMA 0,6/1,0 KV, PARA DISTRIBUIÇÃO - FORNECIMENTO E INSTALAÇÃO. AF_12/2015</t>
    </r>
  </si>
  <si>
    <r>
      <rPr>
        <sz val="6.5"/>
        <rFont val="Arial MT"/>
        <family val="2"/>
      </rPr>
      <t>1.5.4.</t>
    </r>
  </si>
  <si>
    <r>
      <rPr>
        <sz val="6.5"/>
        <rFont val="Arial MT"/>
        <family val="2"/>
      </rPr>
      <t xml:space="preserve">PERFILADO DE SEÇÃO 38X76 MM PARA SUPORTE DE ELETROCALHA LISA OU PERFURADA EM AÇO GALVANIZADO, LARGURA 200 OU 400 MM
</t>
    </r>
    <r>
      <rPr>
        <sz val="6.5"/>
        <rFont val="Arial MT"/>
        <family val="2"/>
      </rPr>
      <t>E ALTURA 50 MM. AF_07/2017</t>
    </r>
  </si>
  <si>
    <r>
      <rPr>
        <sz val="6.5"/>
        <rFont val="Arial MT"/>
        <family val="2"/>
      </rPr>
      <t>1.5.5.</t>
    </r>
  </si>
  <si>
    <r>
      <rPr>
        <sz val="6.5"/>
        <rFont val="Arial MT"/>
        <family val="2"/>
      </rPr>
      <t>COT027</t>
    </r>
  </si>
  <si>
    <r>
      <rPr>
        <sz val="6.5"/>
        <rFont val="Arial MT"/>
        <family val="2"/>
      </rPr>
      <t>1.5.6.</t>
    </r>
  </si>
  <si>
    <r>
      <rPr>
        <sz val="6.5"/>
        <rFont val="Arial MT"/>
        <family val="2"/>
      </rPr>
      <t>COT028</t>
    </r>
  </si>
  <si>
    <r>
      <rPr>
        <sz val="6.5"/>
        <rFont val="Arial MT"/>
        <family val="2"/>
      </rPr>
      <t>1.5.7.</t>
    </r>
  </si>
  <si>
    <r>
      <rPr>
        <sz val="6.5"/>
        <rFont val="Arial MT"/>
        <family val="2"/>
      </rPr>
      <t>COT029</t>
    </r>
  </si>
  <si>
    <r>
      <rPr>
        <sz val="6.5"/>
        <rFont val="Arial MT"/>
        <family val="2"/>
      </rPr>
      <t>1.5.8.</t>
    </r>
  </si>
  <si>
    <r>
      <rPr>
        <sz val="6.5"/>
        <rFont val="Arial MT"/>
        <family val="2"/>
      </rPr>
      <t>COT030</t>
    </r>
  </si>
  <si>
    <r>
      <rPr>
        <sz val="6.5"/>
        <rFont val="Arial MT"/>
        <family val="2"/>
      </rPr>
      <t>1.5.9.</t>
    </r>
  </si>
  <si>
    <r>
      <rPr>
        <sz val="6.5"/>
        <rFont val="Arial MT"/>
        <family val="2"/>
      </rPr>
      <t>COT031</t>
    </r>
  </si>
  <si>
    <r>
      <rPr>
        <sz val="6.5"/>
        <rFont val="Arial MT"/>
        <family val="2"/>
      </rPr>
      <t>1.5.10.</t>
    </r>
  </si>
  <si>
    <r>
      <rPr>
        <b/>
        <sz val="6.5"/>
        <rFont val="Arial"/>
        <family val="2"/>
      </rPr>
      <t>1.6.</t>
    </r>
  </si>
  <si>
    <r>
      <rPr>
        <b/>
        <sz val="6.5"/>
        <rFont val="Arial"/>
        <family val="2"/>
      </rPr>
      <t>SISTEMA DE EXAUSTÃO DE AR QUENTE</t>
    </r>
  </si>
  <si>
    <r>
      <rPr>
        <sz val="6.5"/>
        <rFont val="Arial MT"/>
        <family val="2"/>
      </rPr>
      <t>1.6.1.</t>
    </r>
  </si>
  <si>
    <r>
      <rPr>
        <sz val="6.5"/>
        <rFont val="Arial MT"/>
        <family val="2"/>
      </rPr>
      <t xml:space="preserve">ESQUADRIA EM CHAPA METÁLICA TIPO VENEZIANA FIXA COM
</t>
    </r>
    <r>
      <rPr>
        <sz val="6.5"/>
        <rFont val="Arial MT"/>
        <family val="2"/>
      </rPr>
      <t>VENTILAÇÃO  J-20</t>
    </r>
  </si>
  <si>
    <r>
      <rPr>
        <sz val="6.5"/>
        <rFont val="Arial MT"/>
        <family val="2"/>
      </rPr>
      <t>m2</t>
    </r>
  </si>
  <si>
    <r>
      <rPr>
        <sz val="6.5"/>
        <rFont val="Arial MT"/>
        <family val="2"/>
      </rPr>
      <t>1.6.2.</t>
    </r>
  </si>
  <si>
    <r>
      <rPr>
        <sz val="6.5"/>
        <rFont val="Arial MT"/>
        <family val="2"/>
      </rPr>
      <t>CALHA DE CHAPA GALVANIZADA</t>
    </r>
  </si>
  <si>
    <r>
      <rPr>
        <sz val="6.5"/>
        <rFont val="Arial MT"/>
        <family val="2"/>
      </rPr>
      <t>1.6.3.</t>
    </r>
  </si>
  <si>
    <r>
      <rPr>
        <sz val="6.5"/>
        <rFont val="Arial MT"/>
        <family val="2"/>
      </rPr>
      <t>SERRALHEIRO COM ENCARGOS COMPLEMENTARES</t>
    </r>
  </si>
  <si>
    <r>
      <rPr>
        <sz val="6.5"/>
        <rFont val="Arial MT"/>
        <family val="2"/>
      </rPr>
      <t>1.6.4.</t>
    </r>
  </si>
  <si>
    <r>
      <rPr>
        <sz val="6.5"/>
        <rFont val="Arial MT"/>
        <family val="2"/>
      </rPr>
      <t xml:space="preserve">DEMOLIÇÃO DE ALVENARIA DE BLOCO FURADO, DE FORMA MANUAL,
</t>
    </r>
    <r>
      <rPr>
        <sz val="6.5"/>
        <rFont val="Arial MT"/>
        <family val="2"/>
      </rPr>
      <t>SEM REAPROVEITAMENTO. AF_12/2017</t>
    </r>
  </si>
  <si>
    <r>
      <rPr>
        <sz val="6.5"/>
        <rFont val="Arial MT"/>
        <family val="2"/>
      </rPr>
      <t>1.6.5.</t>
    </r>
  </si>
  <si>
    <r>
      <rPr>
        <sz val="6.5"/>
        <rFont val="Arial MT"/>
        <family val="2"/>
      </rPr>
      <t xml:space="preserve">FIXAÇÃO (ENCUNHAMENTO) DE ALVENARIA DE VEDAÇÃO COM TIJOLO
</t>
    </r>
    <r>
      <rPr>
        <sz val="6.5"/>
        <rFont val="Arial MT"/>
        <family val="2"/>
      </rPr>
      <t>MACIÇO. AF_03/2016</t>
    </r>
  </si>
  <si>
    <r>
      <rPr>
        <sz val="6.5"/>
        <rFont val="Arial MT"/>
        <family val="2"/>
      </rPr>
      <t>1.6.6.</t>
    </r>
  </si>
  <si>
    <r>
      <rPr>
        <sz val="6.5"/>
        <rFont val="Arial MT"/>
        <family val="2"/>
      </rPr>
      <t xml:space="preserve">FIXAÇÃO (ENCUNHAMENTO) DE ALVENARIA DE VEDAÇÃO COM ESPUMA
</t>
    </r>
    <r>
      <rPr>
        <sz val="6.5"/>
        <rFont val="Arial MT"/>
        <family val="2"/>
      </rPr>
      <t>DE POLIURETANO EXPANSIVA. AF_03/2016</t>
    </r>
  </si>
  <si>
    <r>
      <rPr>
        <b/>
        <sz val="6.5"/>
        <rFont val="Arial"/>
        <family val="2"/>
      </rPr>
      <t>1.7.</t>
    </r>
  </si>
  <si>
    <r>
      <rPr>
        <b/>
        <sz val="6.5"/>
        <rFont val="Arial"/>
        <family val="2"/>
      </rPr>
      <t>TUBULAÇÃO DE DIESEL</t>
    </r>
  </si>
  <si>
    <r>
      <rPr>
        <sz val="6.5"/>
        <rFont val="Arial MT"/>
        <family val="2"/>
      </rPr>
      <t>1.7.1.</t>
    </r>
  </si>
  <si>
    <r>
      <rPr>
        <sz val="6.5"/>
        <rFont val="Arial MT"/>
        <family val="2"/>
      </rPr>
      <t>SINAPI-I</t>
    </r>
  </si>
  <si>
    <r>
      <rPr>
        <sz val="6.5"/>
        <rFont val="Arial MT"/>
        <family val="2"/>
      </rPr>
      <t>VALVULA DE ESFERA BRUTA EM BRONZE, BITOLA 2 " (REF 1552-B)</t>
    </r>
  </si>
  <si>
    <r>
      <rPr>
        <sz val="6.5"/>
        <rFont val="Arial MT"/>
        <family val="2"/>
      </rPr>
      <t>1.7.2.</t>
    </r>
  </si>
  <si>
    <r>
      <rPr>
        <sz val="6.5"/>
        <rFont val="Arial MT"/>
        <family val="2"/>
      </rPr>
      <t xml:space="preserve">SOLDA DE TOPO EM CHAPA/PERFIL/TUBO DE AÇO CHANFRADO,
</t>
    </r>
    <r>
      <rPr>
        <sz val="6.5"/>
        <rFont val="Arial MT"/>
        <family val="2"/>
      </rPr>
      <t>ESPESSURA=1/4''. AF_06/2018</t>
    </r>
  </si>
  <si>
    <r>
      <rPr>
        <sz val="6.5"/>
        <rFont val="Arial MT"/>
        <family val="2"/>
      </rPr>
      <t>1.7.3.</t>
    </r>
  </si>
  <si>
    <r>
      <rPr>
        <sz val="6.5"/>
        <rFont val="Arial MT"/>
        <family val="2"/>
      </rPr>
      <t xml:space="preserve">TUBO DE AÇO GALVANIZADO COM COSTURA, CLASSE MÉDIA, CONEXÃO
</t>
    </r>
    <r>
      <rPr>
        <sz val="6.5"/>
        <rFont val="Arial MT"/>
        <family val="2"/>
      </rPr>
      <t>RANHURADA, DN 65 (2 1/2"), INSTALADO EM PRUMADAS - FORNECIMENTO E INSTALAÇÃO. AF_12/2015</t>
    </r>
  </si>
  <si>
    <r>
      <rPr>
        <b/>
        <sz val="6.5"/>
        <rFont val="Arial"/>
        <family val="2"/>
      </rPr>
      <t>1.8.</t>
    </r>
  </si>
  <si>
    <r>
      <rPr>
        <b/>
        <sz val="6.5"/>
        <rFont val="Arial"/>
        <family val="2"/>
      </rPr>
      <t>FINALIZAÇÃO</t>
    </r>
  </si>
  <si>
    <r>
      <rPr>
        <sz val="6.5"/>
        <rFont val="Arial MT"/>
        <family val="2"/>
      </rPr>
      <t>1.8.1.</t>
    </r>
  </si>
  <si>
    <r>
      <rPr>
        <sz val="6.5"/>
        <rFont val="Arial MT"/>
        <family val="2"/>
      </rPr>
      <t>LIMPEZA DE SUPERFÍCIE COM JATO DE ALTA PRESSÃO. AF_04/2019</t>
    </r>
  </si>
  <si>
    <r>
      <rPr>
        <sz val="7.5"/>
        <rFont val="Arial MT"/>
        <family val="2"/>
      </rPr>
      <t>Observações:</t>
    </r>
  </si>
  <si>
    <r>
      <rPr>
        <b/>
        <sz val="7.5"/>
        <rFont val="Arial"/>
        <family val="2"/>
      </rPr>
      <t>Foi considerado arredondamento de duas casas decimais para Quantidade; Custo Unitário; BDI; Preço Unitário; Preço Total.</t>
    </r>
  </si>
  <si>
    <r>
      <rPr>
        <sz val="6.5"/>
        <rFont val="Arial MT"/>
        <family val="2"/>
      </rPr>
      <t>Siglas da Composição do Investimento: RA - Rateio proporcional entre Repasse e Contrapartida; RP - 100% Repasse; CP - 100% Contrapartida; OU - 100% Outros.</t>
    </r>
  </si>
  <si>
    <t>Serv</t>
  </si>
  <si>
    <t>Serv/mat</t>
  </si>
  <si>
    <t>Fornecim</t>
  </si>
  <si>
    <r>
      <rPr>
        <b/>
        <sz val="10"/>
        <rFont val="Arial"/>
        <family val="2"/>
      </rPr>
      <t xml:space="preserve">NOME DO EMPREENDIMENTO / DESCRIÇÃO DO LOTE
</t>
    </r>
    <r>
      <rPr>
        <sz val="9"/>
        <rFont val="Arial MT"/>
        <family val="2"/>
      </rPr>
      <t>GERAÇÃO REDUNDANTE 500KVA +500KVA / GERAÇÃO REDUNDANTE 500KVA +500KVA</t>
    </r>
  </si>
  <si>
    <r>
      <rPr>
        <sz val="9"/>
        <rFont val="Arial MT"/>
        <family val="2"/>
      </rPr>
      <t>Conforme legislação tributária municipal, definir estimativa de percentual da base de cálculo para o ISS:</t>
    </r>
  </si>
  <si>
    <r>
      <rPr>
        <sz val="9"/>
        <rFont val="Arial MT"/>
        <family val="2"/>
      </rPr>
      <t>Sobre a base de cálculo, definir a respectiva alíquota do ISS (entre 2% e 5%):</t>
    </r>
  </si>
  <si>
    <r>
      <rPr>
        <b/>
        <sz val="12"/>
        <rFont val="Arial"/>
        <family val="2"/>
      </rPr>
      <t>BDI 1</t>
    </r>
  </si>
  <si>
    <r>
      <rPr>
        <b/>
        <sz val="10"/>
        <rFont val="Arial"/>
        <family val="2"/>
      </rPr>
      <t>TIPO DE OBRA</t>
    </r>
  </si>
  <si>
    <t>Construções Elétricas</t>
  </si>
  <si>
    <r>
      <rPr>
        <b/>
        <sz val="11"/>
        <rFont val="Arial"/>
        <family val="2"/>
      </rPr>
      <t>Itens</t>
    </r>
  </si>
  <si>
    <r>
      <rPr>
        <b/>
        <sz val="11"/>
        <rFont val="Arial"/>
        <family val="2"/>
      </rPr>
      <t>Siglas</t>
    </r>
  </si>
  <si>
    <r>
      <rPr>
        <b/>
        <sz val="11"/>
        <rFont val="Arial"/>
        <family val="2"/>
      </rPr>
      <t xml:space="preserve">%
</t>
    </r>
    <r>
      <rPr>
        <b/>
        <sz val="11"/>
        <rFont val="Arial"/>
        <family val="2"/>
      </rPr>
      <t>Adotado</t>
    </r>
  </si>
  <si>
    <r>
      <rPr>
        <sz val="10"/>
        <rFont val="Arial MT"/>
        <family val="2"/>
      </rPr>
      <t>Administração Central</t>
    </r>
  </si>
  <si>
    <r>
      <rPr>
        <sz val="11"/>
        <rFont val="Arial MT"/>
        <family val="2"/>
      </rPr>
      <t>AC</t>
    </r>
  </si>
  <si>
    <r>
      <rPr>
        <sz val="10"/>
        <rFont val="Arial MT"/>
        <family val="2"/>
      </rPr>
      <t>Seguro e Garantia</t>
    </r>
  </si>
  <si>
    <r>
      <rPr>
        <sz val="11"/>
        <rFont val="Arial MT"/>
        <family val="2"/>
      </rPr>
      <t>SG</t>
    </r>
  </si>
  <si>
    <r>
      <rPr>
        <sz val="10"/>
        <rFont val="Arial MT"/>
        <family val="2"/>
      </rPr>
      <t>Risco</t>
    </r>
  </si>
  <si>
    <r>
      <rPr>
        <sz val="11"/>
        <rFont val="Arial MT"/>
        <family val="2"/>
      </rPr>
      <t>R</t>
    </r>
  </si>
  <si>
    <r>
      <rPr>
        <sz val="10"/>
        <rFont val="Arial MT"/>
        <family val="2"/>
      </rPr>
      <t>Despesas Financeiras</t>
    </r>
  </si>
  <si>
    <r>
      <rPr>
        <sz val="11"/>
        <rFont val="Arial MT"/>
        <family val="2"/>
      </rPr>
      <t>DF</t>
    </r>
  </si>
  <si>
    <r>
      <rPr>
        <sz val="10"/>
        <rFont val="Arial MT"/>
        <family val="2"/>
      </rPr>
      <t>Lucro</t>
    </r>
  </si>
  <si>
    <r>
      <rPr>
        <sz val="11"/>
        <rFont val="Arial MT"/>
        <family val="2"/>
      </rPr>
      <t>L</t>
    </r>
  </si>
  <si>
    <t>Tributos (impostos COFINS 6,08%, e  PIS 1,32%)</t>
  </si>
  <si>
    <r>
      <rPr>
        <sz val="11"/>
        <rFont val="Arial MT"/>
        <family val="2"/>
      </rPr>
      <t>CP</t>
    </r>
  </si>
  <si>
    <r>
      <rPr>
        <sz val="10"/>
        <rFont val="Arial MT"/>
        <family val="2"/>
      </rPr>
      <t>Tributos (ISS, variável de acordo com o município)</t>
    </r>
  </si>
  <si>
    <r>
      <rPr>
        <sz val="11"/>
        <rFont val="Arial MT"/>
        <family val="2"/>
      </rPr>
      <t>ISS</t>
    </r>
  </si>
  <si>
    <r>
      <rPr>
        <sz val="10"/>
        <rFont val="Arial MT"/>
        <family val="2"/>
      </rPr>
      <t>Tributos (Contribuição Previdenciária sobre a Receita Bruta - 0% ou 4,5% - Desoneração)</t>
    </r>
  </si>
  <si>
    <r>
      <rPr>
        <sz val="11"/>
        <rFont val="Arial MT"/>
        <family val="2"/>
      </rPr>
      <t>CPRB</t>
    </r>
  </si>
  <si>
    <r>
      <rPr>
        <sz val="10"/>
        <rFont val="Arial MT"/>
        <family val="2"/>
      </rPr>
      <t>BDI SEM desoneração (Fórmula Acórdão TCU)</t>
    </r>
  </si>
  <si>
    <r>
      <rPr>
        <sz val="11"/>
        <rFont val="Arial MT"/>
        <family val="2"/>
      </rPr>
      <t>BDI PAD</t>
    </r>
  </si>
  <si>
    <t>Fornecimento de Equipamentos e de Materiais</t>
  </si>
  <si>
    <r>
      <rPr>
        <sz val="10"/>
        <rFont val="Arial MT"/>
        <family val="2"/>
      </rPr>
      <t xml:space="preserve">Os valores de BDI foram calculados com o emprego da fórmula:
</t>
    </r>
    <r>
      <rPr>
        <i/>
        <vertAlign val="subscript"/>
        <sz val="12"/>
        <rFont val="Calibri"/>
        <family val="1"/>
      </rPr>
      <t xml:space="preserve">BDI =       </t>
    </r>
    <r>
      <rPr>
        <i/>
        <u/>
        <sz val="12"/>
        <rFont val="Calibri"/>
        <family val="1"/>
      </rPr>
      <t>(1+AC + S + R + G)*(1 + DF)*(1+L)</t>
    </r>
    <r>
      <rPr>
        <i/>
        <sz val="12"/>
        <rFont val="Calibri"/>
        <family val="1"/>
      </rPr>
      <t xml:space="preserve">       </t>
    </r>
    <r>
      <rPr>
        <i/>
        <vertAlign val="subscript"/>
        <sz val="12"/>
        <rFont val="Calibri"/>
        <family val="1"/>
      </rPr>
      <t xml:space="preserve">- 1
</t>
    </r>
    <r>
      <rPr>
        <i/>
        <sz val="12"/>
        <rFont val="Calibri"/>
        <family val="1"/>
      </rPr>
      <t>(1-CP-ISS-CRPB)</t>
    </r>
  </si>
  <si>
    <t>(item 1.4.13 da planilha orçamentária)</t>
  </si>
  <si>
    <t>(item 1.4.12 da planilha orçamentária)</t>
  </si>
  <si>
    <t>(item 1.4.20 da planilha orçamentária)</t>
  </si>
  <si>
    <t>CONECTOR SAK #2,5MM2 TERRA
(item 1.4.21 da planilha orçamentária)</t>
  </si>
  <si>
    <t>Procuradoria-Geral De Justiça Do Estado Do Tocantins
P. E 032/2022</t>
  </si>
  <si>
    <t>TOTAL (item 1.1)</t>
  </si>
  <si>
    <t>TOTAL (item 1.2)</t>
  </si>
  <si>
    <t>TOTAL (item 1.3)</t>
  </si>
  <si>
    <t>TOTAL (item 1.4)</t>
  </si>
  <si>
    <t>TOTAL (item 1.5)</t>
  </si>
  <si>
    <t>TOTAL (item 1.6)</t>
  </si>
  <si>
    <t>PAINEL COM SOLEIRA, 1800X600X600, COM PORTA PROJETOS E ALÇAS
PARA IÇAMENTO</t>
  </si>
  <si>
    <t>TOTAL (item 1.7)</t>
  </si>
  <si>
    <t>TOTAL (item 1.8)</t>
  </si>
  <si>
    <t>BDI 1</t>
  </si>
  <si>
    <t>G</t>
  </si>
  <si>
    <t>Para os itens com preços destacados, foram utilizados preços das tabela de Custos de Obras Civis (AGETOP)- janeiro/2023 nos itens de menor valor que a referência da tabela SINAPI, Conforme previsto pelo artigo 3° do DECRETO PRESIDENCIAL Nº 7.983, DE 8 DE ABRIL DE 2013, os preços adotados são aqueles constantes dos sistemas de referência indicados.</t>
  </si>
  <si>
    <t>Para elaboração deste orçamento, foram utilizados os encargos sociais do SINAPI para a Unidade da Federação indicada.</t>
  </si>
  <si>
    <r>
      <rPr>
        <b/>
        <sz val="11"/>
        <color theme="1"/>
        <rFont val="Calibri"/>
        <family val="2"/>
        <scheme val="minor"/>
      </rPr>
      <t>GRUPO GERADOR CUMMINS
LINHA DIESE</t>
    </r>
    <r>
      <rPr>
        <sz val="11"/>
        <color theme="1"/>
        <rFont val="Calibri"/>
        <family val="2"/>
        <scheme val="minor"/>
      </rPr>
      <t>L, MONTADO (Item 1.2.1 - planilha orçamentária) sobre longarinas,
com potência de 500 kVA - 400 kWe, trifásico, com fator de potência 0,8, na tensão de 380 / 220 Vca em 60 Hz, composto de:
MOTOR
(item 1.2.1 da planilha orçamentária)</t>
    </r>
  </si>
  <si>
    <t xml:space="preserve">PRESTADORA
</t>
  </si>
  <si>
    <t xml:space="preserve">ORÇAMENTISTA
</t>
  </si>
  <si>
    <t>GRUPO GERADOR CUMMINS, LINHA DIESEL, MONTADO sobre longarinas,
com potência de 500 kVA - 400 kWe, trifásico, com fator de potência 0,8, na tensão de 380 / 220 Vca em 60 Hz, composto de:
MOTOR
- Motor CUMMINS, modelo C400-D6.
- Características: Injeção direta, 4 tempos e refrigerado a água por radiador.
- Aspiração: Turboalimentado.
- Sistema elétrico: alternador para carga de bateria e motor de partida em 24 Vcc.
- Regulagem de velocidade: eletrônica.
- Sensor para detecção da redução do nível d'água do radiador do motor. GERADOR
- Características: síncrono, sem escovas (Brushless), trifásico, classe de isolação H, com impregnação
a vácuo, ligação estrela com neutro acessível, 4 pólos, de mancal único com acoplamento por discos
flexíveis, enrolamento do estator com passo encurtado, com excitatriz rotativa alimentada por bobina
auxiliar e regulador eletrônico de tensão instalado junto ao gerador.
- Tensão nominal: 380 Vca 60 Hz.
- Grau de proteção: IP21 BASE METÁLICA
- Características: de estrutura robusta e integralmente soldada, com fundo fechado, fabricada a partir
de longarinas e travessas de aço carbono, possui reforços nos locais de apoio dos equipamentos, o que
garante o alinhamento adequado e a estabilidade estrutural do conjunto. USCA
- Quadro de comando automático, dotado de microcontrolador INTELiLITE AMF25, montado em caixa metálica, isolado da máquina, dotado de porta devidamente reforçada, com compartimentos separados
para comando e força, conforme solicita a NR10, contendo visor de acrílico</t>
  </si>
  <si>
    <t>84647*</t>
  </si>
  <si>
    <t>83724*</t>
  </si>
  <si>
    <t>73782/4*</t>
  </si>
  <si>
    <t>96562*</t>
  </si>
  <si>
    <t>11747*</t>
  </si>
  <si>
    <t>Processo SEI n. 0001935-73.2022.4.90.8000</t>
  </si>
  <si>
    <t xml:space="preserve"> Comando da Aeronáutica
GRUPAMENTO DE APOIO LOGÍSTICO
P. E n. 287/2022
05/01/2023</t>
  </si>
  <si>
    <t>SINAPI-202212-BA-NAODES-1624</t>
  </si>
  <si>
    <t>SINAPI-202212-GO-NAODES-1624</t>
  </si>
  <si>
    <t>CBT-STU/REC-Superintendência de Trens Urbanos de Recife
P. E. 70/2022</t>
  </si>
  <si>
    <t>Fundacao Oswaldo Cruz Instit De Tec Em Farmacos
Nota fiscal 1230738734794000190550010000051071189837002 5107 1 
04/07/2023</t>
  </si>
  <si>
    <t>Fonte de Preços</t>
  </si>
  <si>
    <t>JAM ENGENHARIA S.A.
CNPJ: 38.734.794/0001-90</t>
  </si>
  <si>
    <t>Conselho da Justiça Fedral
P.E n. 03/2023</t>
  </si>
  <si>
    <t>LEAO ENERGIA INDUSTRIA DE GERADORES LTDA
CNPJ: : 10.837.578/0001-50</t>
  </si>
  <si>
    <t>acima da média</t>
  </si>
  <si>
    <t>da média dos preços obtidos</t>
  </si>
  <si>
    <t>acima da média dos preços obtidos.</t>
  </si>
  <si>
    <t>da média dos preços</t>
  </si>
  <si>
    <t xml:space="preserve">acima da média dos preços </t>
  </si>
  <si>
    <t>da média dos preços. Considerado por haver menos de 3 preços válidos</t>
  </si>
  <si>
    <t>acima da média dos preços CONSIDERADO por haver menos de 3 preços válidos</t>
  </si>
  <si>
    <t>CRITÉRIOS ESTATÍSTICOS DA AMOSTRA</t>
  </si>
  <si>
    <t>CRITÉRIOS ESTATÍSTICOS GERAIS</t>
  </si>
  <si>
    <t>DESVIO PADRÃO</t>
  </si>
  <si>
    <t>COEFICIENTE DE VARIAÇÃO(%)</t>
  </si>
  <si>
    <t>MÉTODO ESTATÍSTICO</t>
  </si>
  <si>
    <t>Preços execessivamente elevados: superior a 25% da média simples dos cesta de preços obtidos</t>
  </si>
  <si>
    <t>Inexequível: inferior a 75% da média da cesta de preços obtidos</t>
  </si>
  <si>
    <t xml:space="preserve">acima da média dos preços obtidos
</t>
  </si>
  <si>
    <t xml:space="preserve">acima da média dos preços obtidos. Considerado, por haver menos de três preços válidos
</t>
  </si>
  <si>
    <t>acima da média simples dos preços. Considerado, por haver menos de três preços válidos</t>
  </si>
  <si>
    <t>AVALIÇÃO2</t>
  </si>
  <si>
    <t>da média do preços obtidos</t>
  </si>
  <si>
    <t xml:space="preserve">acima da média dos preços obtidos. </t>
  </si>
  <si>
    <t xml:space="preserve">acima da média simples dos preços. </t>
  </si>
  <si>
    <t>acima da média dos preços obtidos. CONSIDERADO, por haver menos de 3 preços válidos</t>
  </si>
  <si>
    <t>acima média do preços obtidos</t>
  </si>
  <si>
    <t>acima da média do preços obtidos</t>
  </si>
  <si>
    <t>da média dos preços obtidos.</t>
  </si>
  <si>
    <t>N/A</t>
  </si>
  <si>
    <t>O serviço comercializado em dólar?</t>
  </si>
  <si>
    <t xml:space="preserve">Há, pelo menos, 3 empresas ME e EPP participando da cotação? </t>
  </si>
  <si>
    <t>Há flagrante diferença de preços entre ME/EPP e ampla concorrência?</t>
  </si>
  <si>
    <t xml:space="preserve">GERENCIAMENTO DOS RISCOS:
*Os potenciais riscos devem ser explicitados na informação da unidade.
*Os potenciais riscos devem ser explicitados na informação da unidade.
*Os riscos que influenciam diretemente na seleção do fornecedor devem ser encaminhados à Seção de Licitações.
* 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
</t>
  </si>
  <si>
    <t>acima da média dos preços obtidos</t>
  </si>
  <si>
    <t>SINAPI-202212-PA-DES-1624</t>
  </si>
  <si>
    <t xml:space="preserve"> COMANDO DE FRONTEIRA JURUA E 61º BIS 52121 - Comando do Exército - Comando do Exército
Dispensa de Licitação n. 19/2022
(19/05/2022)</t>
  </si>
  <si>
    <t xml:space="preserve">J L DA COSTA EIRELI 32082507890
CNPJ: 42.111.098/0001-02 </t>
  </si>
  <si>
    <t xml:space="preserve">acima da média.
</t>
  </si>
  <si>
    <t xml:space="preserve">da média dos preços </t>
  </si>
  <si>
    <t>acima da média dos preços</t>
  </si>
  <si>
    <t>percentual</t>
  </si>
  <si>
    <t>(item 1.4.4 da planilha orçamentária)</t>
  </si>
  <si>
    <t>(item 1.4.6 da planilha orçamentária)</t>
  </si>
  <si>
    <r>
      <t>Observações</t>
    </r>
    <r>
      <rPr>
        <sz val="10"/>
        <color rgb="FF000000"/>
        <rFont val="Calibri"/>
        <family val="2"/>
        <scheme val="minor"/>
      </rPr>
      <t xml:space="preserve">:
</t>
    </r>
    <r>
      <rPr>
        <b/>
        <sz val="10"/>
        <color rgb="FF000000"/>
        <rFont val="Calibri"/>
        <family val="2"/>
        <scheme val="minor"/>
      </rPr>
      <t xml:space="preserve">1. </t>
    </r>
    <r>
      <rPr>
        <sz val="10"/>
        <color rgb="FF000000"/>
        <rFont val="Calibri"/>
        <family val="2"/>
        <scheme val="minor"/>
      </rPr>
      <t xml:space="preserve">O parâmetro utilizado na pesquisa foi com base nos incisos I, II, III, do §2º do art. 23 da Lei n. 14.133/2021, por se tratar de contratações de obras e serviços de engenharia: aos quais sejam: tabela Sistema Nacional de Pesquisa de Custos e Índices da Construção Civil (Sinapi), período setembro/2023 e dez/2022 para os itens que não constam na anterior; Tabela de Custos de Obras Ceivis - julho/2023, divulgada pela Agência Goiana de Transporte de e Obras (AGETOP); e contratações similares feitas pela Administração Pública, em execução ou concluídas no período de 1 (um) ano anterior à data da pesquisa de preços, observado o índice de atualização de preços correspondente.
2. Utilizou-se ainda, como parâmtro o preços de proposta comercial de fornecedores, visto não haver preço públicos para todos os itens.
</t>
    </r>
    <r>
      <rPr>
        <b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. Os valores obtidos na pesquisa foram avaliados criticamente e, assim, utilizou-se: a MÉDIA, devido a homogeneidade dos preços, para os seguintes subitens 1.2.1; 1.4.2; 1.4.3; 1.4.7; 1.4.12; 1.4.13; 1.4.14; 1.4.15; 1.4.16; 1.4.17; 1.4.19; 1.4.20; 1.5.5; 1.5.6; e a MEDIANA para os subitens 1.4.1; 1.4.4; 1.4.5; 1.4.6; 1.4.8; 1.4.9; 1.4.10; 1.4.11; 1.4.18; 1.4.21; 1.5.7; 1.5.8; 1.5.9, por esta não ser afetada pelas significativas variações, não comprometendo a estimativa do preço de referência e representando de forma satisfatória os preços praticados no mercado.
</t>
    </r>
    <r>
      <rPr>
        <b/>
        <sz val="10"/>
        <color rgb="FF000000"/>
        <rFont val="Calibri"/>
        <family val="2"/>
        <scheme val="minor"/>
      </rPr>
      <t>4</t>
    </r>
    <r>
      <rPr>
        <sz val="10"/>
        <color rgb="FF000000"/>
        <rFont val="Calibri"/>
        <family val="2"/>
        <scheme val="minor"/>
      </rPr>
      <t xml:space="preserve">.  2.  Para os itens que não são das tabelas oficiais, foram DESCONSIDERADOS os valores superiores a 25 % da media total (geral), conforme Cap. 3, Inc. XXV do Manual de Pesquisa de preços do STJ, salvo os subitens 1.4.7 (policabornato cristal); 1.4.8 (Isolador); 1.4.10 (barra de cobre); 1.4.18 (garra final), tendo em vista que não restou o mínimo de três preços válidos e por serem preços públicos . Quanto aos os valores considerados inexequíveis, menor que 75% da média simples da série de preços coletados, também foram DESCONSIDERADOS, a despeito da metodologia que vem sendo utilizada por esta seção, objetivando a aplicabilidade do mesmo entendimento para preços que muito destoam da média, sejam inexequíveis ou excessivos, exceto para os subitens 1.4.4 (bloco de contato); 1.4.6 (transformador); 1.4.7 (Policarbonato); 1.4.8 (isolador paralelo); 1.4.10 (barra de cobre); 1.5.5 (curva vertical); 1.5.7 (emenda eletrocalha); 1.5.9 (terminal eletrocalha) , visto que não restou o mínimo de três preços válidos e por serem preços públicos.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</si>
</sst>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"/>
  </numFmts>
  <fonts count="10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6.5"/>
      <name val="Arial MT"/>
    </font>
    <font>
      <sz val="6.5"/>
      <name val="Arial MT"/>
      <family val="2"/>
    </font>
    <font>
      <sz val="8"/>
      <color rgb="FF333333"/>
      <name val="Open Sans"/>
      <family val="2"/>
    </font>
    <font>
      <sz val="9"/>
      <color theme="9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9C5700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sz val="10"/>
      <name val="Arial MT"/>
    </font>
    <font>
      <sz val="10"/>
      <color rgb="FF000000"/>
      <name val="Times New Roman"/>
      <family val="1"/>
    </font>
    <font>
      <sz val="6.5"/>
      <name val="Arial"/>
      <family val="2"/>
    </font>
    <font>
      <b/>
      <sz val="6.5"/>
      <name val="Arial"/>
      <family val="2"/>
    </font>
    <font>
      <sz val="6.5"/>
      <name val="Times New Roman"/>
      <family val="1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6.5"/>
      <color rgb="FF000000"/>
      <name val="Arial MT"/>
      <family val="2"/>
    </font>
    <font>
      <sz val="6.5"/>
      <name val="Microsoft Sans Serif"/>
      <family val="2"/>
    </font>
    <font>
      <sz val="7.5"/>
      <name val="Arial MT"/>
    </font>
    <font>
      <sz val="7.5"/>
      <name val="Arial MT"/>
      <family val="2"/>
    </font>
    <font>
      <b/>
      <sz val="7.5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 MT"/>
      <family val="2"/>
    </font>
    <font>
      <sz val="9"/>
      <name val="Arial MT"/>
    </font>
    <font>
      <sz val="9"/>
      <color rgb="FF000000"/>
      <name val="Arial MT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MT"/>
      <family val="2"/>
    </font>
    <font>
      <sz val="11"/>
      <name val="Arial MT"/>
    </font>
    <font>
      <sz val="11"/>
      <name val="Arial MT"/>
      <family val="2"/>
    </font>
    <font>
      <sz val="11"/>
      <name val="Arial"/>
      <family val="2"/>
    </font>
    <font>
      <sz val="11"/>
      <color rgb="FF000000"/>
      <name val="Arial MT"/>
      <family val="2"/>
    </font>
    <font>
      <b/>
      <sz val="11"/>
      <color rgb="FF000000"/>
      <name val="Arial"/>
      <family val="2"/>
    </font>
    <font>
      <i/>
      <vertAlign val="subscript"/>
      <sz val="12"/>
      <name val="Calibri"/>
      <family val="1"/>
    </font>
    <font>
      <i/>
      <u/>
      <sz val="12"/>
      <name val="Calibri"/>
      <family val="1"/>
    </font>
    <font>
      <i/>
      <sz val="12"/>
      <name val="Calibri"/>
      <family val="1"/>
    </font>
    <font>
      <i/>
      <sz val="12"/>
      <name val="Calibri"/>
      <family val="2"/>
    </font>
    <font>
      <i/>
      <u/>
      <sz val="12"/>
      <name val="Calibri"/>
      <family val="2"/>
    </font>
    <font>
      <b/>
      <sz val="11"/>
      <name val="Calibri"/>
      <family val="2"/>
      <scheme val="minor"/>
    </font>
    <font>
      <b/>
      <sz val="6.5"/>
      <color rgb="FF000000"/>
      <name val="Arial MT"/>
    </font>
    <font>
      <b/>
      <sz val="6.5"/>
      <name val="Arial MT"/>
    </font>
    <font>
      <sz val="6.5"/>
      <name val="Times New Roman"/>
      <family val="2"/>
    </font>
    <font>
      <sz val="6.5"/>
      <color rgb="FFFF0000"/>
      <name val="Arial MT"/>
      <family val="2"/>
    </font>
    <font>
      <sz val="6.5"/>
      <color rgb="FFFF0000"/>
      <name val="Arial MT"/>
    </font>
    <font>
      <sz val="9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9C570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9C5700"/>
      <name val="Arial"/>
      <family val="2"/>
    </font>
    <font>
      <b/>
      <sz val="9"/>
      <color rgb="FF006100"/>
      <name val="Arial"/>
      <family val="2"/>
    </font>
    <font>
      <sz val="9"/>
      <color theme="1"/>
      <name val="Arial"/>
      <family val="2"/>
    </font>
    <font>
      <sz val="9"/>
      <color rgb="FF9C0006"/>
      <name val="Arial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959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indexed="43"/>
        <bgColor indexed="26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59999389629810485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8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20" applyNumberFormat="0" applyFill="0" applyAlignment="0" applyProtection="0"/>
    <xf numFmtId="0" fontId="5" fillId="10" borderId="0" applyNumberFormat="0" applyBorder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9" fontId="5" fillId="0" borderId="0" applyFont="0" applyFill="0" applyBorder="0" applyAlignment="0" applyProtection="0"/>
    <xf numFmtId="0" fontId="24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7" fillId="0" borderId="0"/>
  </cellStyleXfs>
  <cellXfs count="72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left" vertical="center"/>
    </xf>
    <xf numFmtId="44" fontId="9" fillId="0" borderId="0" xfId="0" applyNumberFormat="1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4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44" fontId="15" fillId="0" borderId="0" xfId="0" applyNumberFormat="1" applyFont="1" applyAlignment="1">
      <alignment horizontal="center" vertical="center"/>
    </xf>
    <xf numFmtId="0" fontId="13" fillId="10" borderId="0" xfId="8" applyFont="1"/>
    <xf numFmtId="0" fontId="13" fillId="10" borderId="0" xfId="8" applyFont="1" applyAlignment="1">
      <alignment horizontal="center" vertical="center"/>
    </xf>
    <xf numFmtId="44" fontId="13" fillId="0" borderId="0" xfId="0" quotePrefix="1" applyNumberFormat="1" applyFont="1" applyAlignment="1">
      <alignment horizontal="left" vertical="center"/>
    </xf>
    <xf numFmtId="44" fontId="20" fillId="0" borderId="0" xfId="10" applyNumberFormat="1" applyFill="1" applyBorder="1" applyAlignment="1">
      <alignment horizontal="center" vertical="center"/>
    </xf>
    <xf numFmtId="0" fontId="20" fillId="0" borderId="24" xfId="10" applyAlignment="1"/>
    <xf numFmtId="0" fontId="19" fillId="0" borderId="23" xfId="9" applyFill="1" applyAlignment="1">
      <alignment horizontal="left" vertical="center"/>
    </xf>
    <xf numFmtId="0" fontId="19" fillId="0" borderId="23" xfId="9" applyFill="1"/>
    <xf numFmtId="0" fontId="19" fillId="0" borderId="23" xfId="9" applyFill="1" applyAlignment="1">
      <alignment horizontal="center" vertical="center"/>
    </xf>
    <xf numFmtId="44" fontId="19" fillId="0" borderId="23" xfId="9" applyNumberFormat="1" applyFill="1" applyAlignment="1">
      <alignment horizontal="center" vertical="center"/>
    </xf>
    <xf numFmtId="44" fontId="15" fillId="0" borderId="0" xfId="8" applyNumberFormat="1" applyFont="1" applyFill="1" applyBorder="1" applyAlignment="1">
      <alignment horizontal="center" vertical="center"/>
    </xf>
    <xf numFmtId="0" fontId="13" fillId="0" borderId="0" xfId="8" applyFont="1" applyFill="1" applyAlignment="1">
      <alignment horizontal="center" vertical="center"/>
    </xf>
    <xf numFmtId="44" fontId="13" fillId="0" borderId="0" xfId="8" applyNumberFormat="1" applyFont="1" applyFill="1" applyAlignment="1">
      <alignment horizontal="center" vertical="center"/>
    </xf>
    <xf numFmtId="44" fontId="5" fillId="0" borderId="0" xfId="15" quotePrefix="1" applyNumberFormat="1" applyFill="1" applyAlignment="1">
      <alignment horizontal="left" vertical="center"/>
    </xf>
    <xf numFmtId="0" fontId="26" fillId="0" borderId="24" xfId="10" applyFont="1" applyAlignment="1"/>
    <xf numFmtId="0" fontId="27" fillId="10" borderId="0" xfId="8" applyFont="1" applyAlignment="1">
      <alignment horizontal="left" vertical="center"/>
    </xf>
    <xf numFmtId="0" fontId="13" fillId="0" borderId="0" xfId="8" applyFont="1" applyFill="1"/>
    <xf numFmtId="9" fontId="16" fillId="17" borderId="15" xfId="13" applyFont="1" applyFill="1" applyBorder="1" applyAlignment="1">
      <alignment horizontal="center" vertical="center"/>
    </xf>
    <xf numFmtId="9" fontId="16" fillId="17" borderId="16" xfId="13" applyFont="1" applyFill="1" applyBorder="1" applyAlignment="1">
      <alignment horizontal="center" vertical="center"/>
    </xf>
    <xf numFmtId="9" fontId="16" fillId="17" borderId="11" xfId="13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3" fillId="2" borderId="3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9" fontId="12" fillId="7" borderId="18" xfId="6" applyNumberFormat="1" applyFont="1" applyBorder="1" applyAlignment="1">
      <alignment horizontal="center" vertical="center" wrapText="1"/>
    </xf>
    <xf numFmtId="4" fontId="16" fillId="17" borderId="22" xfId="0" applyNumberFormat="1" applyFont="1" applyFill="1" applyBorder="1" applyAlignment="1">
      <alignment horizontal="center" vertical="center"/>
    </xf>
    <xf numFmtId="9" fontId="12" fillId="7" borderId="8" xfId="6" applyNumberFormat="1" applyFont="1" applyBorder="1" applyAlignment="1">
      <alignment horizontal="center" vertical="center" wrapText="1"/>
    </xf>
    <xf numFmtId="0" fontId="12" fillId="7" borderId="7" xfId="6" applyFont="1" applyBorder="1" applyAlignment="1">
      <alignment horizontal="center" vertical="center" wrapText="1"/>
    </xf>
    <xf numFmtId="9" fontId="12" fillId="7" borderId="6" xfId="6" applyNumberFormat="1" applyFont="1" applyBorder="1" applyAlignment="1">
      <alignment horizontal="center" vertical="center" wrapText="1"/>
    </xf>
    <xf numFmtId="9" fontId="12" fillId="7" borderId="7" xfId="6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11" fillId="0" borderId="20" xfId="7" applyAlignment="1">
      <alignment horizontal="center"/>
    </xf>
    <xf numFmtId="4" fontId="13" fillId="2" borderId="5" xfId="0" applyNumberFormat="1" applyFont="1" applyFill="1" applyBorder="1" applyAlignment="1">
      <alignment horizontal="center" vertical="center"/>
    </xf>
    <xf numFmtId="0" fontId="33" fillId="0" borderId="0" xfId="0" applyFont="1"/>
    <xf numFmtId="0" fontId="0" fillId="19" borderId="0" xfId="0" applyFill="1"/>
    <xf numFmtId="164" fontId="16" fillId="8" borderId="38" xfId="0" applyNumberFormat="1" applyFont="1" applyFill="1" applyBorder="1" applyAlignment="1">
      <alignment vertical="center"/>
    </xf>
    <xf numFmtId="0" fontId="12" fillId="7" borderId="6" xfId="6" applyFont="1" applyBorder="1" applyAlignment="1">
      <alignment horizontal="center" vertical="center"/>
    </xf>
    <xf numFmtId="44" fontId="12" fillId="7" borderId="12" xfId="6" applyNumberFormat="1" applyFont="1" applyBorder="1" applyAlignment="1">
      <alignment horizontal="center" vertical="center" wrapText="1"/>
    </xf>
    <xf numFmtId="44" fontId="12" fillId="7" borderId="6" xfId="6" applyNumberFormat="1" applyFont="1" applyBorder="1" applyAlignment="1">
      <alignment horizontal="center" vertical="center" wrapText="1"/>
    </xf>
    <xf numFmtId="44" fontId="12" fillId="7" borderId="8" xfId="6" applyNumberFormat="1" applyFont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/>
    </xf>
    <xf numFmtId="44" fontId="16" fillId="17" borderId="26" xfId="0" applyNumberFormat="1" applyFont="1" applyFill="1" applyBorder="1" applyAlignment="1">
      <alignment horizontal="center" vertical="center"/>
    </xf>
    <xf numFmtId="44" fontId="16" fillId="18" borderId="22" xfId="0" applyNumberFormat="1" applyFont="1" applyFill="1" applyBorder="1" applyAlignment="1">
      <alignment horizontal="center" vertical="center"/>
    </xf>
    <xf numFmtId="44" fontId="16" fillId="18" borderId="5" xfId="0" applyNumberFormat="1" applyFont="1" applyFill="1" applyBorder="1" applyAlignment="1">
      <alignment horizontal="center" vertical="center"/>
    </xf>
    <xf numFmtId="4" fontId="16" fillId="17" borderId="5" xfId="0" applyNumberFormat="1" applyFont="1" applyFill="1" applyBorder="1" applyAlignment="1">
      <alignment horizontal="center" vertical="center"/>
    </xf>
    <xf numFmtId="0" fontId="27" fillId="0" borderId="0" xfId="8" applyFont="1" applyFill="1" applyAlignment="1">
      <alignment horizontal="left" vertical="center"/>
    </xf>
    <xf numFmtId="44" fontId="12" fillId="0" borderId="0" xfId="6" applyNumberFormat="1" applyFont="1" applyFill="1" applyBorder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4" fontId="16" fillId="17" borderId="5" xfId="0" applyNumberFormat="1" applyFont="1" applyFill="1" applyBorder="1" applyAlignment="1">
      <alignment horizontal="center" vertical="center"/>
    </xf>
    <xf numFmtId="44" fontId="16" fillId="17" borderId="26" xfId="0" applyNumberFormat="1" applyFont="1" applyFill="1" applyBorder="1" applyAlignment="1">
      <alignment horizontal="center" vertical="center" wrapText="1"/>
    </xf>
    <xf numFmtId="44" fontId="16" fillId="17" borderId="1" xfId="0" applyNumberFormat="1" applyFont="1" applyFill="1" applyBorder="1" applyAlignment="1">
      <alignment horizontal="center" vertical="center" wrapText="1"/>
    </xf>
    <xf numFmtId="44" fontId="16" fillId="17" borderId="22" xfId="0" applyNumberFormat="1" applyFont="1" applyFill="1" applyBorder="1" applyAlignment="1">
      <alignment horizontal="center" vertical="center"/>
    </xf>
    <xf numFmtId="0" fontId="35" fillId="7" borderId="7" xfId="6" applyFont="1" applyBorder="1" applyAlignment="1">
      <alignment horizontal="center" vertical="center" wrapText="1"/>
    </xf>
    <xf numFmtId="0" fontId="28" fillId="0" borderId="0" xfId="0" applyFont="1"/>
    <xf numFmtId="44" fontId="25" fillId="0" borderId="0" xfId="0" applyNumberFormat="1" applyFont="1" applyAlignment="1">
      <alignment horizontal="center" vertical="center"/>
    </xf>
    <xf numFmtId="44" fontId="28" fillId="0" borderId="0" xfId="0" applyNumberFormat="1" applyFont="1" applyAlignment="1">
      <alignment horizontal="center" vertical="center"/>
    </xf>
    <xf numFmtId="44" fontId="30" fillId="0" borderId="23" xfId="9" applyNumberFormat="1" applyFont="1" applyFill="1" applyAlignment="1">
      <alignment horizontal="center" vertical="center"/>
    </xf>
    <xf numFmtId="44" fontId="30" fillId="0" borderId="0" xfId="10" applyNumberFormat="1" applyFont="1" applyFill="1" applyBorder="1" applyAlignment="1">
      <alignment horizontal="center" vertical="center"/>
    </xf>
    <xf numFmtId="44" fontId="30" fillId="0" borderId="24" xfId="10" applyNumberFormat="1" applyFont="1" applyAlignment="1">
      <alignment horizontal="center" vertical="center"/>
    </xf>
    <xf numFmtId="44" fontId="28" fillId="10" borderId="0" xfId="8" applyNumberFormat="1" applyFont="1" applyAlignment="1">
      <alignment horizontal="center" vertical="center"/>
    </xf>
    <xf numFmtId="44" fontId="25" fillId="0" borderId="0" xfId="8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left"/>
    </xf>
    <xf numFmtId="44" fontId="25" fillId="0" borderId="0" xfId="0" applyNumberFormat="1" applyFont="1" applyAlignment="1">
      <alignment horizontal="center"/>
    </xf>
    <xf numFmtId="0" fontId="35" fillId="7" borderId="7" xfId="6" applyFont="1" applyBorder="1" applyAlignment="1">
      <alignment horizontal="center" vertical="center"/>
    </xf>
    <xf numFmtId="0" fontId="38" fillId="0" borderId="0" xfId="8" applyFont="1" applyFill="1" applyAlignment="1">
      <alignment horizontal="left" vertical="center"/>
    </xf>
    <xf numFmtId="0" fontId="28" fillId="0" borderId="0" xfId="8" applyFont="1" applyFill="1"/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30" fillId="0" borderId="0" xfId="7" applyFont="1" applyFill="1" applyBorder="1" applyAlignment="1">
      <alignment vertical="top"/>
    </xf>
    <xf numFmtId="0" fontId="13" fillId="0" borderId="0" xfId="8" applyFont="1" applyFill="1" applyBorder="1" applyAlignment="1">
      <alignment horizontal="center" vertical="center"/>
    </xf>
    <xf numFmtId="44" fontId="13" fillId="0" borderId="0" xfId="8" applyNumberFormat="1" applyFont="1" applyFill="1" applyBorder="1" applyAlignment="1">
      <alignment horizontal="center" vertical="center"/>
    </xf>
    <xf numFmtId="0" fontId="13" fillId="0" borderId="0" xfId="8" applyFont="1" applyFill="1" applyBorder="1"/>
    <xf numFmtId="0" fontId="27" fillId="0" borderId="0" xfId="8" applyFont="1" applyFill="1" applyBorder="1" applyAlignment="1">
      <alignment horizontal="left" vertical="center"/>
    </xf>
    <xf numFmtId="44" fontId="16" fillId="17" borderId="17" xfId="0" applyNumberFormat="1" applyFont="1" applyFill="1" applyBorder="1" applyAlignment="1">
      <alignment horizontal="center" vertical="center" wrapText="1"/>
    </xf>
    <xf numFmtId="0" fontId="43" fillId="0" borderId="42" xfId="17" applyFont="1" applyBorder="1" applyAlignment="1">
      <alignment horizontal="center" vertical="center" wrapText="1"/>
    </xf>
    <xf numFmtId="0" fontId="40" fillId="0" borderId="43" xfId="17" applyBorder="1" applyAlignment="1">
      <alignment horizontal="left" vertical="center" wrapText="1"/>
    </xf>
    <xf numFmtId="0" fontId="40" fillId="0" borderId="0" xfId="17" applyAlignment="1">
      <alignment horizontal="left" vertical="top"/>
    </xf>
    <xf numFmtId="0" fontId="40" fillId="0" borderId="42" xfId="17" applyBorder="1" applyAlignment="1">
      <alignment horizontal="left" vertical="center" wrapText="1"/>
    </xf>
    <xf numFmtId="0" fontId="43" fillId="0" borderId="39" xfId="17" applyFont="1" applyBorder="1" applyAlignment="1">
      <alignment horizontal="center" vertical="center" wrapText="1"/>
    </xf>
    <xf numFmtId="0" fontId="40" fillId="0" borderId="39" xfId="17" applyBorder="1" applyAlignment="1">
      <alignment horizontal="center" vertical="center" wrapText="1"/>
    </xf>
    <xf numFmtId="0" fontId="42" fillId="0" borderId="44" xfId="17" applyFont="1" applyBorder="1" applyAlignment="1">
      <alignment horizontal="center" vertical="center" wrapText="1"/>
    </xf>
    <xf numFmtId="0" fontId="42" fillId="0" borderId="45" xfId="17" applyFont="1" applyBorder="1" applyAlignment="1">
      <alignment horizontal="center" vertical="center" wrapText="1"/>
    </xf>
    <xf numFmtId="0" fontId="42" fillId="0" borderId="46" xfId="17" applyFont="1" applyBorder="1" applyAlignment="1">
      <alignment horizontal="center" vertical="center" wrapText="1"/>
    </xf>
    <xf numFmtId="0" fontId="40" fillId="21" borderId="1" xfId="17" applyFill="1" applyBorder="1" applyAlignment="1">
      <alignment horizontal="left" vertical="top"/>
    </xf>
    <xf numFmtId="0" fontId="40" fillId="0" borderId="0" xfId="17" applyAlignment="1">
      <alignment horizontal="left" vertical="center"/>
    </xf>
    <xf numFmtId="9" fontId="46" fillId="23" borderId="55" xfId="18" applyFont="1" applyFill="1" applyBorder="1" applyAlignment="1">
      <alignment horizontal="right" vertical="center" shrinkToFit="1"/>
    </xf>
    <xf numFmtId="0" fontId="42" fillId="24" borderId="57" xfId="17" applyFont="1" applyFill="1" applyBorder="1" applyAlignment="1">
      <alignment horizontal="left" vertical="center" wrapText="1"/>
    </xf>
    <xf numFmtId="0" fontId="40" fillId="24" borderId="36" xfId="17" applyFill="1" applyBorder="1" applyAlignment="1">
      <alignment horizontal="left" vertical="center" wrapText="1"/>
    </xf>
    <xf numFmtId="0" fontId="42" fillId="24" borderId="36" xfId="17" applyFont="1" applyFill="1" applyBorder="1" applyAlignment="1">
      <alignment horizontal="left" vertical="center" wrapText="1"/>
    </xf>
    <xf numFmtId="0" fontId="42" fillId="24" borderId="36" xfId="17" applyFont="1" applyFill="1" applyBorder="1" applyAlignment="1">
      <alignment horizontal="right" vertical="center" wrapText="1"/>
    </xf>
    <xf numFmtId="4" fontId="45" fillId="24" borderId="56" xfId="17" applyNumberFormat="1" applyFont="1" applyFill="1" applyBorder="1" applyAlignment="1">
      <alignment horizontal="right" vertical="center" shrinkToFit="1"/>
    </xf>
    <xf numFmtId="10" fontId="45" fillId="24" borderId="55" xfId="18" applyNumberFormat="1" applyFont="1" applyFill="1" applyBorder="1" applyAlignment="1">
      <alignment horizontal="right" vertical="center" shrinkToFit="1"/>
    </xf>
    <xf numFmtId="0" fontId="31" fillId="0" borderId="59" xfId="17" applyFont="1" applyBorder="1" applyAlignment="1">
      <alignment horizontal="left" vertical="center" wrapText="1"/>
    </xf>
    <xf numFmtId="0" fontId="31" fillId="25" borderId="36" xfId="17" applyFont="1" applyFill="1" applyBorder="1" applyAlignment="1">
      <alignment horizontal="left" vertical="center" wrapText="1"/>
    </xf>
    <xf numFmtId="1" fontId="48" fillId="26" borderId="36" xfId="17" applyNumberFormat="1" applyFont="1" applyFill="1" applyBorder="1" applyAlignment="1">
      <alignment horizontal="center" vertical="center" shrinkToFit="1"/>
    </xf>
    <xf numFmtId="0" fontId="31" fillId="26" borderId="36" xfId="17" applyFont="1" applyFill="1" applyBorder="1" applyAlignment="1">
      <alignment horizontal="left" vertical="center" wrapText="1"/>
    </xf>
    <xf numFmtId="0" fontId="31" fillId="26" borderId="36" xfId="17" applyFont="1" applyFill="1" applyBorder="1" applyAlignment="1">
      <alignment horizontal="center" vertical="center" wrapText="1"/>
    </xf>
    <xf numFmtId="2" fontId="48" fillId="0" borderId="36" xfId="17" applyNumberFormat="1" applyFont="1" applyBorder="1" applyAlignment="1">
      <alignment horizontal="right" vertical="center" shrinkToFit="1"/>
    </xf>
    <xf numFmtId="0" fontId="31" fillId="25" borderId="36" xfId="17" applyFont="1" applyFill="1" applyBorder="1" applyAlignment="1">
      <alignment horizontal="center" vertical="center" wrapText="1"/>
    </xf>
    <xf numFmtId="4" fontId="48" fillId="0" borderId="56" xfId="17" applyNumberFormat="1" applyFont="1" applyBorder="1" applyAlignment="1">
      <alignment horizontal="right" vertical="center" shrinkToFit="1"/>
    </xf>
    <xf numFmtId="9" fontId="48" fillId="0" borderId="56" xfId="18" applyFont="1" applyFill="1" applyBorder="1" applyAlignment="1">
      <alignment horizontal="right" vertical="center" shrinkToFit="1"/>
    </xf>
    <xf numFmtId="164" fontId="48" fillId="0" borderId="56" xfId="18" applyNumberFormat="1" applyFont="1" applyFill="1" applyBorder="1" applyAlignment="1">
      <alignment horizontal="right" vertical="center" shrinkToFit="1"/>
    </xf>
    <xf numFmtId="0" fontId="42" fillId="24" borderId="59" xfId="17" applyFont="1" applyFill="1" applyBorder="1" applyAlignment="1">
      <alignment horizontal="left" vertical="center" wrapText="1"/>
    </xf>
    <xf numFmtId="10" fontId="45" fillId="24" borderId="56" xfId="18" applyNumberFormat="1" applyFont="1" applyFill="1" applyBorder="1" applyAlignment="1">
      <alignment horizontal="right" vertical="center" shrinkToFit="1"/>
    </xf>
    <xf numFmtId="0" fontId="32" fillId="26" borderId="36" xfId="17" applyFont="1" applyFill="1" applyBorder="1" applyAlignment="1">
      <alignment horizontal="left" vertical="center" wrapText="1"/>
    </xf>
    <xf numFmtId="0" fontId="32" fillId="25" borderId="36" xfId="17" applyFont="1" applyFill="1" applyBorder="1" applyAlignment="1">
      <alignment horizontal="center" vertical="center" wrapText="1"/>
    </xf>
    <xf numFmtId="2" fontId="48" fillId="0" borderId="56" xfId="17" applyNumberFormat="1" applyFont="1" applyBorder="1" applyAlignment="1">
      <alignment horizontal="right" vertical="center" shrinkToFit="1"/>
    </xf>
    <xf numFmtId="0" fontId="40" fillId="26" borderId="36" xfId="17" applyFill="1" applyBorder="1" applyAlignment="1">
      <alignment horizontal="left" vertical="center" wrapText="1"/>
    </xf>
    <xf numFmtId="2" fontId="45" fillId="24" borderId="56" xfId="17" applyNumberFormat="1" applyFont="1" applyFill="1" applyBorder="1" applyAlignment="1">
      <alignment horizontal="right" vertical="center" shrinkToFit="1"/>
    </xf>
    <xf numFmtId="0" fontId="31" fillId="0" borderId="61" xfId="17" applyFont="1" applyBorder="1" applyAlignment="1">
      <alignment horizontal="left" vertical="top" wrapText="1"/>
    </xf>
    <xf numFmtId="0" fontId="31" fillId="25" borderId="62" xfId="17" applyFont="1" applyFill="1" applyBorder="1" applyAlignment="1">
      <alignment horizontal="left" vertical="top" wrapText="1" indent="2"/>
    </xf>
    <xf numFmtId="1" fontId="48" fillId="26" borderId="62" xfId="17" applyNumberFormat="1" applyFont="1" applyFill="1" applyBorder="1" applyAlignment="1">
      <alignment horizontal="center" vertical="top" shrinkToFit="1"/>
    </xf>
    <xf numFmtId="0" fontId="31" fillId="26" borderId="62" xfId="17" applyFont="1" applyFill="1" applyBorder="1" applyAlignment="1">
      <alignment horizontal="left" vertical="top" wrapText="1"/>
    </xf>
    <xf numFmtId="0" fontId="31" fillId="26" borderId="62" xfId="17" applyFont="1" applyFill="1" applyBorder="1" applyAlignment="1">
      <alignment horizontal="center" vertical="top" wrapText="1"/>
    </xf>
    <xf numFmtId="2" fontId="48" fillId="0" borderId="62" xfId="17" applyNumberFormat="1" applyFont="1" applyBorder="1" applyAlignment="1">
      <alignment horizontal="right" vertical="top" shrinkToFit="1"/>
    </xf>
    <xf numFmtId="0" fontId="31" fillId="25" borderId="62" xfId="17" applyFont="1" applyFill="1" applyBorder="1" applyAlignment="1">
      <alignment horizontal="center" vertical="top" wrapText="1"/>
    </xf>
    <xf numFmtId="2" fontId="48" fillId="0" borderId="63" xfId="17" applyNumberFormat="1" applyFont="1" applyBorder="1" applyAlignment="1">
      <alignment horizontal="right" vertical="top" shrinkToFit="1"/>
    </xf>
    <xf numFmtId="9" fontId="48" fillId="0" borderId="63" xfId="18" applyFont="1" applyFill="1" applyBorder="1" applyAlignment="1">
      <alignment horizontal="right" vertical="top" shrinkToFit="1"/>
    </xf>
    <xf numFmtId="9" fontId="48" fillId="0" borderId="0" xfId="18" applyFont="1" applyFill="1" applyBorder="1" applyAlignment="1">
      <alignment horizontal="right" vertical="top" shrinkToFit="1"/>
    </xf>
    <xf numFmtId="0" fontId="56" fillId="0" borderId="36" xfId="17" applyFont="1" applyBorder="1" applyAlignment="1">
      <alignment horizontal="left" vertical="top" wrapText="1"/>
    </xf>
    <xf numFmtId="0" fontId="56" fillId="0" borderId="58" xfId="17" applyFont="1" applyBorder="1" applyAlignment="1">
      <alignment horizontal="left" vertical="top" wrapText="1"/>
    </xf>
    <xf numFmtId="10" fontId="57" fillId="2" borderId="48" xfId="17" applyNumberFormat="1" applyFont="1" applyFill="1" applyBorder="1" applyAlignment="1">
      <alignment horizontal="center" vertical="top" shrinkToFit="1"/>
    </xf>
    <xf numFmtId="10" fontId="57" fillId="2" borderId="65" xfId="17" applyNumberFormat="1" applyFont="1" applyFill="1" applyBorder="1" applyAlignment="1">
      <alignment horizontal="center" vertical="top" shrinkToFit="1"/>
    </xf>
    <xf numFmtId="0" fontId="59" fillId="0" borderId="36" xfId="17" applyFont="1" applyBorder="1" applyAlignment="1">
      <alignment horizontal="center" vertical="top" wrapText="1"/>
    </xf>
    <xf numFmtId="0" fontId="40" fillId="0" borderId="36" xfId="17" applyBorder="1" applyAlignment="1">
      <alignment horizontal="center" vertical="top" wrapText="1"/>
    </xf>
    <xf numFmtId="0" fontId="39" fillId="0" borderId="36" xfId="17" applyFont="1" applyBorder="1" applyAlignment="1">
      <alignment horizontal="center" vertical="top" wrapText="1"/>
    </xf>
    <xf numFmtId="0" fontId="61" fillId="0" borderId="36" xfId="17" applyFont="1" applyBorder="1" applyAlignment="1">
      <alignment horizontal="center" vertical="top" wrapText="1"/>
    </xf>
    <xf numFmtId="10" fontId="63" fillId="27" borderId="67" xfId="19" applyNumberFormat="1" applyFont="1" applyFill="1" applyBorder="1" applyAlignment="1" applyProtection="1">
      <alignment horizontal="center" vertical="center"/>
      <protection locked="0"/>
    </xf>
    <xf numFmtId="0" fontId="60" fillId="0" borderId="36" xfId="17" applyFont="1" applyBorder="1" applyAlignment="1">
      <alignment horizontal="center" vertical="top" wrapText="1"/>
    </xf>
    <xf numFmtId="10" fontId="64" fillId="0" borderId="36" xfId="17" applyNumberFormat="1" applyFont="1" applyBorder="1" applyAlignment="1">
      <alignment horizontal="center" vertical="top" shrinkToFit="1"/>
    </xf>
    <xf numFmtId="10" fontId="65" fillId="0" borderId="36" xfId="17" applyNumberFormat="1" applyFont="1" applyBorder="1" applyAlignment="1">
      <alignment horizontal="center" vertical="top" shrinkToFit="1"/>
    </xf>
    <xf numFmtId="0" fontId="0" fillId="0" borderId="0" xfId="19" applyFont="1"/>
    <xf numFmtId="0" fontId="0" fillId="0" borderId="0" xfId="19" applyFont="1" applyAlignment="1">
      <alignment horizontal="center" vertical="top"/>
    </xf>
    <xf numFmtId="0" fontId="69" fillId="0" borderId="0" xfId="17" applyFont="1" applyAlignment="1">
      <alignment horizontal="right" vertical="center"/>
    </xf>
    <xf numFmtId="0" fontId="69" fillId="0" borderId="0" xfId="17" applyFont="1" applyAlignment="1">
      <alignment horizontal="left" vertical="center"/>
    </xf>
    <xf numFmtId="0" fontId="69" fillId="0" borderId="0" xfId="17" applyFont="1" applyAlignment="1">
      <alignment horizontal="center" vertical="top"/>
    </xf>
    <xf numFmtId="4" fontId="16" fillId="17" borderId="0" xfId="0" applyNumberFormat="1" applyFont="1" applyFill="1" applyAlignment="1">
      <alignment horizontal="center" vertical="center"/>
    </xf>
    <xf numFmtId="4" fontId="48" fillId="0" borderId="36" xfId="0" applyNumberFormat="1" applyFont="1" applyBorder="1" applyAlignment="1">
      <alignment horizontal="right" vertical="center" shrinkToFit="1"/>
    </xf>
    <xf numFmtId="0" fontId="31" fillId="0" borderId="36" xfId="17" applyFont="1" applyBorder="1" applyAlignment="1">
      <alignment horizontal="center" vertical="center" wrapText="1"/>
    </xf>
    <xf numFmtId="0" fontId="32" fillId="0" borderId="36" xfId="17" applyFont="1" applyBorder="1" applyAlignment="1">
      <alignment horizontal="left" vertical="center" wrapText="1"/>
    </xf>
    <xf numFmtId="4" fontId="48" fillId="0" borderId="36" xfId="17" applyNumberFormat="1" applyFont="1" applyBorder="1" applyAlignment="1">
      <alignment horizontal="right" vertical="center" shrinkToFit="1"/>
    </xf>
    <xf numFmtId="0" fontId="40" fillId="0" borderId="36" xfId="17" applyBorder="1" applyAlignment="1">
      <alignment horizontal="left" vertical="center" wrapText="1"/>
    </xf>
    <xf numFmtId="0" fontId="31" fillId="0" borderId="36" xfId="17" applyFont="1" applyBorder="1" applyAlignment="1">
      <alignment horizontal="left" vertical="center" wrapText="1"/>
    </xf>
    <xf numFmtId="4" fontId="72" fillId="18" borderId="56" xfId="17" applyNumberFormat="1" applyFont="1" applyFill="1" applyBorder="1" applyAlignment="1">
      <alignment horizontal="right" vertical="center" shrinkToFit="1"/>
    </xf>
    <xf numFmtId="0" fontId="40" fillId="0" borderId="1" xfId="17" applyBorder="1" applyAlignment="1">
      <alignment horizontal="left" vertical="top"/>
    </xf>
    <xf numFmtId="2" fontId="40" fillId="0" borderId="1" xfId="17" applyNumberFormat="1" applyBorder="1" applyAlignment="1">
      <alignment horizontal="left" vertical="top"/>
    </xf>
    <xf numFmtId="9" fontId="46" fillId="0" borderId="55" xfId="18" applyFont="1" applyFill="1" applyBorder="1" applyAlignment="1">
      <alignment horizontal="right" vertical="center" shrinkToFit="1"/>
    </xf>
    <xf numFmtId="164" fontId="46" fillId="0" borderId="56" xfId="18" applyNumberFormat="1" applyFont="1" applyFill="1" applyBorder="1" applyAlignment="1">
      <alignment horizontal="right" vertical="center" shrinkToFit="1"/>
    </xf>
    <xf numFmtId="0" fontId="47" fillId="0" borderId="0" xfId="17" applyFont="1" applyAlignment="1">
      <alignment horizontal="left" vertical="center"/>
    </xf>
    <xf numFmtId="10" fontId="45" fillId="0" borderId="55" xfId="18" applyNumberFormat="1" applyFont="1" applyFill="1" applyBorder="1" applyAlignment="1">
      <alignment horizontal="right" vertical="center" shrinkToFit="1"/>
    </xf>
    <xf numFmtId="164" fontId="44" fillId="0" borderId="55" xfId="18" applyNumberFormat="1" applyFont="1" applyFill="1" applyBorder="1" applyAlignment="1">
      <alignment horizontal="right" vertical="center" shrinkToFit="1"/>
    </xf>
    <xf numFmtId="10" fontId="45" fillId="0" borderId="56" xfId="18" applyNumberFormat="1" applyFont="1" applyFill="1" applyBorder="1" applyAlignment="1">
      <alignment horizontal="right" vertical="center" shrinkToFit="1"/>
    </xf>
    <xf numFmtId="164" fontId="45" fillId="0" borderId="56" xfId="18" applyNumberFormat="1" applyFont="1" applyFill="1" applyBorder="1" applyAlignment="1">
      <alignment horizontal="right" vertical="center" shrinkToFit="1"/>
    </xf>
    <xf numFmtId="164" fontId="44" fillId="0" borderId="56" xfId="18" applyNumberFormat="1" applyFont="1" applyFill="1" applyBorder="1" applyAlignment="1">
      <alignment horizontal="right" vertical="center" shrinkToFit="1"/>
    </xf>
    <xf numFmtId="164" fontId="47" fillId="0" borderId="0" xfId="17" applyNumberFormat="1" applyFont="1" applyAlignment="1">
      <alignment horizontal="right" vertical="top"/>
    </xf>
    <xf numFmtId="0" fontId="15" fillId="28" borderId="1" xfId="0" applyFont="1" applyFill="1" applyBorder="1" applyAlignment="1">
      <alignment horizontal="center" vertical="center" wrapText="1"/>
    </xf>
    <xf numFmtId="44" fontId="17" fillId="28" borderId="1" xfId="0" applyNumberFormat="1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vertical="center" wrapText="1"/>
    </xf>
    <xf numFmtId="44" fontId="15" fillId="28" borderId="1" xfId="0" applyNumberFormat="1" applyFont="1" applyFill="1" applyBorder="1" applyAlignment="1">
      <alignment horizontal="center" vertical="center"/>
    </xf>
    <xf numFmtId="44" fontId="15" fillId="28" borderId="1" xfId="0" applyNumberFormat="1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left" vertical="center" wrapText="1"/>
    </xf>
    <xf numFmtId="0" fontId="15" fillId="28" borderId="1" xfId="0" applyFont="1" applyFill="1" applyBorder="1" applyAlignment="1">
      <alignment horizontal="center" vertical="center" textRotation="90" wrapText="1"/>
    </xf>
    <xf numFmtId="44" fontId="34" fillId="28" borderId="1" xfId="0" applyNumberFormat="1" applyFont="1" applyFill="1" applyBorder="1" applyAlignment="1">
      <alignment horizontal="center" vertical="center" wrapText="1"/>
    </xf>
    <xf numFmtId="44" fontId="25" fillId="28" borderId="1" xfId="0" applyNumberFormat="1" applyFont="1" applyFill="1" applyBorder="1" applyAlignment="1">
      <alignment horizontal="center" vertical="center" wrapText="1"/>
    </xf>
    <xf numFmtId="0" fontId="25" fillId="28" borderId="1" xfId="0" applyFont="1" applyFill="1" applyBorder="1" applyAlignment="1">
      <alignment vertical="center" wrapText="1"/>
    </xf>
    <xf numFmtId="44" fontId="16" fillId="28" borderId="1" xfId="0" applyNumberFormat="1" applyFont="1" applyFill="1" applyBorder="1" applyAlignment="1">
      <alignment horizontal="center" vertical="center" wrapText="1"/>
    </xf>
    <xf numFmtId="2" fontId="40" fillId="0" borderId="0" xfId="17" applyNumberFormat="1" applyAlignment="1">
      <alignment horizontal="left" vertical="center"/>
    </xf>
    <xf numFmtId="4" fontId="48" fillId="29" borderId="36" xfId="0" applyNumberFormat="1" applyFont="1" applyFill="1" applyBorder="1" applyAlignment="1">
      <alignment horizontal="right" vertical="center" shrinkToFit="1"/>
    </xf>
    <xf numFmtId="1" fontId="48" fillId="30" borderId="36" xfId="17" applyNumberFormat="1" applyFont="1" applyFill="1" applyBorder="1" applyAlignment="1">
      <alignment horizontal="center" vertical="center" shrinkToFit="1"/>
    </xf>
    <xf numFmtId="0" fontId="31" fillId="30" borderId="36" xfId="17" applyFont="1" applyFill="1" applyBorder="1" applyAlignment="1">
      <alignment horizontal="left" vertical="center" wrapText="1"/>
    </xf>
    <xf numFmtId="0" fontId="31" fillId="30" borderId="36" xfId="17" applyFont="1" applyFill="1" applyBorder="1" applyAlignment="1">
      <alignment horizontal="center" vertical="center" wrapText="1"/>
    </xf>
    <xf numFmtId="0" fontId="13" fillId="28" borderId="4" xfId="0" applyFont="1" applyFill="1" applyBorder="1" applyAlignment="1">
      <alignment horizontal="center" vertical="center"/>
    </xf>
    <xf numFmtId="0" fontId="25" fillId="28" borderId="1" xfId="0" applyFont="1" applyFill="1" applyBorder="1" applyAlignment="1">
      <alignment horizontal="center" vertical="center" wrapText="1"/>
    </xf>
    <xf numFmtId="0" fontId="25" fillId="28" borderId="1" xfId="0" applyFont="1" applyFill="1" applyBorder="1" applyAlignment="1">
      <alignment horizontal="left" vertical="center" wrapText="1"/>
    </xf>
    <xf numFmtId="0" fontId="25" fillId="28" borderId="1" xfId="0" applyFont="1" applyFill="1" applyBorder="1" applyAlignment="1">
      <alignment horizontal="center" vertical="center" textRotation="90" wrapText="1"/>
    </xf>
    <xf numFmtId="0" fontId="13" fillId="28" borderId="5" xfId="0" applyFont="1" applyFill="1" applyBorder="1" applyAlignment="1">
      <alignment horizontal="center" vertical="center"/>
    </xf>
    <xf numFmtId="0" fontId="13" fillId="28" borderId="9" xfId="0" applyFont="1" applyFill="1" applyBorder="1" applyAlignment="1">
      <alignment horizontal="center" vertical="center"/>
    </xf>
    <xf numFmtId="0" fontId="13" fillId="28" borderId="5" xfId="0" applyFont="1" applyFill="1" applyBorder="1" applyAlignment="1">
      <alignment horizontal="center" vertical="center" wrapText="1"/>
    </xf>
    <xf numFmtId="4" fontId="13" fillId="28" borderId="5" xfId="0" applyNumberFormat="1" applyFont="1" applyFill="1" applyBorder="1" applyAlignment="1">
      <alignment horizontal="center" vertical="center"/>
    </xf>
    <xf numFmtId="44" fontId="17" fillId="28" borderId="37" xfId="0" applyNumberFormat="1" applyFont="1" applyFill="1" applyBorder="1" applyAlignment="1">
      <alignment horizontal="center" vertical="center" wrapText="1"/>
    </xf>
    <xf numFmtId="44" fontId="25" fillId="28" borderId="4" xfId="0" applyNumberFormat="1" applyFont="1" applyFill="1" applyBorder="1" applyAlignment="1">
      <alignment horizontal="center" vertical="center" wrapText="1"/>
    </xf>
    <xf numFmtId="0" fontId="15" fillId="28" borderId="4" xfId="0" applyFont="1" applyFill="1" applyBorder="1" applyAlignment="1">
      <alignment vertical="center" wrapText="1"/>
    </xf>
    <xf numFmtId="0" fontId="15" fillId="28" borderId="4" xfId="0" applyFont="1" applyFill="1" applyBorder="1" applyAlignment="1">
      <alignment horizontal="center" vertical="center" textRotation="90" wrapText="1"/>
    </xf>
    <xf numFmtId="0" fontId="15" fillId="28" borderId="25" xfId="0" applyFont="1" applyFill="1" applyBorder="1" applyAlignment="1">
      <alignment horizontal="center" vertical="center" wrapText="1"/>
    </xf>
    <xf numFmtId="0" fontId="25" fillId="28" borderId="4" xfId="0" applyFont="1" applyFill="1" applyBorder="1" applyAlignment="1">
      <alignment horizontal="center" vertical="center" wrapText="1"/>
    </xf>
    <xf numFmtId="44" fontId="15" fillId="28" borderId="4" xfId="0" applyNumberFormat="1" applyFont="1" applyFill="1" applyBorder="1" applyAlignment="1">
      <alignment horizontal="center" vertical="center"/>
    </xf>
    <xf numFmtId="44" fontId="23" fillId="28" borderId="4" xfId="0" applyNumberFormat="1" applyFont="1" applyFill="1" applyBorder="1" applyAlignment="1">
      <alignment horizontal="center" vertical="center"/>
    </xf>
    <xf numFmtId="44" fontId="15" fillId="28" borderId="17" xfId="0" applyNumberFormat="1" applyFont="1" applyFill="1" applyBorder="1" applyAlignment="1">
      <alignment horizontal="center" vertical="center"/>
    </xf>
    <xf numFmtId="44" fontId="15" fillId="28" borderId="11" xfId="0" applyNumberFormat="1" applyFont="1" applyFill="1" applyBorder="1" applyAlignment="1">
      <alignment horizontal="center" vertical="center"/>
    </xf>
    <xf numFmtId="44" fontId="18" fillId="28" borderId="11" xfId="0" applyNumberFormat="1" applyFont="1" applyFill="1" applyBorder="1" applyAlignment="1">
      <alignment horizontal="center" vertical="center"/>
    </xf>
    <xf numFmtId="0" fontId="15" fillId="28" borderId="4" xfId="0" applyFont="1" applyFill="1" applyBorder="1" applyAlignment="1">
      <alignment horizontal="center" vertical="center" wrapText="1"/>
    </xf>
    <xf numFmtId="0" fontId="25" fillId="28" borderId="5" xfId="0" applyFont="1" applyFill="1" applyBorder="1" applyAlignment="1">
      <alignment vertical="center" wrapText="1"/>
    </xf>
    <xf numFmtId="44" fontId="15" fillId="28" borderId="26" xfId="0" applyNumberFormat="1" applyFont="1" applyFill="1" applyBorder="1" applyAlignment="1">
      <alignment horizontal="center" vertical="center"/>
    </xf>
    <xf numFmtId="0" fontId="15" fillId="28" borderId="2" xfId="0" applyFont="1" applyFill="1" applyBorder="1" applyAlignment="1">
      <alignment horizontal="center" vertical="center" wrapText="1"/>
    </xf>
    <xf numFmtId="44" fontId="15" fillId="28" borderId="5" xfId="0" applyNumberFormat="1" applyFont="1" applyFill="1" applyBorder="1" applyAlignment="1">
      <alignment horizontal="center" vertical="center"/>
    </xf>
    <xf numFmtId="44" fontId="15" fillId="28" borderId="19" xfId="0" applyNumberFormat="1" applyFont="1" applyFill="1" applyBorder="1" applyAlignment="1">
      <alignment horizontal="center" vertical="center" wrapText="1"/>
    </xf>
    <xf numFmtId="44" fontId="34" fillId="28" borderId="25" xfId="0" applyNumberFormat="1" applyFont="1" applyFill="1" applyBorder="1" applyAlignment="1">
      <alignment horizontal="center" vertical="center" wrapText="1"/>
    </xf>
    <xf numFmtId="44" fontId="25" fillId="28" borderId="25" xfId="0" applyNumberFormat="1" applyFont="1" applyFill="1" applyBorder="1" applyAlignment="1">
      <alignment horizontal="center" vertical="center" wrapText="1"/>
    </xf>
    <xf numFmtId="0" fontId="15" fillId="28" borderId="5" xfId="0" applyFont="1" applyFill="1" applyBorder="1" applyAlignment="1">
      <alignment vertical="center" wrapText="1"/>
    </xf>
    <xf numFmtId="0" fontId="15" fillId="28" borderId="5" xfId="0" applyFont="1" applyFill="1" applyBorder="1" applyAlignment="1">
      <alignment horizontal="center" vertical="center" textRotation="90" wrapText="1"/>
    </xf>
    <xf numFmtId="44" fontId="25" fillId="28" borderId="37" xfId="0" applyNumberFormat="1" applyFont="1" applyFill="1" applyBorder="1" applyAlignment="1">
      <alignment horizontal="center" vertical="center" wrapText="1"/>
    </xf>
    <xf numFmtId="0" fontId="15" fillId="28" borderId="2" xfId="0" applyFont="1" applyFill="1" applyBorder="1" applyAlignment="1">
      <alignment horizontal="center" vertical="center" textRotation="90" wrapText="1"/>
    </xf>
    <xf numFmtId="44" fontId="15" fillId="28" borderId="16" xfId="0" applyNumberFormat="1" applyFont="1" applyFill="1" applyBorder="1" applyAlignment="1">
      <alignment horizontal="center" vertical="center"/>
    </xf>
    <xf numFmtId="0" fontId="25" fillId="28" borderId="25" xfId="0" applyFont="1" applyFill="1" applyBorder="1" applyAlignment="1">
      <alignment horizontal="center" vertical="center" wrapText="1"/>
    </xf>
    <xf numFmtId="44" fontId="15" fillId="28" borderId="18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4" fontId="15" fillId="28" borderId="4" xfId="0" applyNumberFormat="1" applyFont="1" applyFill="1" applyBorder="1" applyAlignment="1">
      <alignment horizontal="center" vertical="center" wrapText="1"/>
    </xf>
    <xf numFmtId="4" fontId="16" fillId="17" borderId="4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5" fillId="28" borderId="2" xfId="0" applyFont="1" applyFill="1" applyBorder="1" applyAlignment="1">
      <alignment vertical="center" wrapText="1"/>
    </xf>
    <xf numFmtId="44" fontId="15" fillId="2" borderId="2" xfId="0" applyNumberFormat="1" applyFont="1" applyFill="1" applyBorder="1" applyAlignment="1">
      <alignment horizontal="center" vertical="center"/>
    </xf>
    <xf numFmtId="4" fontId="16" fillId="17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8" borderId="4" xfId="0" applyFont="1" applyFill="1" applyBorder="1" applyAlignment="1">
      <alignment horizontal="center" vertical="center" wrapText="1"/>
    </xf>
    <xf numFmtId="0" fontId="15" fillId="28" borderId="19" xfId="0" applyFont="1" applyFill="1" applyBorder="1" applyAlignment="1">
      <alignment horizontal="center" vertical="center" wrapText="1"/>
    </xf>
    <xf numFmtId="0" fontId="71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7" fillId="28" borderId="1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7" fillId="28" borderId="2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/>
    </xf>
    <xf numFmtId="0" fontId="17" fillId="28" borderId="3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vertical="center" wrapText="1"/>
    </xf>
    <xf numFmtId="0" fontId="17" fillId="28" borderId="2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4" fontId="13" fillId="2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2" fillId="0" borderId="42" xfId="17" applyFont="1" applyBorder="1" applyAlignment="1">
      <alignment horizontal="center" vertical="center" wrapText="1"/>
    </xf>
    <xf numFmtId="0" fontId="74" fillId="0" borderId="43" xfId="17" applyFont="1" applyBorder="1" applyAlignment="1">
      <alignment horizontal="left" vertical="center" wrapText="1"/>
    </xf>
    <xf numFmtId="1" fontId="75" fillId="26" borderId="36" xfId="17" applyNumberFormat="1" applyFont="1" applyFill="1" applyBorder="1" applyAlignment="1">
      <alignment horizontal="center" vertical="center" shrinkToFit="1"/>
    </xf>
    <xf numFmtId="0" fontId="76" fillId="26" borderId="36" xfId="17" applyFont="1" applyFill="1" applyBorder="1" applyAlignment="1">
      <alignment horizontal="center" vertical="center" wrapText="1"/>
    </xf>
    <xf numFmtId="0" fontId="9" fillId="28" borderId="18" xfId="0" applyFont="1" applyFill="1" applyBorder="1" applyAlignment="1">
      <alignment horizontal="center" vertical="center" wrapText="1"/>
    </xf>
    <xf numFmtId="44" fontId="17" fillId="28" borderId="19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4" fontId="13" fillId="2" borderId="4" xfId="0" applyNumberFormat="1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 vertical="center"/>
    </xf>
    <xf numFmtId="0" fontId="39" fillId="28" borderId="11" xfId="0" applyFont="1" applyFill="1" applyBorder="1" applyAlignment="1">
      <alignment horizontal="center" vertical="center" wrapText="1"/>
    </xf>
    <xf numFmtId="0" fontId="9" fillId="28" borderId="1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4" fontId="13" fillId="2" borderId="25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" fontId="13" fillId="2" borderId="37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28" borderId="11" xfId="0" applyFont="1" applyFill="1" applyBorder="1" applyAlignment="1">
      <alignment horizontal="center" vertical="center" wrapText="1"/>
    </xf>
    <xf numFmtId="0" fontId="9" fillId="28" borderId="1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0" fontId="9" fillId="28" borderId="11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/>
    </xf>
    <xf numFmtId="0" fontId="71" fillId="28" borderId="11" xfId="0" applyFont="1" applyFill="1" applyBorder="1" applyAlignment="1">
      <alignment horizontal="center" vertical="top" wrapText="1"/>
    </xf>
    <xf numFmtId="4" fontId="13" fillId="2" borderId="2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top"/>
    </xf>
    <xf numFmtId="44" fontId="34" fillId="28" borderId="19" xfId="0" applyNumberFormat="1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wrapText="1"/>
    </xf>
    <xf numFmtId="0" fontId="71" fillId="28" borderId="4" xfId="0" applyFont="1" applyFill="1" applyBorder="1" applyAlignment="1">
      <alignment horizontal="center" wrapText="1"/>
    </xf>
    <xf numFmtId="0" fontId="0" fillId="28" borderId="4" xfId="0" applyFill="1" applyBorder="1" applyAlignment="1">
      <alignment horizontal="center" vertical="center" wrapText="1"/>
    </xf>
    <xf numFmtId="0" fontId="71" fillId="28" borderId="5" xfId="0" applyFont="1" applyFill="1" applyBorder="1" applyAlignment="1">
      <alignment wrapText="1"/>
    </xf>
    <xf numFmtId="0" fontId="0" fillId="28" borderId="5" xfId="0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4" fontId="13" fillId="2" borderId="22" xfId="0" applyNumberFormat="1" applyFont="1" applyFill="1" applyBorder="1" applyAlignment="1">
      <alignment horizontal="center"/>
    </xf>
    <xf numFmtId="0" fontId="13" fillId="30" borderId="30" xfId="0" applyFont="1" applyFill="1" applyBorder="1" applyAlignment="1">
      <alignment horizontal="center"/>
    </xf>
    <xf numFmtId="0" fontId="13" fillId="30" borderId="30" xfId="0" applyFont="1" applyFill="1" applyBorder="1" applyAlignment="1">
      <alignment horizontal="center" vertical="center"/>
    </xf>
    <xf numFmtId="44" fontId="15" fillId="28" borderId="15" xfId="0" applyNumberFormat="1" applyFont="1" applyFill="1" applyBorder="1" applyAlignment="1">
      <alignment horizontal="center" vertical="center"/>
    </xf>
    <xf numFmtId="44" fontId="16" fillId="28" borderId="37" xfId="0" applyNumberFormat="1" applyFont="1" applyFill="1" applyBorder="1" applyAlignment="1">
      <alignment horizontal="center" vertical="center" wrapText="1"/>
    </xf>
    <xf numFmtId="44" fontId="16" fillId="28" borderId="19" xfId="0" applyNumberFormat="1" applyFont="1" applyFill="1" applyBorder="1" applyAlignment="1">
      <alignment horizontal="center" vertical="center" wrapText="1"/>
    </xf>
    <xf numFmtId="44" fontId="16" fillId="17" borderId="25" xfId="0" applyNumberFormat="1" applyFont="1" applyFill="1" applyBorder="1" applyAlignment="1">
      <alignment horizontal="center" vertical="center"/>
    </xf>
    <xf numFmtId="44" fontId="15" fillId="2" borderId="11" xfId="0" applyNumberFormat="1" applyFont="1" applyFill="1" applyBorder="1" applyAlignment="1">
      <alignment horizontal="center" vertical="center"/>
    </xf>
    <xf numFmtId="44" fontId="15" fillId="2" borderId="16" xfId="0" applyNumberFormat="1" applyFont="1" applyFill="1" applyBorder="1" applyAlignment="1">
      <alignment horizontal="center" vertical="center"/>
    </xf>
    <xf numFmtId="4" fontId="16" fillId="17" borderId="37" xfId="0" applyNumberFormat="1" applyFont="1" applyFill="1" applyBorder="1" applyAlignment="1">
      <alignment horizontal="center" vertical="center"/>
    </xf>
    <xf numFmtId="44" fontId="15" fillId="2" borderId="18" xfId="0" applyNumberFormat="1" applyFont="1" applyFill="1" applyBorder="1" applyAlignment="1">
      <alignment horizontal="center"/>
    </xf>
    <xf numFmtId="44" fontId="16" fillId="17" borderId="4" xfId="0" applyNumberFormat="1" applyFont="1" applyFill="1" applyBorder="1" applyAlignment="1">
      <alignment horizontal="center"/>
    </xf>
    <xf numFmtId="44" fontId="16" fillId="17" borderId="25" xfId="0" applyNumberFormat="1" applyFont="1" applyFill="1" applyBorder="1" applyAlignment="1">
      <alignment horizontal="center"/>
    </xf>
    <xf numFmtId="0" fontId="13" fillId="28" borderId="18" xfId="0" applyFont="1" applyFill="1" applyBorder="1" applyAlignment="1">
      <alignment horizontal="center" vertical="center"/>
    </xf>
    <xf numFmtId="0" fontId="13" fillId="28" borderId="11" xfId="0" applyFont="1" applyFill="1" applyBorder="1" applyAlignment="1">
      <alignment horizontal="center" vertical="center"/>
    </xf>
    <xf numFmtId="44" fontId="25" fillId="28" borderId="19" xfId="0" applyNumberFormat="1" applyFont="1" applyFill="1" applyBorder="1" applyAlignment="1">
      <alignment horizontal="center" vertical="center" wrapText="1"/>
    </xf>
    <xf numFmtId="0" fontId="25" fillId="28" borderId="19" xfId="0" applyFont="1" applyFill="1" applyBorder="1" applyAlignment="1">
      <alignment horizontal="center" vertical="center" wrapText="1"/>
    </xf>
    <xf numFmtId="0" fontId="13" fillId="28" borderId="18" xfId="0" applyFont="1" applyFill="1" applyBorder="1" applyAlignment="1">
      <alignment horizontal="left" vertical="center" wrapText="1"/>
    </xf>
    <xf numFmtId="49" fontId="0" fillId="28" borderId="11" xfId="0" applyNumberFormat="1" applyFill="1" applyBorder="1" applyAlignment="1">
      <alignment horizontal="left" vertical="center"/>
    </xf>
    <xf numFmtId="49" fontId="0" fillId="28" borderId="11" xfId="0" applyNumberFormat="1" applyFill="1" applyBorder="1" applyAlignment="1">
      <alignment horizontal="center" vertical="center"/>
    </xf>
    <xf numFmtId="49" fontId="0" fillId="28" borderId="16" xfId="0" applyNumberFormat="1" applyFill="1" applyBorder="1" applyAlignment="1">
      <alignment horizontal="center" vertical="center"/>
    </xf>
    <xf numFmtId="0" fontId="13" fillId="28" borderId="2" xfId="0" applyFont="1" applyFill="1" applyBorder="1" applyAlignment="1">
      <alignment horizontal="center" vertical="center"/>
    </xf>
    <xf numFmtId="49" fontId="0" fillId="28" borderId="11" xfId="0" applyNumberFormat="1" applyFill="1" applyBorder="1" applyAlignment="1">
      <alignment horizontal="center" wrapText="1"/>
    </xf>
    <xf numFmtId="44" fontId="15" fillId="2" borderId="5" xfId="0" applyNumberFormat="1" applyFont="1" applyFill="1" applyBorder="1" applyAlignment="1">
      <alignment horizontal="center" vertical="center"/>
    </xf>
    <xf numFmtId="44" fontId="15" fillId="28" borderId="5" xfId="0" applyNumberFormat="1" applyFont="1" applyFill="1" applyBorder="1" applyAlignment="1">
      <alignment horizontal="center" vertical="center" wrapText="1"/>
    </xf>
    <xf numFmtId="44" fontId="23" fillId="2" borderId="4" xfId="0" applyNumberFormat="1" applyFont="1" applyFill="1" applyBorder="1" applyAlignment="1">
      <alignment horizontal="center" vertical="center"/>
    </xf>
    <xf numFmtId="44" fontId="15" fillId="2" borderId="11" xfId="0" applyNumberFormat="1" applyFont="1" applyFill="1" applyBorder="1" applyAlignment="1">
      <alignment horizontal="center"/>
    </xf>
    <xf numFmtId="44" fontId="16" fillId="17" borderId="5" xfId="0" applyNumberFormat="1" applyFont="1" applyFill="1" applyBorder="1" applyAlignment="1">
      <alignment horizontal="center"/>
    </xf>
    <xf numFmtId="44" fontId="16" fillId="17" borderId="22" xfId="0" applyNumberFormat="1" applyFont="1" applyFill="1" applyBorder="1" applyAlignment="1">
      <alignment horizontal="center"/>
    </xf>
    <xf numFmtId="44" fontId="23" fillId="2" borderId="2" xfId="0" applyNumberFormat="1" applyFont="1" applyFill="1" applyBorder="1" applyAlignment="1">
      <alignment horizontal="center" vertical="center"/>
    </xf>
    <xf numFmtId="44" fontId="18" fillId="2" borderId="18" xfId="0" applyNumberFormat="1" applyFont="1" applyFill="1" applyBorder="1" applyAlignment="1">
      <alignment horizontal="center" wrapText="1"/>
    </xf>
    <xf numFmtId="44" fontId="16" fillId="17" borderId="25" xfId="0" applyNumberFormat="1" applyFont="1" applyFill="1" applyBorder="1" applyAlignment="1">
      <alignment horizontal="center" wrapText="1"/>
    </xf>
    <xf numFmtId="0" fontId="16" fillId="17" borderId="4" xfId="0" applyFont="1" applyFill="1" applyBorder="1" applyAlignment="1">
      <alignment horizontal="center" vertical="center"/>
    </xf>
    <xf numFmtId="44" fontId="15" fillId="2" borderId="5" xfId="0" applyNumberFormat="1" applyFont="1" applyFill="1" applyBorder="1" applyAlignment="1">
      <alignment horizontal="center"/>
    </xf>
    <xf numFmtId="0" fontId="15" fillId="28" borderId="16" xfId="0" applyFont="1" applyFill="1" applyBorder="1" applyAlignment="1">
      <alignment horizontal="center" vertical="center" wrapText="1"/>
    </xf>
    <xf numFmtId="44" fontId="18" fillId="2" borderId="11" xfId="0" applyNumberFormat="1" applyFont="1" applyFill="1" applyBorder="1" applyAlignment="1">
      <alignment horizontal="center" vertical="center"/>
    </xf>
    <xf numFmtId="44" fontId="18" fillId="2" borderId="5" xfId="0" applyNumberFormat="1" applyFont="1" applyFill="1" applyBorder="1" applyAlignment="1">
      <alignment horizontal="center"/>
    </xf>
    <xf numFmtId="9" fontId="78" fillId="17" borderId="15" xfId="0" applyNumberFormat="1" applyFont="1" applyFill="1" applyBorder="1" applyAlignment="1">
      <alignment vertical="center"/>
    </xf>
    <xf numFmtId="44" fontId="16" fillId="32" borderId="17" xfId="0" applyNumberFormat="1" applyFont="1" applyFill="1" applyBorder="1" applyAlignment="1">
      <alignment horizontal="center" vertical="center" wrapText="1"/>
    </xf>
    <xf numFmtId="9" fontId="78" fillId="17" borderId="18" xfId="0" applyNumberFormat="1" applyFont="1" applyFill="1" applyBorder="1" applyAlignment="1">
      <alignment vertical="center"/>
    </xf>
    <xf numFmtId="9" fontId="16" fillId="31" borderId="16" xfId="13" applyFont="1" applyFill="1" applyBorder="1" applyAlignment="1">
      <alignment horizontal="center" vertical="center"/>
    </xf>
    <xf numFmtId="44" fontId="77" fillId="31" borderId="37" xfId="0" applyNumberFormat="1" applyFont="1" applyFill="1" applyBorder="1" applyAlignment="1">
      <alignment horizontal="left" vertical="top" wrapText="1"/>
    </xf>
    <xf numFmtId="9" fontId="16" fillId="31" borderId="15" xfId="13" applyFont="1" applyFill="1" applyBorder="1" applyAlignment="1">
      <alignment horizontal="center" vertical="center"/>
    </xf>
    <xf numFmtId="9" fontId="78" fillId="17" borderId="15" xfId="0" applyNumberFormat="1" applyFont="1" applyFill="1" applyBorder="1" applyAlignment="1">
      <alignment horizontal="center" vertical="center"/>
    </xf>
    <xf numFmtId="44" fontId="18" fillId="18" borderId="25" xfId="0" applyNumberFormat="1" applyFont="1" applyFill="1" applyBorder="1" applyAlignment="1">
      <alignment horizontal="center"/>
    </xf>
    <xf numFmtId="44" fontId="18" fillId="18" borderId="37" xfId="0" applyNumberFormat="1" applyFont="1" applyFill="1" applyBorder="1" applyAlignment="1">
      <alignment horizontal="center" vertical="center"/>
    </xf>
    <xf numFmtId="44" fontId="18" fillId="18" borderId="22" xfId="0" applyNumberFormat="1" applyFont="1" applyFill="1" applyBorder="1" applyAlignment="1">
      <alignment horizontal="center" vertical="center"/>
    </xf>
    <xf numFmtId="44" fontId="18" fillId="18" borderId="5" xfId="0" applyNumberFormat="1" applyFont="1" applyFill="1" applyBorder="1" applyAlignment="1">
      <alignment horizontal="center" vertical="center"/>
    </xf>
    <xf numFmtId="44" fontId="18" fillId="18" borderId="22" xfId="0" applyNumberFormat="1" applyFont="1" applyFill="1" applyBorder="1" applyAlignment="1">
      <alignment horizontal="center"/>
    </xf>
    <xf numFmtId="44" fontId="18" fillId="18" borderId="5" xfId="0" applyNumberFormat="1" applyFont="1" applyFill="1" applyBorder="1" applyAlignment="1">
      <alignment horizontal="center"/>
    </xf>
    <xf numFmtId="44" fontId="18" fillId="18" borderId="2" xfId="0" applyNumberFormat="1" applyFont="1" applyFill="1" applyBorder="1" applyAlignment="1">
      <alignment horizontal="center" vertical="center"/>
    </xf>
    <xf numFmtId="44" fontId="18" fillId="18" borderId="4" xfId="0" applyNumberFormat="1" applyFont="1" applyFill="1" applyBorder="1" applyAlignment="1">
      <alignment horizontal="center" vertical="center"/>
    </xf>
    <xf numFmtId="44" fontId="18" fillId="18" borderId="4" xfId="0" applyNumberFormat="1" applyFont="1" applyFill="1" applyBorder="1" applyAlignment="1">
      <alignment horizontal="center"/>
    </xf>
    <xf numFmtId="44" fontId="18" fillId="18" borderId="10" xfId="0" applyNumberFormat="1" applyFont="1" applyFill="1" applyBorder="1" applyAlignment="1">
      <alignment horizontal="center" vertical="center"/>
    </xf>
    <xf numFmtId="44" fontId="71" fillId="18" borderId="5" xfId="0" applyNumberFormat="1" applyFont="1" applyFill="1" applyBorder="1" applyAlignment="1">
      <alignment horizontal="center"/>
    </xf>
    <xf numFmtId="44" fontId="18" fillId="18" borderId="10" xfId="0" applyNumberFormat="1" applyFont="1" applyFill="1" applyBorder="1" applyAlignment="1">
      <alignment horizontal="center"/>
    </xf>
    <xf numFmtId="44" fontId="77" fillId="31" borderId="19" xfId="0" applyNumberFormat="1" applyFont="1" applyFill="1" applyBorder="1" applyAlignment="1">
      <alignment horizontal="left" vertical="center" wrapText="1"/>
    </xf>
    <xf numFmtId="44" fontId="79" fillId="31" borderId="19" xfId="0" applyNumberFormat="1" applyFont="1" applyFill="1" applyBorder="1" applyAlignment="1">
      <alignment horizontal="left" vertical="center" wrapText="1"/>
    </xf>
    <xf numFmtId="44" fontId="79" fillId="31" borderId="37" xfId="0" applyNumberFormat="1" applyFont="1" applyFill="1" applyBorder="1" applyAlignment="1">
      <alignment horizontal="left" vertical="top" wrapText="1"/>
    </xf>
    <xf numFmtId="44" fontId="16" fillId="31" borderId="37" xfId="0" applyNumberFormat="1" applyFont="1" applyFill="1" applyBorder="1" applyAlignment="1">
      <alignment horizontal="center" vertical="center" wrapText="1"/>
    </xf>
    <xf numFmtId="0" fontId="80" fillId="28" borderId="19" xfId="0" applyFont="1" applyFill="1" applyBorder="1" applyAlignment="1">
      <alignment horizontal="center" vertical="center" wrapText="1"/>
    </xf>
    <xf numFmtId="0" fontId="17" fillId="28" borderId="2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 wrapText="1"/>
    </xf>
    <xf numFmtId="4" fontId="13" fillId="28" borderId="4" xfId="0" applyNumberFormat="1" applyFont="1" applyFill="1" applyBorder="1" applyAlignment="1">
      <alignment horizontal="center" vertical="center"/>
    </xf>
    <xf numFmtId="4" fontId="13" fillId="28" borderId="2" xfId="0" applyNumberFormat="1" applyFont="1" applyFill="1" applyBorder="1" applyAlignment="1">
      <alignment horizontal="center" vertical="center"/>
    </xf>
    <xf numFmtId="44" fontId="16" fillId="17" borderId="19" xfId="0" applyNumberFormat="1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/>
    </xf>
    <xf numFmtId="44" fontId="16" fillId="17" borderId="4" xfId="0" applyNumberFormat="1" applyFont="1" applyFill="1" applyBorder="1" applyAlignment="1">
      <alignment horizontal="center" vertical="center"/>
    </xf>
    <xf numFmtId="49" fontId="0" fillId="28" borderId="11" xfId="0" applyNumberFormat="1" applyFill="1" applyBorder="1" applyAlignment="1">
      <alignment horizontal="center" vertical="center" wrapText="1"/>
    </xf>
    <xf numFmtId="9" fontId="13" fillId="17" borderId="17" xfId="13" applyFont="1" applyFill="1" applyBorder="1" applyAlignment="1">
      <alignment horizontal="center" vertical="center"/>
    </xf>
    <xf numFmtId="44" fontId="15" fillId="2" borderId="18" xfId="0" applyNumberFormat="1" applyFont="1" applyFill="1" applyBorder="1" applyAlignment="1">
      <alignment horizontal="center" vertical="center"/>
    </xf>
    <xf numFmtId="4" fontId="16" fillId="17" borderId="25" xfId="0" applyNumberFormat="1" applyFont="1" applyFill="1" applyBorder="1" applyAlignment="1">
      <alignment horizontal="center" vertical="center"/>
    </xf>
    <xf numFmtId="0" fontId="71" fillId="28" borderId="11" xfId="0" applyFont="1" applyFill="1" applyBorder="1" applyAlignment="1">
      <alignment horizontal="center" vertical="center" wrapText="1"/>
    </xf>
    <xf numFmtId="44" fontId="15" fillId="28" borderId="22" xfId="0" applyNumberFormat="1" applyFont="1" applyFill="1" applyBorder="1" applyAlignment="1">
      <alignment horizontal="center" vertical="center" wrapText="1"/>
    </xf>
    <xf numFmtId="0" fontId="71" fillId="28" borderId="2" xfId="0" applyFont="1" applyFill="1" applyBorder="1" applyAlignment="1">
      <alignment horizontal="center" vertical="center" wrapText="1"/>
    </xf>
    <xf numFmtId="44" fontId="85" fillId="33" borderId="1" xfId="6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top"/>
    </xf>
    <xf numFmtId="44" fontId="15" fillId="2" borderId="11" xfId="0" applyNumberFormat="1" applyFont="1" applyFill="1" applyBorder="1" applyAlignment="1">
      <alignment horizontal="center" vertical="top"/>
    </xf>
    <xf numFmtId="4" fontId="16" fillId="17" borderId="5" xfId="0" applyNumberFormat="1" applyFont="1" applyFill="1" applyBorder="1" applyAlignment="1">
      <alignment horizontal="center" vertical="top"/>
    </xf>
    <xf numFmtId="4" fontId="16" fillId="17" borderId="22" xfId="0" applyNumberFormat="1" applyFont="1" applyFill="1" applyBorder="1" applyAlignment="1">
      <alignment horizontal="center" vertical="top"/>
    </xf>
    <xf numFmtId="44" fontId="18" fillId="18" borderId="25" xfId="0" applyNumberFormat="1" applyFont="1" applyFill="1" applyBorder="1" applyAlignment="1">
      <alignment horizontal="center" vertical="center"/>
    </xf>
    <xf numFmtId="9" fontId="83" fillId="11" borderId="22" xfId="11" applyNumberFormat="1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 vertical="center"/>
    </xf>
    <xf numFmtId="0" fontId="87" fillId="13" borderId="1" xfId="14" applyFont="1" applyBorder="1" applyAlignment="1">
      <alignment horizontal="center" vertical="center"/>
    </xf>
    <xf numFmtId="44" fontId="13" fillId="0" borderId="73" xfId="0" applyNumberFormat="1" applyFont="1" applyBorder="1" applyAlignment="1">
      <alignment horizontal="center" vertical="center"/>
    </xf>
    <xf numFmtId="44" fontId="13" fillId="16" borderId="37" xfId="16" quotePrefix="1" applyNumberFormat="1" applyFont="1" applyBorder="1" applyAlignment="1">
      <alignment horizontal="center" vertical="center" wrapText="1"/>
    </xf>
    <xf numFmtId="44" fontId="85" fillId="33" borderId="15" xfId="6" applyNumberFormat="1" applyFont="1" applyFill="1" applyBorder="1" applyAlignment="1">
      <alignment horizontal="center" vertical="center" wrapText="1"/>
    </xf>
    <xf numFmtId="44" fontId="13" fillId="0" borderId="15" xfId="0" applyNumberFormat="1" applyFont="1" applyBorder="1" applyAlignment="1">
      <alignment horizontal="center" vertical="center"/>
    </xf>
    <xf numFmtId="9" fontId="88" fillId="12" borderId="11" xfId="12" applyNumberFormat="1" applyFont="1" applyBorder="1" applyAlignment="1">
      <alignment horizontal="center" vertical="center"/>
    </xf>
    <xf numFmtId="44" fontId="13" fillId="16" borderId="16" xfId="16" applyNumberFormat="1" applyFont="1" applyBorder="1" applyAlignment="1">
      <alignment horizontal="center" vertical="center" wrapText="1"/>
    </xf>
    <xf numFmtId="9" fontId="88" fillId="12" borderId="29" xfId="12" applyNumberFormat="1" applyFont="1" applyBorder="1" applyAlignment="1">
      <alignment horizontal="center" vertical="center"/>
    </xf>
    <xf numFmtId="9" fontId="83" fillId="11" borderId="25" xfId="11" applyNumberFormat="1" applyFont="1" applyBorder="1" applyAlignment="1">
      <alignment horizontal="center" vertical="center"/>
    </xf>
    <xf numFmtId="44" fontId="28" fillId="16" borderId="74" xfId="16" applyNumberFormat="1" applyFont="1" applyBorder="1" applyAlignment="1">
      <alignment horizontal="center" vertical="center" wrapText="1"/>
    </xf>
    <xf numFmtId="44" fontId="28" fillId="16" borderId="37" xfId="16" quotePrefix="1" applyNumberFormat="1" applyFont="1" applyBorder="1" applyAlignment="1">
      <alignment horizontal="center" vertical="center" wrapText="1"/>
    </xf>
    <xf numFmtId="44" fontId="13" fillId="0" borderId="1" xfId="2" applyNumberFormat="1" applyFont="1" applyBorder="1" applyAlignment="1">
      <alignment horizontal="center" vertical="center"/>
    </xf>
    <xf numFmtId="43" fontId="85" fillId="33" borderId="1" xfId="2" applyFont="1" applyFill="1" applyBorder="1" applyAlignment="1">
      <alignment horizontal="center" vertical="top" wrapText="1"/>
    </xf>
    <xf numFmtId="44" fontId="79" fillId="31" borderId="3" xfId="0" applyNumberFormat="1" applyFont="1" applyFill="1" applyBorder="1" applyAlignment="1">
      <alignment horizontal="left" vertical="top" wrapText="1"/>
    </xf>
    <xf numFmtId="44" fontId="18" fillId="18" borderId="18" xfId="0" applyNumberFormat="1" applyFont="1" applyFill="1" applyBorder="1" applyAlignment="1">
      <alignment horizontal="center"/>
    </xf>
    <xf numFmtId="44" fontId="18" fillId="18" borderId="16" xfId="0" applyNumberFormat="1" applyFont="1" applyFill="1" applyBorder="1" applyAlignment="1">
      <alignment horizontal="center" vertical="center"/>
    </xf>
    <xf numFmtId="44" fontId="18" fillId="18" borderId="18" xfId="0" applyNumberFormat="1" applyFont="1" applyFill="1" applyBorder="1" applyAlignment="1">
      <alignment horizontal="center" vertical="top"/>
    </xf>
    <xf numFmtId="44" fontId="18" fillId="18" borderId="25" xfId="0" applyNumberFormat="1" applyFont="1" applyFill="1" applyBorder="1" applyAlignment="1">
      <alignment horizontal="center" vertical="top"/>
    </xf>
    <xf numFmtId="44" fontId="18" fillId="18" borderId="16" xfId="0" applyNumberFormat="1" applyFont="1" applyFill="1" applyBorder="1" applyAlignment="1">
      <alignment horizontal="center" vertical="top"/>
    </xf>
    <xf numFmtId="44" fontId="18" fillId="18" borderId="37" xfId="0" applyNumberFormat="1" applyFont="1" applyFill="1" applyBorder="1" applyAlignment="1">
      <alignment horizontal="center" vertical="top"/>
    </xf>
    <xf numFmtId="44" fontId="16" fillId="31" borderId="17" xfId="0" applyNumberFormat="1" applyFont="1" applyFill="1" applyBorder="1" applyAlignment="1">
      <alignment horizontal="center" vertical="center" wrapText="1"/>
    </xf>
    <xf numFmtId="44" fontId="28" fillId="31" borderId="17" xfId="0" applyNumberFormat="1" applyFont="1" applyFill="1" applyBorder="1" applyAlignment="1">
      <alignment horizontal="left" vertical="top" wrapText="1"/>
    </xf>
    <xf numFmtId="0" fontId="71" fillId="28" borderId="5" xfId="0" applyFont="1" applyFill="1" applyBorder="1" applyAlignment="1">
      <alignment horizontal="center" wrapText="1"/>
    </xf>
    <xf numFmtId="0" fontId="9" fillId="28" borderId="16" xfId="0" applyFont="1" applyFill="1" applyBorder="1" applyAlignment="1">
      <alignment horizontal="center" vertical="center" wrapText="1"/>
    </xf>
    <xf numFmtId="44" fontId="16" fillId="17" borderId="15" xfId="0" applyNumberFormat="1" applyFont="1" applyFill="1" applyBorder="1" applyAlignment="1">
      <alignment horizontal="center" vertical="center" wrapText="1"/>
    </xf>
    <xf numFmtId="9" fontId="78" fillId="17" borderId="16" xfId="13" applyFont="1" applyFill="1" applyBorder="1" applyAlignment="1">
      <alignment horizontal="center" vertical="center"/>
    </xf>
    <xf numFmtId="0" fontId="77" fillId="17" borderId="37" xfId="0" applyFont="1" applyFill="1" applyBorder="1" applyAlignment="1">
      <alignment horizontal="center" vertical="center" wrapText="1"/>
    </xf>
    <xf numFmtId="9" fontId="13" fillId="17" borderId="19" xfId="13" applyFont="1" applyFill="1" applyBorder="1" applyAlignment="1">
      <alignment horizontal="center" vertical="center" wrapText="1"/>
    </xf>
    <xf numFmtId="44" fontId="86" fillId="33" borderId="1" xfId="6" applyNumberFormat="1" applyFont="1" applyFill="1" applyBorder="1" applyAlignment="1">
      <alignment horizontal="center" vertical="center" wrapText="1"/>
    </xf>
    <xf numFmtId="43" fontId="86" fillId="33" borderId="1" xfId="2" applyFont="1" applyFill="1" applyBorder="1" applyAlignment="1">
      <alignment horizontal="center" vertical="center" wrapText="1"/>
    </xf>
    <xf numFmtId="44" fontId="86" fillId="33" borderId="15" xfId="6" applyNumberFormat="1" applyFont="1" applyFill="1" applyBorder="1" applyAlignment="1">
      <alignment horizontal="center" vertical="center" wrapText="1"/>
    </xf>
    <xf numFmtId="43" fontId="86" fillId="33" borderId="1" xfId="2" applyFont="1" applyFill="1" applyBorder="1" applyAlignment="1">
      <alignment horizontal="center" vertical="top" wrapText="1"/>
    </xf>
    <xf numFmtId="44" fontId="86" fillId="33" borderId="73" xfId="6" applyNumberFormat="1" applyFont="1" applyFill="1" applyBorder="1" applyAlignment="1">
      <alignment horizontal="center" vertical="center" wrapText="1"/>
    </xf>
    <xf numFmtId="0" fontId="71" fillId="28" borderId="22" xfId="0" applyFont="1" applyFill="1" applyBorder="1" applyAlignment="1">
      <alignment horizontal="center" wrapText="1"/>
    </xf>
    <xf numFmtId="0" fontId="9" fillId="28" borderId="37" xfId="0" applyFont="1" applyFill="1" applyBorder="1" applyAlignment="1">
      <alignment horizontal="center" vertical="top" wrapText="1"/>
    </xf>
    <xf numFmtId="0" fontId="71" fillId="28" borderId="22" xfId="0" applyFont="1" applyFill="1" applyBorder="1" applyAlignment="1">
      <alignment horizontal="center" vertical="top" wrapText="1"/>
    </xf>
    <xf numFmtId="44" fontId="18" fillId="18" borderId="11" xfId="0" applyNumberFormat="1" applyFont="1" applyFill="1" applyBorder="1" applyAlignment="1">
      <alignment horizontal="center"/>
    </xf>
    <xf numFmtId="0" fontId="12" fillId="7" borderId="1" xfId="6" applyFont="1" applyBorder="1" applyAlignment="1">
      <alignment horizontal="center" vertical="center"/>
    </xf>
    <xf numFmtId="0" fontId="12" fillId="7" borderId="1" xfId="6" applyFont="1" applyBorder="1" applyAlignment="1">
      <alignment horizontal="center" vertical="center" wrapText="1"/>
    </xf>
    <xf numFmtId="44" fontId="12" fillId="7" borderId="15" xfId="6" applyNumberFormat="1" applyFont="1" applyBorder="1" applyAlignment="1">
      <alignment horizontal="center" vertical="center" wrapText="1"/>
    </xf>
    <xf numFmtId="9" fontId="12" fillId="7" borderId="14" xfId="6" applyNumberFormat="1" applyFont="1" applyBorder="1" applyAlignment="1">
      <alignment horizontal="center" vertical="center" wrapText="1"/>
    </xf>
    <xf numFmtId="9" fontId="12" fillId="7" borderId="1" xfId="6" applyNumberFormat="1" applyFont="1" applyBorder="1" applyAlignment="1">
      <alignment horizontal="center" vertical="center" wrapText="1"/>
    </xf>
    <xf numFmtId="9" fontId="12" fillId="7" borderId="73" xfId="6" applyNumberFormat="1" applyFont="1" applyBorder="1" applyAlignment="1">
      <alignment horizontal="center" vertical="center" wrapText="1"/>
    </xf>
    <xf numFmtId="9" fontId="12" fillId="7" borderId="15" xfId="6" applyNumberFormat="1" applyFont="1" applyBorder="1" applyAlignment="1">
      <alignment horizontal="center" vertical="center" wrapText="1"/>
    </xf>
    <xf numFmtId="9" fontId="12" fillId="7" borderId="19" xfId="6" applyNumberFormat="1" applyFont="1" applyBorder="1" applyAlignment="1">
      <alignment horizontal="center" vertical="center" wrapText="1"/>
    </xf>
    <xf numFmtId="44" fontId="12" fillId="7" borderId="14" xfId="6" applyNumberFormat="1" applyFont="1" applyBorder="1" applyAlignment="1">
      <alignment horizontal="center" vertical="center" wrapText="1"/>
    </xf>
    <xf numFmtId="44" fontId="12" fillId="7" borderId="1" xfId="6" applyNumberFormat="1" applyFont="1" applyBorder="1" applyAlignment="1">
      <alignment horizontal="center" vertical="center" wrapText="1"/>
    </xf>
    <xf numFmtId="4" fontId="16" fillId="17" borderId="4" xfId="0" applyNumberFormat="1" applyFont="1" applyFill="1" applyBorder="1" applyAlignment="1">
      <alignment horizontal="center"/>
    </xf>
    <xf numFmtId="4" fontId="16" fillId="17" borderId="25" xfId="0" applyNumberFormat="1" applyFont="1" applyFill="1" applyBorder="1" applyAlignment="1">
      <alignment horizontal="center"/>
    </xf>
    <xf numFmtId="0" fontId="77" fillId="17" borderId="19" xfId="0" applyFont="1" applyFill="1" applyBorder="1" applyAlignment="1">
      <alignment horizontal="center" vertical="center" wrapText="1"/>
    </xf>
    <xf numFmtId="0" fontId="77" fillId="17" borderId="3" xfId="0" applyFont="1" applyFill="1" applyBorder="1" applyAlignment="1">
      <alignment horizontal="center" vertical="center" wrapText="1"/>
    </xf>
    <xf numFmtId="0" fontId="77" fillId="17" borderId="17" xfId="0" applyFont="1" applyFill="1" applyBorder="1" applyAlignment="1">
      <alignment horizontal="center" vertical="center" wrapText="1"/>
    </xf>
    <xf numFmtId="4" fontId="16" fillId="17" borderId="5" xfId="0" applyNumberFormat="1" applyFont="1" applyFill="1" applyBorder="1" applyAlignment="1">
      <alignment horizontal="center"/>
    </xf>
    <xf numFmtId="0" fontId="15" fillId="28" borderId="4" xfId="0" applyFont="1" applyFill="1" applyBorder="1" applyAlignment="1">
      <alignment wrapText="1"/>
    </xf>
    <xf numFmtId="4" fontId="16" fillId="17" borderId="22" xfId="0" applyNumberFormat="1" applyFont="1" applyFill="1" applyBorder="1" applyAlignment="1">
      <alignment horizontal="center"/>
    </xf>
    <xf numFmtId="0" fontId="17" fillId="28" borderId="25" xfId="0" applyFont="1" applyFill="1" applyBorder="1" applyAlignment="1">
      <alignment horizontal="center" wrapText="1"/>
    </xf>
    <xf numFmtId="0" fontId="9" fillId="28" borderId="5" xfId="0" applyFont="1" applyFill="1" applyBorder="1" applyAlignment="1">
      <alignment horizontal="center" vertical="top" wrapText="1"/>
    </xf>
    <xf numFmtId="44" fontId="82" fillId="17" borderId="19" xfId="0" applyNumberFormat="1" applyFont="1" applyFill="1" applyBorder="1" applyAlignment="1">
      <alignment horizontal="center" vertical="center" wrapText="1"/>
    </xf>
    <xf numFmtId="9" fontId="81" fillId="17" borderId="17" xfId="13" applyFont="1" applyFill="1" applyBorder="1" applyAlignment="1">
      <alignment horizontal="center" vertical="center"/>
    </xf>
    <xf numFmtId="9" fontId="84" fillId="17" borderId="19" xfId="13" applyFont="1" applyFill="1" applyBorder="1" applyAlignment="1">
      <alignment horizontal="center" vertical="center" wrapText="1"/>
    </xf>
    <xf numFmtId="9" fontId="78" fillId="17" borderId="15" xfId="13" applyFont="1" applyFill="1" applyBorder="1" applyAlignment="1">
      <alignment horizontal="center" vertical="center"/>
    </xf>
    <xf numFmtId="9" fontId="84" fillId="17" borderId="17" xfId="13" applyFont="1" applyFill="1" applyBorder="1" applyAlignment="1">
      <alignment horizontal="center" vertical="center" wrapText="1"/>
    </xf>
    <xf numFmtId="0" fontId="80" fillId="2" borderId="19" xfId="0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8" borderId="37" xfId="0" applyFont="1" applyFill="1" applyBorder="1" applyAlignment="1">
      <alignment horizontal="center" vertical="center" wrapText="1"/>
    </xf>
    <xf numFmtId="0" fontId="71" fillId="28" borderId="18" xfId="0" applyFont="1" applyFill="1" applyBorder="1"/>
    <xf numFmtId="0" fontId="0" fillId="28" borderId="16" xfId="0" applyFill="1" applyBorder="1" applyAlignment="1">
      <alignment vertical="center"/>
    </xf>
    <xf numFmtId="0" fontId="15" fillId="35" borderId="4" xfId="0" applyFont="1" applyFill="1" applyBorder="1" applyAlignment="1">
      <alignment horizontal="center" vertical="center" textRotation="90" wrapText="1"/>
    </xf>
    <xf numFmtId="44" fontId="15" fillId="2" borderId="70" xfId="0" applyNumberFormat="1" applyFont="1" applyFill="1" applyBorder="1" applyAlignment="1">
      <alignment horizontal="center"/>
    </xf>
    <xf numFmtId="4" fontId="82" fillId="17" borderId="71" xfId="0" applyNumberFormat="1" applyFont="1" applyFill="1" applyBorder="1" applyAlignment="1">
      <alignment horizontal="center"/>
    </xf>
    <xf numFmtId="44" fontId="82" fillId="17" borderId="1" xfId="0" applyNumberFormat="1" applyFont="1" applyFill="1" applyBorder="1" applyAlignment="1">
      <alignment horizontal="center" vertical="center" wrapText="1"/>
    </xf>
    <xf numFmtId="4" fontId="82" fillId="17" borderId="70" xfId="0" applyNumberFormat="1" applyFont="1" applyFill="1" applyBorder="1" applyAlignment="1">
      <alignment horizontal="center"/>
    </xf>
    <xf numFmtId="0" fontId="80" fillId="2" borderId="25" xfId="0" applyFont="1" applyFill="1" applyBorder="1" applyAlignment="1">
      <alignment horizontal="center" vertical="center" wrapText="1"/>
    </xf>
    <xf numFmtId="44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44" fontId="82" fillId="17" borderId="4" xfId="0" applyNumberFormat="1" applyFont="1" applyFill="1" applyBorder="1" applyAlignment="1">
      <alignment horizontal="center" vertical="center" wrapText="1"/>
    </xf>
    <xf numFmtId="9" fontId="81" fillId="17" borderId="26" xfId="13" applyFont="1" applyFill="1" applyBorder="1" applyAlignment="1">
      <alignment horizontal="center" vertical="center"/>
    </xf>
    <xf numFmtId="9" fontId="84" fillId="17" borderId="26" xfId="13" applyFont="1" applyFill="1" applyBorder="1" applyAlignment="1">
      <alignment horizontal="center" vertical="center" wrapText="1"/>
    </xf>
    <xf numFmtId="0" fontId="17" fillId="28" borderId="19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82" fillId="31" borderId="15" xfId="13" applyFont="1" applyFill="1" applyBorder="1" applyAlignment="1">
      <alignment horizontal="center" vertical="center"/>
    </xf>
    <xf numFmtId="44" fontId="79" fillId="31" borderId="19" xfId="0" applyNumberFormat="1" applyFont="1" applyFill="1" applyBorder="1" applyAlignment="1">
      <alignment horizontal="left" vertical="top" wrapText="1"/>
    </xf>
    <xf numFmtId="44" fontId="79" fillId="31" borderId="3" xfId="0" applyNumberFormat="1" applyFont="1" applyFill="1" applyBorder="1" applyAlignment="1">
      <alignment horizontal="left" vertical="center" wrapText="1"/>
    </xf>
    <xf numFmtId="0" fontId="3" fillId="0" borderId="4" xfId="0" applyFont="1" applyBorder="1"/>
    <xf numFmtId="0" fontId="0" fillId="0" borderId="2" xfId="0" applyBorder="1" applyAlignment="1">
      <alignment vertical="center" wrapText="1"/>
    </xf>
    <xf numFmtId="9" fontId="88" fillId="12" borderId="18" xfId="12" applyNumberFormat="1" applyFont="1" applyBorder="1" applyAlignment="1">
      <alignment horizontal="center" vertical="center"/>
    </xf>
    <xf numFmtId="0" fontId="77" fillId="17" borderId="1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44" fontId="16" fillId="17" borderId="22" xfId="0" applyNumberFormat="1" applyFont="1" applyFill="1" applyBorder="1" applyAlignment="1">
      <alignment horizontal="center" vertical="top"/>
    </xf>
    <xf numFmtId="44" fontId="16" fillId="17" borderId="5" xfId="0" applyNumberFormat="1" applyFont="1" applyFill="1" applyBorder="1" applyAlignment="1">
      <alignment horizontal="center" vertical="top"/>
    </xf>
    <xf numFmtId="44" fontId="82" fillId="17" borderId="25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9" fontId="78" fillId="17" borderId="11" xfId="13" applyFont="1" applyFill="1" applyBorder="1" applyAlignment="1">
      <alignment horizontal="center" vertical="center"/>
    </xf>
    <xf numFmtId="0" fontId="77" fillId="17" borderId="22" xfId="0" applyFont="1" applyFill="1" applyBorder="1" applyAlignment="1">
      <alignment horizontal="center" vertical="center" wrapText="1"/>
    </xf>
    <xf numFmtId="164" fontId="16" fillId="8" borderId="14" xfId="0" applyNumberFormat="1" applyFont="1" applyFill="1" applyBorder="1" applyAlignment="1">
      <alignment vertical="center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44" fontId="16" fillId="17" borderId="4" xfId="0" applyNumberFormat="1" applyFont="1" applyFill="1" applyBorder="1" applyAlignment="1">
      <alignment horizontal="center" wrapText="1"/>
    </xf>
    <xf numFmtId="44" fontId="89" fillId="33" borderId="14" xfId="6" applyNumberFormat="1" applyFont="1" applyFill="1" applyBorder="1" applyAlignment="1">
      <alignment horizontal="center" vertical="center" wrapText="1"/>
    </xf>
    <xf numFmtId="44" fontId="89" fillId="33" borderId="1" xfId="6" applyNumberFormat="1" applyFont="1" applyFill="1" applyBorder="1" applyAlignment="1">
      <alignment horizontal="center" vertical="center" wrapText="1"/>
    </xf>
    <xf numFmtId="43" fontId="89" fillId="33" borderId="1" xfId="2" applyFont="1" applyFill="1" applyBorder="1" applyAlignment="1">
      <alignment horizontal="center" vertical="center" wrapText="1"/>
    </xf>
    <xf numFmtId="44" fontId="89" fillId="33" borderId="73" xfId="6" applyNumberFormat="1" applyFont="1" applyFill="1" applyBorder="1" applyAlignment="1">
      <alignment horizontal="center" vertical="center" wrapText="1"/>
    </xf>
    <xf numFmtId="9" fontId="91" fillId="12" borderId="30" xfId="12" applyNumberFormat="1" applyFont="1" applyBorder="1" applyAlignment="1">
      <alignment horizontal="center" vertical="center"/>
    </xf>
    <xf numFmtId="9" fontId="92" fillId="11" borderId="33" xfId="11" applyNumberFormat="1" applyFont="1" applyBorder="1" applyAlignment="1">
      <alignment horizontal="center" vertical="center"/>
    </xf>
    <xf numFmtId="44" fontId="93" fillId="0" borderId="13" xfId="0" applyNumberFormat="1" applyFont="1" applyBorder="1" applyAlignment="1">
      <alignment horizontal="center" vertical="center"/>
    </xf>
    <xf numFmtId="2" fontId="93" fillId="0" borderId="68" xfId="0" applyNumberFormat="1" applyFont="1" applyBorder="1" applyAlignment="1">
      <alignment horizontal="center" vertical="center"/>
    </xf>
    <xf numFmtId="43" fontId="93" fillId="0" borderId="68" xfId="2" applyFont="1" applyBorder="1" applyAlignment="1">
      <alignment horizontal="center" vertical="center"/>
    </xf>
    <xf numFmtId="0" fontId="94" fillId="13" borderId="68" xfId="14" applyFont="1" applyBorder="1" applyAlignment="1">
      <alignment horizontal="center" vertical="center"/>
    </xf>
    <xf numFmtId="44" fontId="93" fillId="0" borderId="69" xfId="0" applyNumberFormat="1" applyFont="1" applyBorder="1" applyAlignment="1">
      <alignment horizontal="center" vertical="center"/>
    </xf>
    <xf numFmtId="44" fontId="93" fillId="16" borderId="27" xfId="16" applyNumberFormat="1" applyFont="1" applyBorder="1" applyAlignment="1">
      <alignment horizontal="center" vertical="center" wrapText="1"/>
    </xf>
    <xf numFmtId="44" fontId="93" fillId="16" borderId="32" xfId="16" quotePrefix="1" applyNumberFormat="1" applyFont="1" applyBorder="1" applyAlignment="1">
      <alignment horizontal="center" vertical="center" wrapText="1"/>
    </xf>
    <xf numFmtId="44" fontId="77" fillId="31" borderId="37" xfId="0" applyNumberFormat="1" applyFont="1" applyFill="1" applyBorder="1" applyAlignment="1">
      <alignment horizontal="left" vertical="center" wrapText="1"/>
    </xf>
    <xf numFmtId="44" fontId="5" fillId="0" borderId="0" xfId="16" applyNumberFormat="1" applyFill="1" applyBorder="1" applyAlignment="1">
      <alignment horizontal="center" vertical="center"/>
    </xf>
    <xf numFmtId="44" fontId="5" fillId="0" borderId="0" xfId="16" applyNumberFormat="1" applyFill="1" applyBorder="1" applyAlignment="1">
      <alignment horizontal="center" vertical="top" wrapText="1"/>
    </xf>
    <xf numFmtId="0" fontId="19" fillId="0" borderId="0" xfId="9" applyFill="1" applyBorder="1" applyAlignment="1">
      <alignment horizontal="left" vertical="center"/>
    </xf>
    <xf numFmtId="0" fontId="19" fillId="0" borderId="0" xfId="9" applyFill="1" applyBorder="1"/>
    <xf numFmtId="0" fontId="19" fillId="0" borderId="0" xfId="9" applyFill="1" applyBorder="1" applyAlignment="1">
      <alignment horizontal="center" vertical="center"/>
    </xf>
    <xf numFmtId="44" fontId="19" fillId="0" borderId="0" xfId="9" applyNumberFormat="1" applyFill="1" applyBorder="1" applyAlignment="1">
      <alignment horizontal="center" vertical="center"/>
    </xf>
    <xf numFmtId="0" fontId="5" fillId="0" borderId="0" xfId="16" applyFill="1" applyBorder="1" applyAlignment="1">
      <alignment horizontal="left" vertical="center"/>
    </xf>
    <xf numFmtId="0" fontId="5" fillId="0" borderId="0" xfId="16" applyFill="1" applyBorder="1"/>
    <xf numFmtId="0" fontId="26" fillId="0" borderId="0" xfId="10" applyFont="1" applyFill="1" applyBorder="1" applyAlignment="1">
      <alignment wrapText="1"/>
    </xf>
    <xf numFmtId="0" fontId="20" fillId="0" borderId="0" xfId="10" applyFill="1" applyBorder="1" applyAlignment="1"/>
    <xf numFmtId="44" fontId="5" fillId="0" borderId="0" xfId="16" quotePrefix="1" applyNumberFormat="1" applyFill="1" applyBorder="1" applyAlignment="1">
      <alignment horizontal="left" vertical="center"/>
    </xf>
    <xf numFmtId="44" fontId="5" fillId="0" borderId="0" xfId="15" quotePrefix="1" applyNumberFormat="1" applyFill="1" applyBorder="1" applyAlignment="1">
      <alignment horizontal="left" vertical="center"/>
    </xf>
    <xf numFmtId="9" fontId="9" fillId="0" borderId="0" xfId="12" applyNumberFormat="1" applyFont="1" applyFill="1" applyBorder="1" applyAlignment="1">
      <alignment horizontal="center" vertical="center"/>
    </xf>
    <xf numFmtId="9" fontId="9" fillId="0" borderId="0" xfId="11" applyNumberFormat="1" applyFont="1" applyFill="1" applyBorder="1" applyAlignment="1">
      <alignment horizontal="center" vertical="center"/>
    </xf>
    <xf numFmtId="9" fontId="9" fillId="0" borderId="0" xfId="15" applyNumberFormat="1" applyFont="1" applyFill="1" applyBorder="1" applyAlignment="1">
      <alignment horizontal="center" vertical="center"/>
    </xf>
    <xf numFmtId="9" fontId="28" fillId="17" borderId="19" xfId="13" applyFont="1" applyFill="1" applyBorder="1" applyAlignment="1">
      <alignment horizontal="center" vertical="top" wrapText="1"/>
    </xf>
    <xf numFmtId="44" fontId="86" fillId="33" borderId="15" xfId="6" applyNumberFormat="1" applyFont="1" applyFill="1" applyBorder="1" applyAlignment="1">
      <alignment vertical="center" wrapText="1"/>
    </xf>
    <xf numFmtId="44" fontId="86" fillId="33" borderId="17" xfId="6" applyNumberFormat="1" applyFont="1" applyFill="1" applyBorder="1" applyAlignment="1">
      <alignment vertical="center" wrapText="1"/>
    </xf>
    <xf numFmtId="44" fontId="86" fillId="33" borderId="19" xfId="6" applyNumberFormat="1" applyFont="1" applyFill="1" applyBorder="1" applyAlignment="1">
      <alignment vertical="center" wrapText="1"/>
    </xf>
    <xf numFmtId="0" fontId="16" fillId="34" borderId="18" xfId="0" applyFont="1" applyFill="1" applyBorder="1" applyAlignment="1">
      <alignment vertical="center" wrapText="1"/>
    </xf>
    <xf numFmtId="0" fontId="16" fillId="34" borderId="25" xfId="0" applyFont="1" applyFill="1" applyBorder="1" applyAlignment="1">
      <alignment vertical="center" wrapText="1"/>
    </xf>
    <xf numFmtId="44" fontId="13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3" fillId="0" borderId="1" xfId="2" applyNumberFormat="1" applyFont="1" applyBorder="1" applyAlignment="1">
      <alignment vertical="center"/>
    </xf>
    <xf numFmtId="0" fontId="87" fillId="13" borderId="1" xfId="14" applyFont="1" applyBorder="1" applyAlignment="1">
      <alignment vertical="center"/>
    </xf>
    <xf numFmtId="44" fontId="13" fillId="0" borderId="15" xfId="0" applyNumberFormat="1" applyFont="1" applyBorder="1" applyAlignment="1">
      <alignment vertical="center"/>
    </xf>
    <xf numFmtId="44" fontId="13" fillId="16" borderId="16" xfId="16" applyNumberFormat="1" applyFont="1" applyBorder="1" applyAlignment="1">
      <alignment vertical="center" wrapText="1"/>
    </xf>
    <xf numFmtId="44" fontId="13" fillId="16" borderId="37" xfId="16" quotePrefix="1" applyNumberFormat="1" applyFont="1" applyBorder="1" applyAlignment="1">
      <alignment vertical="center" wrapText="1"/>
    </xf>
    <xf numFmtId="44" fontId="89" fillId="33" borderId="72" xfId="6" applyNumberFormat="1" applyFont="1" applyFill="1" applyBorder="1" applyAlignment="1">
      <alignment vertical="center" wrapText="1"/>
    </xf>
    <xf numFmtId="44" fontId="89" fillId="33" borderId="28" xfId="6" applyNumberFormat="1" applyFont="1" applyFill="1" applyBorder="1" applyAlignment="1">
      <alignment vertical="center" wrapText="1"/>
    </xf>
    <xf numFmtId="44" fontId="89" fillId="33" borderId="41" xfId="6" applyNumberFormat="1" applyFont="1" applyFill="1" applyBorder="1" applyAlignment="1">
      <alignment vertical="center" wrapText="1"/>
    </xf>
    <xf numFmtId="0" fontId="90" fillId="34" borderId="31" xfId="0" applyFont="1" applyFill="1" applyBorder="1" applyAlignment="1">
      <alignment vertical="center" wrapText="1"/>
    </xf>
    <xf numFmtId="0" fontId="90" fillId="34" borderId="40" xfId="0" applyFont="1" applyFill="1" applyBorder="1" applyAlignment="1">
      <alignment vertical="center" wrapText="1"/>
    </xf>
    <xf numFmtId="44" fontId="16" fillId="0" borderId="0" xfId="0" applyNumberFormat="1" applyFont="1" applyAlignment="1">
      <alignment vertical="center"/>
    </xf>
    <xf numFmtId="44" fontId="89" fillId="33" borderId="73" xfId="6" applyNumberFormat="1" applyFont="1" applyFill="1" applyBorder="1" applyAlignment="1">
      <alignment vertical="center" wrapText="1"/>
    </xf>
    <xf numFmtId="9" fontId="91" fillId="12" borderId="30" xfId="12" applyNumberFormat="1" applyFont="1" applyBorder="1" applyAlignment="1">
      <alignment vertical="center"/>
    </xf>
    <xf numFmtId="9" fontId="92" fillId="11" borderId="33" xfId="11" applyNumberFormat="1" applyFont="1" applyBorder="1" applyAlignment="1">
      <alignment vertical="center"/>
    </xf>
    <xf numFmtId="44" fontId="93" fillId="0" borderId="69" xfId="0" applyNumberFormat="1" applyFont="1" applyBorder="1" applyAlignment="1">
      <alignment vertical="center"/>
    </xf>
    <xf numFmtId="44" fontId="93" fillId="16" borderId="27" xfId="16" applyNumberFormat="1" applyFont="1" applyBorder="1" applyAlignment="1">
      <alignment vertical="center" wrapText="1"/>
    </xf>
    <xf numFmtId="44" fontId="93" fillId="16" borderId="32" xfId="16" quotePrefix="1" applyNumberFormat="1" applyFont="1" applyBorder="1" applyAlignment="1">
      <alignment vertical="center" wrapText="1"/>
    </xf>
    <xf numFmtId="44" fontId="85" fillId="33" borderId="15" xfId="6" applyNumberFormat="1" applyFont="1" applyFill="1" applyBorder="1" applyAlignment="1">
      <alignment vertical="center" wrapText="1"/>
    </xf>
    <xf numFmtId="44" fontId="85" fillId="33" borderId="17" xfId="6" applyNumberFormat="1" applyFont="1" applyFill="1" applyBorder="1" applyAlignment="1">
      <alignment vertical="center" wrapText="1"/>
    </xf>
    <xf numFmtId="44" fontId="85" fillId="0" borderId="0" xfId="6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95" fillId="36" borderId="15" xfId="7" applyFont="1" applyFill="1" applyBorder="1" applyAlignment="1">
      <alignment vertical="top"/>
    </xf>
    <xf numFmtId="0" fontId="96" fillId="36" borderId="17" xfId="7" applyFont="1" applyFill="1" applyBorder="1" applyAlignment="1">
      <alignment vertical="top"/>
    </xf>
    <xf numFmtId="0" fontId="86" fillId="36" borderId="17" xfId="7" applyFont="1" applyFill="1" applyBorder="1" applyAlignment="1">
      <alignment vertical="top"/>
    </xf>
    <xf numFmtId="0" fontId="86" fillId="36" borderId="19" xfId="7" applyFont="1" applyFill="1" applyBorder="1" applyAlignment="1">
      <alignment vertical="top"/>
    </xf>
    <xf numFmtId="0" fontId="3" fillId="14" borderId="2" xfId="0" applyFont="1" applyFill="1" applyBorder="1" applyAlignment="1">
      <alignment vertical="top"/>
    </xf>
    <xf numFmtId="0" fontId="5" fillId="14" borderId="1" xfId="0" applyFont="1" applyFill="1" applyBorder="1" applyAlignment="1">
      <alignment vertical="top"/>
    </xf>
    <xf numFmtId="0" fontId="5" fillId="14" borderId="0" xfId="0" applyFont="1" applyFill="1" applyAlignment="1">
      <alignment horizontal="left" vertical="top"/>
    </xf>
    <xf numFmtId="0" fontId="5" fillId="14" borderId="17" xfId="0" applyFont="1" applyFill="1" applyBorder="1" applyAlignment="1">
      <alignment horizontal="left" vertical="top"/>
    </xf>
    <xf numFmtId="0" fontId="5" fillId="14" borderId="19" xfId="0" applyFont="1" applyFill="1" applyBorder="1" applyAlignment="1">
      <alignment horizontal="left" vertical="top"/>
    </xf>
    <xf numFmtId="0" fontId="5" fillId="14" borderId="15" xfId="0" applyFont="1" applyFill="1" applyBorder="1" applyAlignment="1">
      <alignment horizontal="left" vertical="top"/>
    </xf>
    <xf numFmtId="0" fontId="0" fillId="14" borderId="1" xfId="0" applyFill="1" applyBorder="1" applyAlignment="1">
      <alignment vertical="top"/>
    </xf>
    <xf numFmtId="44" fontId="16" fillId="18" borderId="25" xfId="0" applyNumberFormat="1" applyFont="1" applyFill="1" applyBorder="1" applyAlignment="1">
      <alignment horizontal="center" vertical="center"/>
    </xf>
    <xf numFmtId="44" fontId="16" fillId="18" borderId="37" xfId="0" applyNumberFormat="1" applyFont="1" applyFill="1" applyBorder="1" applyAlignment="1">
      <alignment horizontal="center" vertical="center"/>
    </xf>
    <xf numFmtId="0" fontId="16" fillId="17" borderId="25" xfId="0" applyFont="1" applyFill="1" applyBorder="1" applyAlignment="1">
      <alignment horizontal="center" vertical="center"/>
    </xf>
    <xf numFmtId="44" fontId="23" fillId="28" borderId="5" xfId="0" applyNumberFormat="1" applyFont="1" applyFill="1" applyBorder="1" applyAlignment="1">
      <alignment horizontal="center" vertical="center"/>
    </xf>
    <xf numFmtId="44" fontId="18" fillId="28" borderId="5" xfId="0" applyNumberFormat="1" applyFont="1" applyFill="1" applyBorder="1" applyAlignment="1">
      <alignment horizontal="center" vertical="center"/>
    </xf>
    <xf numFmtId="44" fontId="23" fillId="28" borderId="2" xfId="0" applyNumberFormat="1" applyFont="1" applyFill="1" applyBorder="1" applyAlignment="1">
      <alignment horizontal="center" vertical="center"/>
    </xf>
    <xf numFmtId="0" fontId="13" fillId="28" borderId="5" xfId="0" applyFont="1" applyFill="1" applyBorder="1" applyAlignment="1">
      <alignment horizontal="center" vertical="top"/>
    </xf>
    <xf numFmtId="4" fontId="13" fillId="28" borderId="5" xfId="0" applyNumberFormat="1" applyFont="1" applyFill="1" applyBorder="1" applyAlignment="1">
      <alignment horizontal="center" vertical="top"/>
    </xf>
    <xf numFmtId="44" fontId="16" fillId="18" borderId="4" xfId="0" applyNumberFormat="1" applyFont="1" applyFill="1" applyBorder="1" applyAlignment="1">
      <alignment horizontal="center" vertical="center"/>
    </xf>
    <xf numFmtId="44" fontId="16" fillId="18" borderId="2" xfId="0" applyNumberFormat="1" applyFont="1" applyFill="1" applyBorder="1" applyAlignment="1">
      <alignment horizontal="center" vertical="center"/>
    </xf>
    <xf numFmtId="0" fontId="28" fillId="0" borderId="0" xfId="16" applyFont="1" applyFill="1" applyBorder="1" applyAlignment="1">
      <alignment horizontal="left" vertical="center"/>
    </xf>
    <xf numFmtId="9" fontId="36" fillId="0" borderId="0" xfId="12" applyNumberFormat="1" applyFont="1" applyFill="1" applyBorder="1" applyAlignment="1">
      <alignment horizontal="center" vertical="center"/>
    </xf>
    <xf numFmtId="9" fontId="37" fillId="0" borderId="0" xfId="11" applyNumberFormat="1" applyFont="1" applyFill="1" applyBorder="1" applyAlignment="1">
      <alignment horizontal="center" vertical="center"/>
    </xf>
    <xf numFmtId="9" fontId="28" fillId="0" borderId="0" xfId="15" applyNumberFormat="1" applyFont="1" applyFill="1" applyBorder="1" applyAlignment="1">
      <alignment horizontal="center" vertical="center"/>
    </xf>
    <xf numFmtId="44" fontId="18" fillId="18" borderId="10" xfId="0" applyNumberFormat="1" applyFont="1" applyFill="1" applyBorder="1"/>
    <xf numFmtId="44" fontId="18" fillId="18" borderId="2" xfId="0" applyNumberFormat="1" applyFont="1" applyFill="1" applyBorder="1" applyAlignment="1">
      <alignment vertical="center"/>
    </xf>
    <xf numFmtId="0" fontId="73" fillId="18" borderId="47" xfId="17" applyFont="1" applyFill="1" applyBorder="1" applyAlignment="1">
      <alignment horizontal="right" vertical="center" wrapText="1"/>
    </xf>
    <xf numFmtId="0" fontId="73" fillId="18" borderId="48" xfId="17" applyFont="1" applyFill="1" applyBorder="1" applyAlignment="1">
      <alignment horizontal="right" vertical="center" wrapText="1"/>
    </xf>
    <xf numFmtId="0" fontId="73" fillId="18" borderId="65" xfId="17" applyFont="1" applyFill="1" applyBorder="1" applyAlignment="1">
      <alignment horizontal="right" vertical="center" wrapText="1"/>
    </xf>
    <xf numFmtId="0" fontId="40" fillId="0" borderId="0" xfId="17" applyAlignment="1">
      <alignment horizontal="center" vertical="top"/>
    </xf>
    <xf numFmtId="0" fontId="51" fillId="26" borderId="1" xfId="17" applyFont="1" applyFill="1" applyBorder="1" applyAlignment="1">
      <alignment horizontal="left" vertical="top" wrapText="1"/>
    </xf>
    <xf numFmtId="0" fontId="50" fillId="26" borderId="1" xfId="17" applyFont="1" applyFill="1" applyBorder="1" applyAlignment="1">
      <alignment horizontal="left" vertical="top" wrapText="1"/>
    </xf>
    <xf numFmtId="0" fontId="52" fillId="0" borderId="1" xfId="17" applyFont="1" applyBorder="1" applyAlignment="1">
      <alignment horizontal="left" vertical="top" wrapText="1"/>
    </xf>
    <xf numFmtId="0" fontId="31" fillId="0" borderId="1" xfId="17" applyFont="1" applyBorder="1" applyAlignment="1">
      <alignment horizontal="left" vertical="top" wrapText="1"/>
    </xf>
    <xf numFmtId="0" fontId="40" fillId="0" borderId="11" xfId="17" applyBorder="1" applyAlignment="1">
      <alignment horizontal="center" vertical="top"/>
    </xf>
    <xf numFmtId="0" fontId="41" fillId="0" borderId="15" xfId="17" applyFont="1" applyBorder="1" applyAlignment="1">
      <alignment horizontal="center" vertical="center" wrapText="1"/>
    </xf>
    <xf numFmtId="0" fontId="40" fillId="0" borderId="19" xfId="17" applyBorder="1" applyAlignment="1">
      <alignment horizontal="center" vertical="center" wrapText="1"/>
    </xf>
    <xf numFmtId="0" fontId="40" fillId="0" borderId="16" xfId="17" applyBorder="1" applyAlignment="1">
      <alignment horizontal="center" vertical="center" wrapText="1"/>
    </xf>
    <xf numFmtId="0" fontId="40" fillId="0" borderId="3" xfId="17" applyBorder="1" applyAlignment="1">
      <alignment horizontal="center" vertical="center" wrapText="1"/>
    </xf>
    <xf numFmtId="0" fontId="40" fillId="0" borderId="37" xfId="17" applyBorder="1" applyAlignment="1">
      <alignment horizontal="center" vertical="center" wrapText="1"/>
    </xf>
    <xf numFmtId="0" fontId="42" fillId="20" borderId="47" xfId="17" applyFont="1" applyFill="1" applyBorder="1" applyAlignment="1">
      <alignment horizontal="left" vertical="top" wrapText="1"/>
    </xf>
    <xf numFmtId="0" fontId="42" fillId="20" borderId="48" xfId="17" applyFont="1" applyFill="1" applyBorder="1" applyAlignment="1">
      <alignment horizontal="left" vertical="top" wrapText="1"/>
    </xf>
    <xf numFmtId="0" fontId="42" fillId="20" borderId="49" xfId="17" applyFont="1" applyFill="1" applyBorder="1" applyAlignment="1">
      <alignment horizontal="left" vertical="top" wrapText="1"/>
    </xf>
    <xf numFmtId="0" fontId="42" fillId="0" borderId="15" xfId="17" applyFont="1" applyBorder="1" applyAlignment="1">
      <alignment horizontal="center" vertical="center" wrapText="1"/>
    </xf>
    <xf numFmtId="0" fontId="41" fillId="0" borderId="19" xfId="17" applyFont="1" applyBorder="1" applyAlignment="1">
      <alignment horizontal="center" vertical="center" wrapText="1"/>
    </xf>
    <xf numFmtId="0" fontId="44" fillId="0" borderId="15" xfId="17" applyFont="1" applyBorder="1" applyAlignment="1">
      <alignment horizontal="center" vertical="center" wrapText="1"/>
    </xf>
    <xf numFmtId="0" fontId="44" fillId="0" borderId="17" xfId="17" applyFont="1" applyBorder="1" applyAlignment="1">
      <alignment horizontal="center" vertical="center" wrapText="1"/>
    </xf>
    <xf numFmtId="0" fontId="44" fillId="0" borderId="19" xfId="17" applyFont="1" applyBorder="1" applyAlignment="1">
      <alignment horizontal="center" vertical="center" wrapText="1"/>
    </xf>
    <xf numFmtId="0" fontId="45" fillId="0" borderId="1" xfId="17" applyFont="1" applyBorder="1" applyAlignment="1">
      <alignment horizontal="center" vertical="center"/>
    </xf>
    <xf numFmtId="165" fontId="45" fillId="22" borderId="52" xfId="17" applyNumberFormat="1" applyFont="1" applyFill="1" applyBorder="1" applyAlignment="1">
      <alignment horizontal="left" vertical="center" shrinkToFit="1"/>
    </xf>
    <xf numFmtId="165" fontId="45" fillId="22" borderId="53" xfId="17" applyNumberFormat="1" applyFont="1" applyFill="1" applyBorder="1" applyAlignment="1">
      <alignment horizontal="left" vertical="center" shrinkToFit="1"/>
    </xf>
    <xf numFmtId="0" fontId="42" fillId="22" borderId="54" xfId="17" applyFont="1" applyFill="1" applyBorder="1" applyAlignment="1">
      <alignment horizontal="left" vertical="center" wrapText="1"/>
    </xf>
    <xf numFmtId="0" fontId="42" fillId="22" borderId="50" xfId="17" applyFont="1" applyFill="1" applyBorder="1" applyAlignment="1">
      <alignment horizontal="left" vertical="center" wrapText="1"/>
    </xf>
    <xf numFmtId="0" fontId="42" fillId="22" borderId="53" xfId="17" applyFont="1" applyFill="1" applyBorder="1" applyAlignment="1">
      <alignment horizontal="left" vertical="center" wrapText="1"/>
    </xf>
    <xf numFmtId="4" fontId="46" fillId="22" borderId="54" xfId="17" applyNumberFormat="1" applyFont="1" applyFill="1" applyBorder="1" applyAlignment="1">
      <alignment horizontal="right" vertical="center" shrinkToFit="1"/>
    </xf>
    <xf numFmtId="4" fontId="46" fillId="22" borderId="50" xfId="17" applyNumberFormat="1" applyFont="1" applyFill="1" applyBorder="1" applyAlignment="1">
      <alignment horizontal="right" vertical="center" shrinkToFit="1"/>
    </xf>
    <xf numFmtId="4" fontId="46" fillId="22" borderId="51" xfId="17" applyNumberFormat="1" applyFont="1" applyFill="1" applyBorder="1" applyAlignment="1">
      <alignment horizontal="right" vertical="center" shrinkToFit="1"/>
    </xf>
    <xf numFmtId="0" fontId="50" fillId="0" borderId="1" xfId="17" applyFont="1" applyBorder="1" applyAlignment="1">
      <alignment horizontal="left" vertical="top" wrapText="1"/>
    </xf>
    <xf numFmtId="0" fontId="55" fillId="25" borderId="43" xfId="17" applyFont="1" applyFill="1" applyBorder="1" applyAlignment="1">
      <alignment horizontal="left" vertical="top" wrapText="1"/>
    </xf>
    <xf numFmtId="0" fontId="56" fillId="25" borderId="64" xfId="17" applyFont="1" applyFill="1" applyBorder="1" applyAlignment="1">
      <alignment horizontal="left" vertical="top" wrapText="1"/>
    </xf>
    <xf numFmtId="0" fontId="56" fillId="25" borderId="42" xfId="17" applyFont="1" applyFill="1" applyBorder="1" applyAlignment="1">
      <alignment horizontal="left" vertical="top" wrapText="1"/>
    </xf>
    <xf numFmtId="0" fontId="58" fillId="0" borderId="58" xfId="17" applyFont="1" applyBorder="1" applyAlignment="1">
      <alignment horizontal="center" vertical="top" wrapText="1"/>
    </xf>
    <xf numFmtId="0" fontId="58" fillId="0" borderId="48" xfId="17" applyFont="1" applyBorder="1" applyAlignment="1">
      <alignment horizontal="center" vertical="top" wrapText="1"/>
    </xf>
    <xf numFmtId="0" fontId="58" fillId="0" borderId="65" xfId="17" applyFont="1" applyBorder="1" applyAlignment="1">
      <alignment horizontal="center" vertical="top" wrapText="1"/>
    </xf>
    <xf numFmtId="0" fontId="54" fillId="0" borderId="60" xfId="17" applyFont="1" applyBorder="1" applyAlignment="1">
      <alignment horizontal="left" vertical="top" wrapText="1"/>
    </xf>
    <xf numFmtId="0" fontId="54" fillId="0" borderId="0" xfId="17" applyFont="1" applyAlignment="1">
      <alignment horizontal="left" vertical="top" wrapText="1"/>
    </xf>
    <xf numFmtId="0" fontId="54" fillId="0" borderId="66" xfId="17" applyFont="1" applyBorder="1" applyAlignment="1">
      <alignment horizontal="left" vertical="top" wrapText="1"/>
    </xf>
    <xf numFmtId="0" fontId="40" fillId="0" borderId="1" xfId="17" applyBorder="1" applyAlignment="1">
      <alignment horizontal="center" vertical="top" wrapText="1"/>
    </xf>
    <xf numFmtId="0" fontId="53" fillId="0" borderId="43" xfId="17" applyFont="1" applyBorder="1" applyAlignment="1">
      <alignment horizontal="left" vertical="top" wrapText="1"/>
    </xf>
    <xf numFmtId="0" fontId="40" fillId="0" borderId="64" xfId="17" applyBorder="1" applyAlignment="1">
      <alignment horizontal="left" vertical="top" wrapText="1"/>
    </xf>
    <xf numFmtId="0" fontId="40" fillId="0" borderId="42" xfId="17" applyBorder="1" applyAlignment="1">
      <alignment horizontal="left" vertical="top" wrapText="1"/>
    </xf>
    <xf numFmtId="10" fontId="57" fillId="26" borderId="58" xfId="17" applyNumberFormat="1" applyFont="1" applyFill="1" applyBorder="1" applyAlignment="1">
      <alignment horizontal="center" vertical="top" shrinkToFit="1"/>
    </xf>
    <xf numFmtId="10" fontId="57" fillId="26" borderId="65" xfId="17" applyNumberFormat="1" applyFont="1" applyFill="1" applyBorder="1" applyAlignment="1">
      <alignment horizontal="center" vertical="top" shrinkToFit="1"/>
    </xf>
    <xf numFmtId="0" fontId="0" fillId="0" borderId="0" xfId="19" applyFont="1" applyAlignment="1">
      <alignment horizontal="center" vertical="center"/>
    </xf>
    <xf numFmtId="0" fontId="69" fillId="0" borderId="0" xfId="17" applyFont="1" applyAlignment="1">
      <alignment horizontal="right" vertical="center"/>
    </xf>
    <xf numFmtId="0" fontId="70" fillId="0" borderId="0" xfId="17" applyFont="1" applyAlignment="1">
      <alignment horizontal="center"/>
    </xf>
    <xf numFmtId="0" fontId="69" fillId="0" borderId="0" xfId="17" applyFont="1" applyAlignment="1">
      <alignment horizontal="left" vertical="center"/>
    </xf>
    <xf numFmtId="0" fontId="69" fillId="0" borderId="0" xfId="17" applyFont="1" applyAlignment="1">
      <alignment horizontal="center" vertical="top"/>
    </xf>
    <xf numFmtId="164" fontId="16" fillId="8" borderId="34" xfId="0" applyNumberFormat="1" applyFont="1" applyFill="1" applyBorder="1" applyAlignment="1">
      <alignment horizontal="right" vertical="center" wrapText="1"/>
    </xf>
    <xf numFmtId="164" fontId="16" fillId="8" borderId="21" xfId="0" applyNumberFormat="1" applyFont="1" applyFill="1" applyBorder="1" applyAlignment="1">
      <alignment horizontal="right" vertical="center" wrapText="1"/>
    </xf>
    <xf numFmtId="0" fontId="11" fillId="0" borderId="20" xfId="7" applyAlignment="1">
      <alignment horizontal="center"/>
    </xf>
    <xf numFmtId="44" fontId="5" fillId="0" borderId="0" xfId="16" applyNumberFormat="1" applyFill="1" applyBorder="1" applyAlignment="1">
      <alignment horizontal="left" vertical="top" wrapText="1"/>
    </xf>
    <xf numFmtId="44" fontId="89" fillId="33" borderId="72" xfId="6" applyNumberFormat="1" applyFont="1" applyFill="1" applyBorder="1" applyAlignment="1">
      <alignment horizontal="center" vertical="center" wrapText="1"/>
    </xf>
    <xf numFmtId="44" fontId="89" fillId="33" borderId="28" xfId="6" applyNumberFormat="1" applyFont="1" applyFill="1" applyBorder="1" applyAlignment="1">
      <alignment horizontal="center" vertical="center" wrapText="1"/>
    </xf>
    <xf numFmtId="44" fontId="89" fillId="33" borderId="41" xfId="6" applyNumberFormat="1" applyFont="1" applyFill="1" applyBorder="1" applyAlignment="1">
      <alignment horizontal="center" vertical="center" wrapText="1"/>
    </xf>
    <xf numFmtId="0" fontId="90" fillId="34" borderId="31" xfId="0" applyFont="1" applyFill="1" applyBorder="1" applyAlignment="1">
      <alignment horizontal="center" vertical="center" wrapText="1"/>
    </xf>
    <xf numFmtId="0" fontId="90" fillId="34" borderId="40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37" xfId="0" applyFont="1" applyFill="1" applyBorder="1" applyAlignment="1">
      <alignment horizontal="left" vertical="top"/>
    </xf>
    <xf numFmtId="0" fontId="13" fillId="14" borderId="18" xfId="0" applyFont="1" applyFill="1" applyBorder="1" applyAlignment="1">
      <alignment horizontal="left" vertical="top" wrapText="1"/>
    </xf>
    <xf numFmtId="0" fontId="13" fillId="14" borderId="26" xfId="0" applyFont="1" applyFill="1" applyBorder="1" applyAlignment="1">
      <alignment horizontal="left" vertical="top" wrapText="1"/>
    </xf>
    <xf numFmtId="0" fontId="13" fillId="14" borderId="25" xfId="0" applyFont="1" applyFill="1" applyBorder="1" applyAlignment="1">
      <alignment horizontal="left" vertical="top" wrapText="1"/>
    </xf>
    <xf numFmtId="0" fontId="13" fillId="14" borderId="11" xfId="0" applyFont="1" applyFill="1" applyBorder="1" applyAlignment="1">
      <alignment horizontal="left" vertical="top" wrapText="1"/>
    </xf>
    <xf numFmtId="0" fontId="13" fillId="14" borderId="0" xfId="0" applyFont="1" applyFill="1" applyAlignment="1">
      <alignment horizontal="left" vertical="top" wrapText="1"/>
    </xf>
    <xf numFmtId="0" fontId="13" fillId="14" borderId="22" xfId="0" applyFont="1" applyFill="1" applyBorder="1" applyAlignment="1">
      <alignment horizontal="left" vertical="top" wrapText="1"/>
    </xf>
    <xf numFmtId="0" fontId="13" fillId="14" borderId="16" xfId="0" applyFont="1" applyFill="1" applyBorder="1" applyAlignment="1">
      <alignment horizontal="left" vertical="top" wrapText="1"/>
    </xf>
    <xf numFmtId="0" fontId="13" fillId="14" borderId="3" xfId="0" applyFont="1" applyFill="1" applyBorder="1" applyAlignment="1">
      <alignment horizontal="left" vertical="top" wrapText="1"/>
    </xf>
    <xf numFmtId="0" fontId="13" fillId="14" borderId="37" xfId="0" applyFont="1" applyFill="1" applyBorder="1" applyAlignment="1">
      <alignment horizontal="left" vertical="top" wrapText="1"/>
    </xf>
    <xf numFmtId="164" fontId="16" fillId="8" borderId="15" xfId="0" applyNumberFormat="1" applyFont="1" applyFill="1" applyBorder="1" applyAlignment="1">
      <alignment horizontal="right" vertical="center" wrapText="1"/>
    </xf>
    <xf numFmtId="164" fontId="16" fillId="8" borderId="17" xfId="0" applyNumberFormat="1" applyFont="1" applyFill="1" applyBorder="1" applyAlignment="1">
      <alignment horizontal="right" vertical="center" wrapText="1"/>
    </xf>
    <xf numFmtId="164" fontId="16" fillId="8" borderId="35" xfId="0" applyNumberFormat="1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25" fillId="28" borderId="4" xfId="0" applyFont="1" applyFill="1" applyBorder="1" applyAlignment="1">
      <alignment vertical="center" wrapText="1"/>
    </xf>
    <xf numFmtId="44" fontId="86" fillId="33" borderId="15" xfId="6" applyNumberFormat="1" applyFont="1" applyFill="1" applyBorder="1" applyAlignment="1">
      <alignment horizontal="center" vertical="center" wrapText="1"/>
    </xf>
    <xf numFmtId="44" fontId="86" fillId="33" borderId="17" xfId="6" applyNumberFormat="1" applyFont="1" applyFill="1" applyBorder="1" applyAlignment="1">
      <alignment horizontal="center" vertical="center" wrapText="1"/>
    </xf>
    <xf numFmtId="44" fontId="86" fillId="33" borderId="19" xfId="6" applyNumberFormat="1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vertical="center"/>
    </xf>
    <xf numFmtId="0" fontId="16" fillId="34" borderId="25" xfId="0" applyFont="1" applyFill="1" applyBorder="1" applyAlignment="1">
      <alignment vertical="center"/>
    </xf>
    <xf numFmtId="0" fontId="15" fillId="28" borderId="1" xfId="0" quotePrefix="1" applyFont="1" applyFill="1" applyBorder="1" applyAlignment="1">
      <alignment horizontal="center" vertical="center" textRotation="90" wrapText="1"/>
    </xf>
    <xf numFmtId="0" fontId="25" fillId="2" borderId="4" xfId="0" applyFont="1" applyFill="1" applyBorder="1" applyAlignment="1">
      <alignment vertical="center" wrapText="1"/>
    </xf>
    <xf numFmtId="0" fontId="25" fillId="28" borderId="2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top"/>
    </xf>
    <xf numFmtId="0" fontId="13" fillId="28" borderId="5" xfId="0" applyFont="1" applyFill="1" applyBorder="1" applyAlignment="1">
      <alignment horizontal="center" vertical="top" wrapText="1"/>
    </xf>
    <xf numFmtId="44" fontId="17" fillId="28" borderId="37" xfId="0" applyNumberFormat="1" applyFont="1" applyFill="1" applyBorder="1" applyAlignment="1">
      <alignment horizontal="center" vertical="top" wrapText="1"/>
    </xf>
    <xf numFmtId="44" fontId="25" fillId="28" borderId="4" xfId="0" applyNumberFormat="1" applyFont="1" applyFill="1" applyBorder="1" applyAlignment="1">
      <alignment horizontal="center" vertical="top" wrapText="1"/>
    </xf>
    <xf numFmtId="0" fontId="25" fillId="28" borderId="4" xfId="0" applyFont="1" applyFill="1" applyBorder="1" applyAlignment="1">
      <alignment vertical="top" wrapText="1"/>
    </xf>
    <xf numFmtId="0" fontId="15" fillId="28" borderId="4" xfId="0" applyFont="1" applyFill="1" applyBorder="1" applyAlignment="1">
      <alignment horizontal="center" vertical="top" textRotation="90" wrapText="1"/>
    </xf>
    <xf numFmtId="0" fontId="13" fillId="28" borderId="5" xfId="0" applyFont="1" applyFill="1" applyBorder="1" applyAlignment="1">
      <alignment horizontal="center" wrapText="1"/>
    </xf>
    <xf numFmtId="4" fontId="13" fillId="28" borderId="5" xfId="0" applyNumberFormat="1" applyFont="1" applyFill="1" applyBorder="1" applyAlignment="1">
      <alignment horizontal="center" wrapText="1"/>
    </xf>
    <xf numFmtId="44" fontId="15" fillId="28" borderId="15" xfId="0" applyNumberFormat="1" applyFont="1" applyFill="1" applyBorder="1" applyAlignment="1">
      <alignment horizontal="center" vertical="top"/>
    </xf>
    <xf numFmtId="44" fontId="16" fillId="17" borderId="37" xfId="0" applyNumberFormat="1" applyFont="1" applyFill="1" applyBorder="1" applyAlignment="1">
      <alignment horizontal="center" vertical="center" wrapText="1"/>
    </xf>
    <xf numFmtId="44" fontId="16" fillId="17" borderId="25" xfId="0" applyNumberFormat="1" applyFont="1" applyFill="1" applyBorder="1" applyAlignment="1">
      <alignment horizontal="center" vertical="center" wrapText="1"/>
    </xf>
    <xf numFmtId="44" fontId="16" fillId="17" borderId="0" xfId="0" applyNumberFormat="1" applyFont="1" applyFill="1" applyBorder="1" applyAlignment="1">
      <alignment horizontal="center" vertical="center"/>
    </xf>
    <xf numFmtId="4" fontId="16" fillId="17" borderId="0" xfId="0" applyNumberFormat="1" applyFont="1" applyFill="1" applyBorder="1" applyAlignment="1">
      <alignment horizontal="center" vertical="center"/>
    </xf>
    <xf numFmtId="44" fontId="23" fillId="28" borderId="18" xfId="0" applyNumberFormat="1" applyFont="1" applyFill="1" applyBorder="1" applyAlignment="1">
      <alignment horizontal="center" vertical="center"/>
    </xf>
    <xf numFmtId="44" fontId="23" fillId="28" borderId="11" xfId="0" applyNumberFormat="1" applyFont="1" applyFill="1" applyBorder="1" applyAlignment="1">
      <alignment horizontal="center" vertical="top"/>
    </xf>
    <xf numFmtId="44" fontId="23" fillId="28" borderId="16" xfId="0" applyNumberFormat="1" applyFont="1" applyFill="1" applyBorder="1" applyAlignment="1">
      <alignment horizontal="center" vertical="center"/>
    </xf>
    <xf numFmtId="4" fontId="16" fillId="17" borderId="3" xfId="0" applyNumberFormat="1" applyFont="1" applyFill="1" applyBorder="1" applyAlignment="1">
      <alignment horizontal="center" vertical="center"/>
    </xf>
    <xf numFmtId="0" fontId="12" fillId="7" borderId="7" xfId="6" applyFont="1" applyBorder="1" applyAlignment="1">
      <alignment horizontal="center" vertical="center"/>
    </xf>
    <xf numFmtId="44" fontId="25" fillId="28" borderId="3" xfId="0" applyNumberFormat="1" applyFont="1" applyFill="1" applyBorder="1" applyAlignment="1">
      <alignment horizontal="center" vertical="center" wrapText="1"/>
    </xf>
    <xf numFmtId="0" fontId="25" fillId="28" borderId="2" xfId="0" applyFont="1" applyFill="1" applyBorder="1" applyAlignment="1">
      <alignment vertical="center" wrapText="1"/>
    </xf>
    <xf numFmtId="44" fontId="15" fillId="28" borderId="3" xfId="0" applyNumberFormat="1" applyFont="1" applyFill="1" applyBorder="1" applyAlignment="1">
      <alignment horizontal="center" vertical="center"/>
    </xf>
    <xf numFmtId="0" fontId="13" fillId="28" borderId="4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44" fontId="16" fillId="18" borderId="22" xfId="0" applyNumberFormat="1" applyFont="1" applyFill="1" applyBorder="1" applyAlignment="1">
      <alignment horizontal="center"/>
    </xf>
    <xf numFmtId="44" fontId="79" fillId="31" borderId="37" xfId="0" applyNumberFormat="1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left" vertical="center"/>
    </xf>
    <xf numFmtId="44" fontId="16" fillId="17" borderId="4" xfId="0" applyNumberFormat="1" applyFont="1" applyFill="1" applyBorder="1" applyAlignment="1">
      <alignment horizontal="center" vertical="center" wrapText="1"/>
    </xf>
    <xf numFmtId="44" fontId="16" fillId="17" borderId="5" xfId="0" applyNumberFormat="1" applyFont="1" applyFill="1" applyBorder="1" applyAlignment="1">
      <alignment horizontal="center" vertical="center" wrapText="1"/>
    </xf>
    <xf numFmtId="44" fontId="79" fillId="31" borderId="17" xfId="0" applyNumberFormat="1" applyFont="1" applyFill="1" applyBorder="1" applyAlignment="1">
      <alignment horizontal="left" vertical="center" wrapText="1"/>
    </xf>
    <xf numFmtId="44" fontId="98" fillId="31" borderId="3" xfId="0" applyNumberFormat="1" applyFont="1" applyFill="1" applyBorder="1" applyAlignment="1">
      <alignment horizontal="left" vertical="center" wrapText="1"/>
    </xf>
    <xf numFmtId="44" fontId="13" fillId="28" borderId="1" xfId="0" applyNumberFormat="1" applyFont="1" applyFill="1" applyBorder="1" applyAlignment="1">
      <alignment horizontal="center" vertical="center" wrapText="1"/>
    </xf>
    <xf numFmtId="44" fontId="16" fillId="17" borderId="3" xfId="0" applyNumberFormat="1" applyFont="1" applyFill="1" applyBorder="1" applyAlignment="1">
      <alignment horizontal="center" vertical="center" wrapText="1"/>
    </xf>
    <xf numFmtId="44" fontId="77" fillId="31" borderId="17" xfId="0" applyNumberFormat="1" applyFont="1" applyFill="1" applyBorder="1" applyAlignment="1">
      <alignment horizontal="left" vertical="center" wrapText="1"/>
    </xf>
    <xf numFmtId="44" fontId="79" fillId="31" borderId="37" xfId="0" applyNumberFormat="1" applyFont="1" applyFill="1" applyBorder="1" applyAlignment="1">
      <alignment horizontal="center" vertical="center" wrapText="1"/>
    </xf>
    <xf numFmtId="44" fontId="98" fillId="31" borderId="19" xfId="0" applyNumberFormat="1" applyFont="1" applyFill="1" applyBorder="1" applyAlignment="1">
      <alignment horizontal="left" vertical="center" wrapText="1"/>
    </xf>
    <xf numFmtId="44" fontId="25" fillId="28" borderId="2" xfId="0" applyNumberFormat="1" applyFont="1" applyFill="1" applyBorder="1" applyAlignment="1">
      <alignment horizontal="center" vertical="center" wrapText="1"/>
    </xf>
    <xf numFmtId="44" fontId="97" fillId="28" borderId="1" xfId="0" applyNumberFormat="1" applyFont="1" applyFill="1" applyBorder="1" applyAlignment="1">
      <alignment horizontal="center" vertical="center" wrapText="1"/>
    </xf>
    <xf numFmtId="44" fontId="80" fillId="28" borderId="1" xfId="0" applyNumberFormat="1" applyFont="1" applyFill="1" applyBorder="1" applyAlignment="1">
      <alignment horizontal="center" vertical="center" wrapText="1"/>
    </xf>
    <xf numFmtId="44" fontId="15" fillId="28" borderId="11" xfId="0" applyNumberFormat="1" applyFont="1" applyFill="1" applyBorder="1" applyAlignment="1">
      <alignment horizontal="center" vertical="top"/>
    </xf>
    <xf numFmtId="44" fontId="16" fillId="18" borderId="5" xfId="0" applyNumberFormat="1" applyFont="1" applyFill="1" applyBorder="1" applyAlignment="1">
      <alignment horizontal="center" vertical="top"/>
    </xf>
    <xf numFmtId="44" fontId="97" fillId="0" borderId="1" xfId="0" applyNumberFormat="1" applyFont="1" applyFill="1" applyBorder="1" applyAlignment="1">
      <alignment horizontal="center" vertical="center" wrapText="1"/>
    </xf>
    <xf numFmtId="0" fontId="26" fillId="0" borderId="0" xfId="10" applyFont="1" applyFill="1" applyBorder="1" applyAlignment="1"/>
    <xf numFmtId="44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0" fillId="0" borderId="0" xfId="0" applyNumberFormat="1" applyFill="1" applyBorder="1" applyAlignment="1">
      <alignment horizontal="center" vertical="center"/>
    </xf>
    <xf numFmtId="9" fontId="22" fillId="0" borderId="0" xfId="12" applyNumberForma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44" fontId="34" fillId="0" borderId="19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4" fontId="18" fillId="28" borderId="11" xfId="0" applyNumberFormat="1" applyFont="1" applyFill="1" applyBorder="1" applyAlignment="1">
      <alignment horizontal="center"/>
    </xf>
    <xf numFmtId="0" fontId="99" fillId="9" borderId="15" xfId="0" applyFont="1" applyFill="1" applyBorder="1" applyAlignment="1">
      <alignment horizontal="left" vertical="top" wrapText="1"/>
    </xf>
    <xf numFmtId="0" fontId="99" fillId="9" borderId="17" xfId="0" applyFont="1" applyFill="1" applyBorder="1" applyAlignment="1">
      <alignment horizontal="left" vertical="top" wrapText="1"/>
    </xf>
    <xf numFmtId="0" fontId="99" fillId="9" borderId="19" xfId="0" applyFont="1" applyFill="1" applyBorder="1" applyAlignment="1">
      <alignment horizontal="left" vertical="top" wrapText="1"/>
    </xf>
    <xf numFmtId="0" fontId="77" fillId="17" borderId="37" xfId="0" applyFont="1" applyFill="1" applyBorder="1" applyAlignment="1">
      <alignment horizontal="center" vertical="top" wrapText="1"/>
    </xf>
  </cellXfs>
  <cellStyles count="20">
    <cellStyle name="20% - Ênfase2" xfId="15" builtinId="34"/>
    <cellStyle name="20% - Ênfase4" xfId="16" builtinId="42"/>
    <cellStyle name="40% - Ênfase4" xfId="8" builtinId="43"/>
    <cellStyle name="Bom" xfId="11" builtinId="26"/>
    <cellStyle name="Ênfase2" xfId="6" builtinId="33"/>
    <cellStyle name="Hiperlink" xfId="1" builtinId="8"/>
    <cellStyle name="Neutro" xfId="12" builtinId="28"/>
    <cellStyle name="Normal" xfId="0" builtinId="0"/>
    <cellStyle name="Normal 2" xfId="3" xr:uid="{00000000-0005-0000-0000-00000B000000}"/>
    <cellStyle name="Normal 2 2" xfId="19" xr:uid="{00000000-0005-0000-0000-00000C000000}"/>
    <cellStyle name="Normal 3" xfId="17" xr:uid="{00000000-0005-0000-0000-00000D000000}"/>
    <cellStyle name="Porcentagem" xfId="13" builtinId="5"/>
    <cellStyle name="Porcentagem 2" xfId="5" xr:uid="{00000000-0005-0000-0000-00000F000000}"/>
    <cellStyle name="Porcentagem 3" xfId="4" xr:uid="{00000000-0005-0000-0000-000010000000}"/>
    <cellStyle name="Porcentagem 4" xfId="18" xr:uid="{00000000-0005-0000-0000-000011000000}"/>
    <cellStyle name="Ruim" xfId="14" builtinId="27"/>
    <cellStyle name="Título 1" xfId="7" builtinId="16"/>
    <cellStyle name="Título 2" xfId="9" builtinId="17"/>
    <cellStyle name="Título 3" xfId="10" builtinId="18"/>
    <cellStyle name="Vírgula 2" xfId="2" xr:uid="{00000000-0005-0000-0000-000016000000}"/>
  </cellStyles>
  <dxfs count="4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C00000"/>
      </font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C0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C0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C0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R$&quot;\ * #,##0.00_-;\-&quot;R$&quot;\ * #,##0.00_-;_-&quot;R$&quot;\ 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Estilo de Tabela Dinâmica 1">
    <tableStyle name="Estilo de Tabela Dinâmica 1" table="0" count="0" xr9:uid="{00000000-0011-0000-FFFF-FFFF00000000}"/>
  </tableStyles>
  <colors>
    <mruColors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1.png"/><Relationship Id="rId5" Type="http://schemas.openxmlformats.org/officeDocument/2006/relationships/image" Target="../media/image26.png"/><Relationship Id="rId4" Type="http://schemas.openxmlformats.org/officeDocument/2006/relationships/image" Target="../media/image2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jpeg"/><Relationship Id="rId2" Type="http://schemas.openxmlformats.org/officeDocument/2006/relationships/image" Target="../media/image28.jpeg"/><Relationship Id="rId1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1033907</xdr:colOff>
      <xdr:row>80</xdr:row>
      <xdr:rowOff>0</xdr:rowOff>
    </xdr:from>
    <xdr:ext cx="3126105" cy="762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89743E54-1982-4271-82C0-6494249CCE66}"/>
            </a:ext>
          </a:extLst>
        </xdr:cNvPr>
        <xdr:cNvSpPr/>
      </xdr:nvSpPr>
      <xdr:spPr>
        <a:xfrm>
          <a:off x="3495167" y="16817340"/>
          <a:ext cx="3126105" cy="7620"/>
        </a:xfrm>
        <a:custGeom>
          <a:avLst/>
          <a:gdLst/>
          <a:ahLst/>
          <a:cxnLst/>
          <a:rect l="0" t="0" r="0" b="0"/>
          <a:pathLst>
            <a:path w="3126105" h="7620">
              <a:moveTo>
                <a:pt x="3125723" y="7619"/>
              </a:moveTo>
              <a:lnTo>
                <a:pt x="0" y="7619"/>
              </a:lnTo>
              <a:lnTo>
                <a:pt x="0" y="0"/>
              </a:lnTo>
              <a:lnTo>
                <a:pt x="3125723" y="0"/>
              </a:lnTo>
              <a:lnTo>
                <a:pt x="3125723" y="7619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1714434</xdr:colOff>
      <xdr:row>5</xdr:row>
      <xdr:rowOff>34290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70C1036A-D9FF-4057-B41A-794780BC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1614" cy="948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419100</xdr:colOff>
      <xdr:row>19</xdr:row>
      <xdr:rowOff>601980</xdr:rowOff>
    </xdr:from>
    <xdr:to>
      <xdr:col>18</xdr:col>
      <xdr:colOff>555067</xdr:colOff>
      <xdr:row>20</xdr:row>
      <xdr:rowOff>207645</xdr:rowOff>
    </xdr:to>
    <xdr:pic>
      <xdr:nvPicPr>
        <xdr:cNvPr id="4" name="Imagem 3" descr="Estatisticas - ícones de computador grátis">
          <a:extLst>
            <a:ext uri="{FF2B5EF4-FFF2-40B4-BE49-F238E27FC236}">
              <a16:creationId xmlns:a16="http://schemas.microsoft.com/office/drawing/2014/main" id="{5BE6CE33-D870-488B-9461-F6BFCDD2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525" y="6031230"/>
          <a:ext cx="686512" cy="672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468629</xdr:colOff>
      <xdr:row>20</xdr:row>
      <xdr:rowOff>409575</xdr:rowOff>
    </xdr:from>
    <xdr:to>
      <xdr:col>18</xdr:col>
      <xdr:colOff>560069</xdr:colOff>
      <xdr:row>20</xdr:row>
      <xdr:rowOff>615315</xdr:rowOff>
    </xdr:to>
    <xdr:sp macro="" textlink="">
      <xdr:nvSpPr>
        <xdr:cNvPr id="5" name="Seta: para a Esquerda 4">
          <a:extLst>
            <a:ext uri="{FF2B5EF4-FFF2-40B4-BE49-F238E27FC236}">
              <a16:creationId xmlns:a16="http://schemas.microsoft.com/office/drawing/2014/main" id="{9F7D753C-F920-4F9B-900A-86089D2F0B2E}"/>
            </a:ext>
          </a:extLst>
        </xdr:cNvPr>
        <xdr:cNvSpPr/>
      </xdr:nvSpPr>
      <xdr:spPr>
        <a:xfrm rot="10800000">
          <a:off x="17204054" y="6896100"/>
          <a:ext cx="634365" cy="20574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1657284</xdr:colOff>
      <xdr:row>4</xdr:row>
      <xdr:rowOff>93906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1E030ADB-2D16-457E-AF4D-CCB72D0C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09" cy="939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419100</xdr:colOff>
      <xdr:row>32</xdr:row>
      <xdr:rowOff>457200</xdr:rowOff>
    </xdr:from>
    <xdr:to>
      <xdr:col>18</xdr:col>
      <xdr:colOff>644624</xdr:colOff>
      <xdr:row>33</xdr:row>
      <xdr:rowOff>548640</xdr:rowOff>
    </xdr:to>
    <xdr:pic>
      <xdr:nvPicPr>
        <xdr:cNvPr id="4" name="Imagem 3" descr="Estatisticas - ícones de computador grátis">
          <a:extLst>
            <a:ext uri="{FF2B5EF4-FFF2-40B4-BE49-F238E27FC236}">
              <a16:creationId xmlns:a16="http://schemas.microsoft.com/office/drawing/2014/main" id="{4931B9E3-B574-44F4-A338-30DA4BE1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7400" y="21650325"/>
          <a:ext cx="711299" cy="69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388620</xdr:colOff>
      <xdr:row>34</xdr:row>
      <xdr:rowOff>57150</xdr:rowOff>
    </xdr:from>
    <xdr:to>
      <xdr:col>18</xdr:col>
      <xdr:colOff>666750</xdr:colOff>
      <xdr:row>34</xdr:row>
      <xdr:rowOff>285750</xdr:rowOff>
    </xdr:to>
    <xdr:sp macro="" textlink="">
      <xdr:nvSpPr>
        <xdr:cNvPr id="5" name="Seta: para a Esquerda 4">
          <a:extLst>
            <a:ext uri="{FF2B5EF4-FFF2-40B4-BE49-F238E27FC236}">
              <a16:creationId xmlns:a16="http://schemas.microsoft.com/office/drawing/2014/main" id="{099C0290-DF57-426C-A4F6-317342AE0262}"/>
            </a:ext>
          </a:extLst>
        </xdr:cNvPr>
        <xdr:cNvSpPr/>
      </xdr:nvSpPr>
      <xdr:spPr>
        <a:xfrm rot="10800000">
          <a:off x="17266920" y="22536150"/>
          <a:ext cx="76390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457200</xdr:colOff>
      <xdr:row>36</xdr:row>
      <xdr:rowOff>57150</xdr:rowOff>
    </xdr:from>
    <xdr:to>
      <xdr:col>18</xdr:col>
      <xdr:colOff>665579</xdr:colOff>
      <xdr:row>37</xdr:row>
      <xdr:rowOff>97155</xdr:rowOff>
    </xdr:to>
    <xdr:pic>
      <xdr:nvPicPr>
        <xdr:cNvPr id="6" name="Imagem 5" descr="Estatisticas - ícones de computador grátis">
          <a:extLst>
            <a:ext uri="{FF2B5EF4-FFF2-40B4-BE49-F238E27FC236}">
              <a16:creationId xmlns:a16="http://schemas.microsoft.com/office/drawing/2014/main" id="{43493B0C-8EEC-463C-89BB-4B94EDD3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3993475"/>
          <a:ext cx="703679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447675</xdr:colOff>
      <xdr:row>37</xdr:row>
      <xdr:rowOff>209550</xdr:rowOff>
    </xdr:from>
    <xdr:to>
      <xdr:col>18</xdr:col>
      <xdr:colOff>720090</xdr:colOff>
      <xdr:row>37</xdr:row>
      <xdr:rowOff>438150</xdr:rowOff>
    </xdr:to>
    <xdr:sp macro="" textlink="">
      <xdr:nvSpPr>
        <xdr:cNvPr id="7" name="Seta: para a Esquerda 6">
          <a:extLst>
            <a:ext uri="{FF2B5EF4-FFF2-40B4-BE49-F238E27FC236}">
              <a16:creationId xmlns:a16="http://schemas.microsoft.com/office/drawing/2014/main" id="{BD410398-DCF2-40DA-B92A-4F1DBA854782}"/>
            </a:ext>
          </a:extLst>
        </xdr:cNvPr>
        <xdr:cNvSpPr/>
      </xdr:nvSpPr>
      <xdr:spPr>
        <a:xfrm rot="10800000">
          <a:off x="17325975" y="24803100"/>
          <a:ext cx="758190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457200</xdr:colOff>
      <xdr:row>40</xdr:row>
      <xdr:rowOff>123825</xdr:rowOff>
    </xdr:from>
    <xdr:to>
      <xdr:col>18</xdr:col>
      <xdr:colOff>669389</xdr:colOff>
      <xdr:row>41</xdr:row>
      <xdr:rowOff>211455</xdr:rowOff>
    </xdr:to>
    <xdr:pic>
      <xdr:nvPicPr>
        <xdr:cNvPr id="8" name="Imagem 7" descr="Estatisticas - ícones de computador grátis">
          <a:extLst>
            <a:ext uri="{FF2B5EF4-FFF2-40B4-BE49-F238E27FC236}">
              <a16:creationId xmlns:a16="http://schemas.microsoft.com/office/drawing/2014/main" id="{D4806078-A443-421C-B898-70A18E76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6679525"/>
          <a:ext cx="705584" cy="710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409575</xdr:colOff>
      <xdr:row>41</xdr:row>
      <xdr:rowOff>257175</xdr:rowOff>
    </xdr:from>
    <xdr:to>
      <xdr:col>18</xdr:col>
      <xdr:colOff>683895</xdr:colOff>
      <xdr:row>41</xdr:row>
      <xdr:rowOff>485775</xdr:rowOff>
    </xdr:to>
    <xdr:sp macro="" textlink="">
      <xdr:nvSpPr>
        <xdr:cNvPr id="9" name="Seta: para a Esquerda 8">
          <a:extLst>
            <a:ext uri="{FF2B5EF4-FFF2-40B4-BE49-F238E27FC236}">
              <a16:creationId xmlns:a16="http://schemas.microsoft.com/office/drawing/2014/main" id="{555FCB17-D354-40A1-B0C5-E9D78D7B1D50}"/>
            </a:ext>
          </a:extLst>
        </xdr:cNvPr>
        <xdr:cNvSpPr/>
      </xdr:nvSpPr>
      <xdr:spPr>
        <a:xfrm rot="10800000">
          <a:off x="17287875" y="27432000"/>
          <a:ext cx="76009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426720</xdr:colOff>
      <xdr:row>43</xdr:row>
      <xdr:rowOff>363855</xdr:rowOff>
    </xdr:from>
    <xdr:to>
      <xdr:col>18</xdr:col>
      <xdr:colOff>648434</xdr:colOff>
      <xdr:row>44</xdr:row>
      <xdr:rowOff>173355</xdr:rowOff>
    </xdr:to>
    <xdr:pic>
      <xdr:nvPicPr>
        <xdr:cNvPr id="10" name="Imagem 9" descr="Estatisticas - ícones de computador grátis">
          <a:extLst>
            <a:ext uri="{FF2B5EF4-FFF2-40B4-BE49-F238E27FC236}">
              <a16:creationId xmlns:a16="http://schemas.microsoft.com/office/drawing/2014/main" id="{E2D7671F-DE5E-4995-BB4B-7BCA8046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05020" y="29215080"/>
          <a:ext cx="707489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434340</xdr:colOff>
      <xdr:row>44</xdr:row>
      <xdr:rowOff>377190</xdr:rowOff>
    </xdr:from>
    <xdr:to>
      <xdr:col>18</xdr:col>
      <xdr:colOff>535305</xdr:colOff>
      <xdr:row>44</xdr:row>
      <xdr:rowOff>579120</xdr:rowOff>
    </xdr:to>
    <xdr:sp macro="" textlink="">
      <xdr:nvSpPr>
        <xdr:cNvPr id="11" name="Seta: para a Esquerda 10">
          <a:extLst>
            <a:ext uri="{FF2B5EF4-FFF2-40B4-BE49-F238E27FC236}">
              <a16:creationId xmlns:a16="http://schemas.microsoft.com/office/drawing/2014/main" id="{623618FC-66BF-4537-8469-FAE0ED171FC0}"/>
            </a:ext>
          </a:extLst>
        </xdr:cNvPr>
        <xdr:cNvSpPr/>
      </xdr:nvSpPr>
      <xdr:spPr>
        <a:xfrm rot="10800000">
          <a:off x="17579340" y="30114240"/>
          <a:ext cx="586740" cy="20193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0</xdr:colOff>
      <xdr:row>45</xdr:row>
      <xdr:rowOff>168655</xdr:rowOff>
    </xdr:from>
    <xdr:to>
      <xdr:col>18</xdr:col>
      <xdr:colOff>533400</xdr:colOff>
      <xdr:row>46</xdr:row>
      <xdr:rowOff>173355</xdr:rowOff>
    </xdr:to>
    <xdr:pic>
      <xdr:nvPicPr>
        <xdr:cNvPr id="12" name="Imagem 11" descr="Estatisticas - ícones de computador grátis">
          <a:extLst>
            <a:ext uri="{FF2B5EF4-FFF2-40B4-BE49-F238E27FC236}">
              <a16:creationId xmlns:a16="http://schemas.microsoft.com/office/drawing/2014/main" id="{16584297-F7AA-4E00-890B-B601566E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0775" y="30705805"/>
          <a:ext cx="533400" cy="534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381001</xdr:colOff>
      <xdr:row>48</xdr:row>
      <xdr:rowOff>361950</xdr:rowOff>
    </xdr:from>
    <xdr:to>
      <xdr:col>18</xdr:col>
      <xdr:colOff>549774</xdr:colOff>
      <xdr:row>49</xdr:row>
      <xdr:rowOff>419100</xdr:rowOff>
    </xdr:to>
    <xdr:pic>
      <xdr:nvPicPr>
        <xdr:cNvPr id="13" name="Imagem 12" descr="Estatisticas - ícones de computador grátis">
          <a:extLst>
            <a:ext uri="{FF2B5EF4-FFF2-40B4-BE49-F238E27FC236}">
              <a16:creationId xmlns:a16="http://schemas.microsoft.com/office/drawing/2014/main" id="{7DFE94CF-8B43-4C40-8570-8559CC34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7901" y="32527875"/>
          <a:ext cx="654548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28575</xdr:colOff>
      <xdr:row>46</xdr:row>
      <xdr:rowOff>285750</xdr:rowOff>
    </xdr:from>
    <xdr:to>
      <xdr:col>18</xdr:col>
      <xdr:colOff>615315</xdr:colOff>
      <xdr:row>46</xdr:row>
      <xdr:rowOff>493395</xdr:rowOff>
    </xdr:to>
    <xdr:sp macro="" textlink="">
      <xdr:nvSpPr>
        <xdr:cNvPr id="14" name="Seta: para a Esquerda 13">
          <a:extLst>
            <a:ext uri="{FF2B5EF4-FFF2-40B4-BE49-F238E27FC236}">
              <a16:creationId xmlns:a16="http://schemas.microsoft.com/office/drawing/2014/main" id="{977A73CC-001C-48DD-8F51-CE5FBBE6E3DD}"/>
            </a:ext>
          </a:extLst>
        </xdr:cNvPr>
        <xdr:cNvSpPr/>
      </xdr:nvSpPr>
      <xdr:spPr>
        <a:xfrm rot="10800000">
          <a:off x="17659350" y="31346775"/>
          <a:ext cx="586740" cy="20764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476250</xdr:colOff>
      <xdr:row>49</xdr:row>
      <xdr:rowOff>466725</xdr:rowOff>
    </xdr:from>
    <xdr:to>
      <xdr:col>18</xdr:col>
      <xdr:colOff>577215</xdr:colOff>
      <xdr:row>49</xdr:row>
      <xdr:rowOff>674370</xdr:rowOff>
    </xdr:to>
    <xdr:sp macro="" textlink="">
      <xdr:nvSpPr>
        <xdr:cNvPr id="15" name="Seta: para a Esquerda 14">
          <a:extLst>
            <a:ext uri="{FF2B5EF4-FFF2-40B4-BE49-F238E27FC236}">
              <a16:creationId xmlns:a16="http://schemas.microsoft.com/office/drawing/2014/main" id="{5149F18B-ED97-4F82-B533-F6C67D2E5E41}"/>
            </a:ext>
          </a:extLst>
        </xdr:cNvPr>
        <xdr:cNvSpPr/>
      </xdr:nvSpPr>
      <xdr:spPr>
        <a:xfrm rot="10800000">
          <a:off x="17621250" y="33213675"/>
          <a:ext cx="586740" cy="20764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430530</xdr:colOff>
      <xdr:row>50</xdr:row>
      <xdr:rowOff>240030</xdr:rowOff>
    </xdr:from>
    <xdr:to>
      <xdr:col>18</xdr:col>
      <xdr:colOff>552770</xdr:colOff>
      <xdr:row>51</xdr:row>
      <xdr:rowOff>247650</xdr:rowOff>
    </xdr:to>
    <xdr:pic>
      <xdr:nvPicPr>
        <xdr:cNvPr id="16" name="Imagem 15" descr="Estatisticas - ícones de computador grátis">
          <a:extLst>
            <a:ext uri="{FF2B5EF4-FFF2-40B4-BE49-F238E27FC236}">
              <a16:creationId xmlns:a16="http://schemas.microsoft.com/office/drawing/2014/main" id="{2479AEC4-8422-40F8-B990-927D3A6A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7430" y="33825180"/>
          <a:ext cx="600395" cy="58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466725</xdr:colOff>
      <xdr:row>51</xdr:row>
      <xdr:rowOff>333375</xdr:rowOff>
    </xdr:from>
    <xdr:to>
      <xdr:col>18</xdr:col>
      <xdr:colOff>569595</xdr:colOff>
      <xdr:row>51</xdr:row>
      <xdr:rowOff>541020</xdr:rowOff>
    </xdr:to>
    <xdr:sp macro="" textlink="">
      <xdr:nvSpPr>
        <xdr:cNvPr id="17" name="Seta: para a Esquerda 16">
          <a:extLst>
            <a:ext uri="{FF2B5EF4-FFF2-40B4-BE49-F238E27FC236}">
              <a16:creationId xmlns:a16="http://schemas.microsoft.com/office/drawing/2014/main" id="{152991E6-BB67-4549-B019-DD5DFF0704B6}"/>
            </a:ext>
          </a:extLst>
        </xdr:cNvPr>
        <xdr:cNvSpPr/>
      </xdr:nvSpPr>
      <xdr:spPr>
        <a:xfrm rot="10800000">
          <a:off x="17573625" y="34499550"/>
          <a:ext cx="588645" cy="20764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409575</xdr:colOff>
      <xdr:row>55</xdr:row>
      <xdr:rowOff>180975</xdr:rowOff>
    </xdr:from>
    <xdr:to>
      <xdr:col>18</xdr:col>
      <xdr:colOff>512445</xdr:colOff>
      <xdr:row>55</xdr:row>
      <xdr:rowOff>388620</xdr:rowOff>
    </xdr:to>
    <xdr:sp macro="" textlink="">
      <xdr:nvSpPr>
        <xdr:cNvPr id="18" name="Seta: para a Esquerda 17">
          <a:extLst>
            <a:ext uri="{FF2B5EF4-FFF2-40B4-BE49-F238E27FC236}">
              <a16:creationId xmlns:a16="http://schemas.microsoft.com/office/drawing/2014/main" id="{26C6A883-C78C-4294-AF4D-90839F352C6C}"/>
            </a:ext>
          </a:extLst>
        </xdr:cNvPr>
        <xdr:cNvSpPr/>
      </xdr:nvSpPr>
      <xdr:spPr>
        <a:xfrm rot="10800000">
          <a:off x="17516475" y="36776025"/>
          <a:ext cx="588645" cy="20764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360045</xdr:colOff>
      <xdr:row>53</xdr:row>
      <xdr:rowOff>512445</xdr:rowOff>
    </xdr:from>
    <xdr:to>
      <xdr:col>18</xdr:col>
      <xdr:colOff>589379</xdr:colOff>
      <xdr:row>54</xdr:row>
      <xdr:rowOff>548640</xdr:rowOff>
    </xdr:to>
    <xdr:pic>
      <xdr:nvPicPr>
        <xdr:cNvPr id="19" name="Imagem 18" descr="Estatisticas - ícones de computador grátis">
          <a:extLst>
            <a:ext uri="{FF2B5EF4-FFF2-40B4-BE49-F238E27FC236}">
              <a16:creationId xmlns:a16="http://schemas.microsoft.com/office/drawing/2014/main" id="{179A17C8-DE22-40DA-BFA4-3CFF6D86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6945" y="35926395"/>
          <a:ext cx="715109" cy="70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707489</xdr:colOff>
      <xdr:row>61</xdr:row>
      <xdr:rowOff>1905</xdr:rowOff>
    </xdr:to>
    <xdr:pic>
      <xdr:nvPicPr>
        <xdr:cNvPr id="20" name="Imagem 19" descr="Estatisticas - ícones de computador grátis">
          <a:extLst>
            <a:ext uri="{FF2B5EF4-FFF2-40B4-BE49-F238E27FC236}">
              <a16:creationId xmlns:a16="http://schemas.microsoft.com/office/drawing/2014/main" id="{E3FA81A7-9D99-4163-A50A-9A131797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39919275"/>
          <a:ext cx="711299" cy="699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707489</xdr:colOff>
      <xdr:row>66</xdr:row>
      <xdr:rowOff>702945</xdr:rowOff>
    </xdr:to>
    <xdr:pic>
      <xdr:nvPicPr>
        <xdr:cNvPr id="21" name="Imagem 20" descr="Estatisticas - ícones de computador grátis">
          <a:extLst>
            <a:ext uri="{FF2B5EF4-FFF2-40B4-BE49-F238E27FC236}">
              <a16:creationId xmlns:a16="http://schemas.microsoft.com/office/drawing/2014/main" id="{6E757655-65C9-4809-89C0-0C199459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43776900"/>
          <a:ext cx="711299" cy="699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594360</xdr:colOff>
      <xdr:row>61</xdr:row>
      <xdr:rowOff>211455</xdr:rowOff>
    </xdr:to>
    <xdr:sp macro="" textlink="">
      <xdr:nvSpPr>
        <xdr:cNvPr id="22" name="Seta: para a Esquerda 21">
          <a:extLst>
            <a:ext uri="{FF2B5EF4-FFF2-40B4-BE49-F238E27FC236}">
              <a16:creationId xmlns:a16="http://schemas.microsoft.com/office/drawing/2014/main" id="{BC49EC15-6922-4629-964F-0A4E378D7CF3}"/>
            </a:ext>
          </a:extLst>
        </xdr:cNvPr>
        <xdr:cNvSpPr/>
      </xdr:nvSpPr>
      <xdr:spPr>
        <a:xfrm rot="10800000">
          <a:off x="17592675" y="40624125"/>
          <a:ext cx="594360" cy="2114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594360</xdr:colOff>
      <xdr:row>67</xdr:row>
      <xdr:rowOff>211455</xdr:rowOff>
    </xdr:to>
    <xdr:sp macro="" textlink="">
      <xdr:nvSpPr>
        <xdr:cNvPr id="23" name="Seta: para a Esquerda 22">
          <a:extLst>
            <a:ext uri="{FF2B5EF4-FFF2-40B4-BE49-F238E27FC236}">
              <a16:creationId xmlns:a16="http://schemas.microsoft.com/office/drawing/2014/main" id="{514792A4-1742-4802-8430-B85ED53A99FB}"/>
            </a:ext>
          </a:extLst>
        </xdr:cNvPr>
        <xdr:cNvSpPr/>
      </xdr:nvSpPr>
      <xdr:spPr>
        <a:xfrm rot="10800000">
          <a:off x="17592675" y="44634150"/>
          <a:ext cx="594360" cy="2114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703679</xdr:colOff>
      <xdr:row>72</xdr:row>
      <xdr:rowOff>703858</xdr:rowOff>
    </xdr:to>
    <xdr:pic>
      <xdr:nvPicPr>
        <xdr:cNvPr id="24" name="Imagem 23" descr="Estatisticas - ícones de computador grátis">
          <a:extLst>
            <a:ext uri="{FF2B5EF4-FFF2-40B4-BE49-F238E27FC236}">
              <a16:creationId xmlns:a16="http://schemas.microsoft.com/office/drawing/2014/main" id="{0D24D49B-9198-46AE-9F7A-4DDE6DAF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48006000"/>
          <a:ext cx="703679" cy="706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73</xdr:row>
      <xdr:rowOff>182217</xdr:rowOff>
    </xdr:from>
    <xdr:to>
      <xdr:col>18</xdr:col>
      <xdr:colOff>586740</xdr:colOff>
      <xdr:row>73</xdr:row>
      <xdr:rowOff>393672</xdr:rowOff>
    </xdr:to>
    <xdr:sp macro="" textlink="">
      <xdr:nvSpPr>
        <xdr:cNvPr id="25" name="Seta: para a Esquerda 24">
          <a:extLst>
            <a:ext uri="{FF2B5EF4-FFF2-40B4-BE49-F238E27FC236}">
              <a16:creationId xmlns:a16="http://schemas.microsoft.com/office/drawing/2014/main" id="{C9FE162A-0B4B-421A-BD97-FAC83FE6C435}"/>
            </a:ext>
          </a:extLst>
        </xdr:cNvPr>
        <xdr:cNvSpPr/>
      </xdr:nvSpPr>
      <xdr:spPr>
        <a:xfrm rot="10800000">
          <a:off x="17592261" y="48842543"/>
          <a:ext cx="586740" cy="2114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707489</xdr:colOff>
      <xdr:row>79</xdr:row>
      <xdr:rowOff>37272</xdr:rowOff>
    </xdr:to>
    <xdr:pic>
      <xdr:nvPicPr>
        <xdr:cNvPr id="26" name="Imagem 25" descr="Estatisticas - ícones de computador grátis">
          <a:extLst>
            <a:ext uri="{FF2B5EF4-FFF2-40B4-BE49-F238E27FC236}">
              <a16:creationId xmlns:a16="http://schemas.microsoft.com/office/drawing/2014/main" id="{D06C1711-E5ED-469F-848F-F6468583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261" y="52412348"/>
          <a:ext cx="703679" cy="71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49696</xdr:colOff>
      <xdr:row>79</xdr:row>
      <xdr:rowOff>173935</xdr:rowOff>
    </xdr:from>
    <xdr:to>
      <xdr:col>18</xdr:col>
      <xdr:colOff>636436</xdr:colOff>
      <xdr:row>79</xdr:row>
      <xdr:rowOff>389200</xdr:rowOff>
    </xdr:to>
    <xdr:sp macro="" textlink="">
      <xdr:nvSpPr>
        <xdr:cNvPr id="27" name="Seta: para a Esquerda 26">
          <a:extLst>
            <a:ext uri="{FF2B5EF4-FFF2-40B4-BE49-F238E27FC236}">
              <a16:creationId xmlns:a16="http://schemas.microsoft.com/office/drawing/2014/main" id="{1ADA3BD4-DC12-4B0B-B6E4-E25FA047C189}"/>
            </a:ext>
          </a:extLst>
        </xdr:cNvPr>
        <xdr:cNvSpPr/>
      </xdr:nvSpPr>
      <xdr:spPr>
        <a:xfrm rot="10800000">
          <a:off x="17641957" y="53166065"/>
          <a:ext cx="586740" cy="21526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8284</xdr:colOff>
      <xdr:row>84</xdr:row>
      <xdr:rowOff>207065</xdr:rowOff>
    </xdr:from>
    <xdr:to>
      <xdr:col>18</xdr:col>
      <xdr:colOff>631838</xdr:colOff>
      <xdr:row>85</xdr:row>
      <xdr:rowOff>94338</xdr:rowOff>
    </xdr:to>
    <xdr:pic>
      <xdr:nvPicPr>
        <xdr:cNvPr id="28" name="Imagem 27" descr="Estatisticas - ícones de computador grátis">
          <a:extLst>
            <a:ext uri="{FF2B5EF4-FFF2-40B4-BE49-F238E27FC236}">
              <a16:creationId xmlns:a16="http://schemas.microsoft.com/office/drawing/2014/main" id="{487B2A91-CC7C-433D-B4B1-5D4012A8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0545" y="55833065"/>
          <a:ext cx="627364" cy="646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41413</xdr:colOff>
      <xdr:row>85</xdr:row>
      <xdr:rowOff>244668</xdr:rowOff>
    </xdr:from>
    <xdr:to>
      <xdr:col>18</xdr:col>
      <xdr:colOff>588065</xdr:colOff>
      <xdr:row>85</xdr:row>
      <xdr:rowOff>414130</xdr:rowOff>
    </xdr:to>
    <xdr:sp macro="" textlink="">
      <xdr:nvSpPr>
        <xdr:cNvPr id="29" name="Seta: para a Esquerda 28">
          <a:extLst>
            <a:ext uri="{FF2B5EF4-FFF2-40B4-BE49-F238E27FC236}">
              <a16:creationId xmlns:a16="http://schemas.microsoft.com/office/drawing/2014/main" id="{CBB2A801-5D20-46BE-B8C4-61DAD4D44B56}"/>
            </a:ext>
          </a:extLst>
        </xdr:cNvPr>
        <xdr:cNvSpPr/>
      </xdr:nvSpPr>
      <xdr:spPr>
        <a:xfrm rot="10800000">
          <a:off x="17633674" y="56616103"/>
          <a:ext cx="546652" cy="16946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434506</xdr:colOff>
      <xdr:row>88</xdr:row>
      <xdr:rowOff>304552</xdr:rowOff>
    </xdr:from>
    <xdr:to>
      <xdr:col>18</xdr:col>
      <xdr:colOff>587403</xdr:colOff>
      <xdr:row>89</xdr:row>
      <xdr:rowOff>322011</xdr:rowOff>
    </xdr:to>
    <xdr:pic>
      <xdr:nvPicPr>
        <xdr:cNvPr id="30" name="Imagem 29" descr="Estatisticas - ícones de computador grátis">
          <a:extLst>
            <a:ext uri="{FF2B5EF4-FFF2-40B4-BE49-F238E27FC236}">
              <a16:creationId xmlns:a16="http://schemas.microsoft.com/office/drawing/2014/main" id="{FDACE3ED-BD32-4D55-9D70-D031761E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8093" y="58489878"/>
          <a:ext cx="637761" cy="650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31376</xdr:colOff>
      <xdr:row>91</xdr:row>
      <xdr:rowOff>957207</xdr:rowOff>
    </xdr:from>
    <xdr:to>
      <xdr:col>18</xdr:col>
      <xdr:colOff>725418</xdr:colOff>
      <xdr:row>92</xdr:row>
      <xdr:rowOff>472842</xdr:rowOff>
    </xdr:to>
    <xdr:pic>
      <xdr:nvPicPr>
        <xdr:cNvPr id="31" name="Imagem 30" descr="Estatisticas - ícones de computador grátis">
          <a:extLst>
            <a:ext uri="{FF2B5EF4-FFF2-40B4-BE49-F238E27FC236}">
              <a16:creationId xmlns:a16="http://schemas.microsoft.com/office/drawing/2014/main" id="{8E4F9DE4-91F6-41F7-B82E-24DC4E4E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6670" y="61267266"/>
          <a:ext cx="694042" cy="71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10188</xdr:colOff>
      <xdr:row>89</xdr:row>
      <xdr:rowOff>435168</xdr:rowOff>
    </xdr:from>
    <xdr:to>
      <xdr:col>18</xdr:col>
      <xdr:colOff>588065</xdr:colOff>
      <xdr:row>89</xdr:row>
      <xdr:rowOff>604631</xdr:rowOff>
    </xdr:to>
    <xdr:sp macro="" textlink="">
      <xdr:nvSpPr>
        <xdr:cNvPr id="32" name="Seta: para a Esquerda 31">
          <a:extLst>
            <a:ext uri="{FF2B5EF4-FFF2-40B4-BE49-F238E27FC236}">
              <a16:creationId xmlns:a16="http://schemas.microsoft.com/office/drawing/2014/main" id="{9FE16E3B-F75D-41EB-990E-325D187A12BD}"/>
            </a:ext>
          </a:extLst>
        </xdr:cNvPr>
        <xdr:cNvSpPr/>
      </xdr:nvSpPr>
      <xdr:spPr>
        <a:xfrm rot="10800000">
          <a:off x="17602449" y="59249972"/>
          <a:ext cx="577877" cy="16946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27995</xdr:colOff>
      <xdr:row>92</xdr:row>
      <xdr:rowOff>508055</xdr:rowOff>
    </xdr:from>
    <xdr:to>
      <xdr:col>18</xdr:col>
      <xdr:colOff>620450</xdr:colOff>
      <xdr:row>92</xdr:row>
      <xdr:rowOff>696650</xdr:rowOff>
    </xdr:to>
    <xdr:sp macro="" textlink="">
      <xdr:nvSpPr>
        <xdr:cNvPr id="33" name="Seta: para a Esquerda 32">
          <a:extLst>
            <a:ext uri="{FF2B5EF4-FFF2-40B4-BE49-F238E27FC236}">
              <a16:creationId xmlns:a16="http://schemas.microsoft.com/office/drawing/2014/main" id="{448BFAB0-816F-487F-9FEA-7A3F8BA10039}"/>
            </a:ext>
          </a:extLst>
        </xdr:cNvPr>
        <xdr:cNvSpPr/>
      </xdr:nvSpPr>
      <xdr:spPr>
        <a:xfrm rot="10800000">
          <a:off x="17725445" y="61972880"/>
          <a:ext cx="592455" cy="18859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701662</xdr:colOff>
      <xdr:row>97</xdr:row>
      <xdr:rowOff>704568</xdr:rowOff>
    </xdr:to>
    <xdr:pic>
      <xdr:nvPicPr>
        <xdr:cNvPr id="34" name="Imagem 33" descr="Estatisticas - ícones de computador grátis">
          <a:extLst>
            <a:ext uri="{FF2B5EF4-FFF2-40B4-BE49-F238E27FC236}">
              <a16:creationId xmlns:a16="http://schemas.microsoft.com/office/drawing/2014/main" id="{5A42E420-C704-47A4-97CF-C958AECD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294" y="65722500"/>
          <a:ext cx="694042" cy="71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56029</xdr:colOff>
      <xdr:row>98</xdr:row>
      <xdr:rowOff>324971</xdr:rowOff>
    </xdr:from>
    <xdr:to>
      <xdr:col>18</xdr:col>
      <xdr:colOff>648484</xdr:colOff>
      <xdr:row>98</xdr:row>
      <xdr:rowOff>511661</xdr:rowOff>
    </xdr:to>
    <xdr:sp macro="" textlink="">
      <xdr:nvSpPr>
        <xdr:cNvPr id="35" name="Seta: para a Esquerda 34">
          <a:extLst>
            <a:ext uri="{FF2B5EF4-FFF2-40B4-BE49-F238E27FC236}">
              <a16:creationId xmlns:a16="http://schemas.microsoft.com/office/drawing/2014/main" id="{B406C22A-4E71-4217-87B5-909C9C647F15}"/>
            </a:ext>
          </a:extLst>
        </xdr:cNvPr>
        <xdr:cNvSpPr/>
      </xdr:nvSpPr>
      <xdr:spPr>
        <a:xfrm rot="10800000">
          <a:off x="17761323" y="66809471"/>
          <a:ext cx="592455" cy="18669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67236</xdr:colOff>
      <xdr:row>100</xdr:row>
      <xdr:rowOff>268941</xdr:rowOff>
    </xdr:from>
    <xdr:to>
      <xdr:col>18</xdr:col>
      <xdr:colOff>782233</xdr:colOff>
      <xdr:row>101</xdr:row>
      <xdr:rowOff>282778</xdr:rowOff>
    </xdr:to>
    <xdr:pic>
      <xdr:nvPicPr>
        <xdr:cNvPr id="36" name="Imagem 35" descr="Estatisticas - ícones de computador grátis">
          <a:extLst>
            <a:ext uri="{FF2B5EF4-FFF2-40B4-BE49-F238E27FC236}">
              <a16:creationId xmlns:a16="http://schemas.microsoft.com/office/drawing/2014/main" id="{F0A84BA7-271C-403D-AFDB-9D821DE9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2530" y="68299853"/>
          <a:ext cx="705472" cy="708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89647</xdr:colOff>
      <xdr:row>101</xdr:row>
      <xdr:rowOff>313764</xdr:rowOff>
    </xdr:from>
    <xdr:to>
      <xdr:col>18</xdr:col>
      <xdr:colOff>682102</xdr:colOff>
      <xdr:row>101</xdr:row>
      <xdr:rowOff>509979</xdr:rowOff>
    </xdr:to>
    <xdr:sp macro="" textlink="">
      <xdr:nvSpPr>
        <xdr:cNvPr id="37" name="Seta: para a Esquerda 36">
          <a:extLst>
            <a:ext uri="{FF2B5EF4-FFF2-40B4-BE49-F238E27FC236}">
              <a16:creationId xmlns:a16="http://schemas.microsoft.com/office/drawing/2014/main" id="{0035A4DB-69C5-4337-905D-4E21815C3FC4}"/>
            </a:ext>
          </a:extLst>
        </xdr:cNvPr>
        <xdr:cNvSpPr/>
      </xdr:nvSpPr>
      <xdr:spPr>
        <a:xfrm rot="10800000">
          <a:off x="17794941" y="69050646"/>
          <a:ext cx="592455" cy="19621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0</xdr:colOff>
      <xdr:row>18</xdr:row>
      <xdr:rowOff>190501</xdr:rowOff>
    </xdr:from>
    <xdr:to>
      <xdr:col>18</xdr:col>
      <xdr:colOff>743622</xdr:colOff>
      <xdr:row>19</xdr:row>
      <xdr:rowOff>211247</xdr:rowOff>
    </xdr:to>
    <xdr:pic>
      <xdr:nvPicPr>
        <xdr:cNvPr id="38" name="Imagem 37" descr="Estatisticas - ícones de computador grátis">
          <a:extLst>
            <a:ext uri="{FF2B5EF4-FFF2-40B4-BE49-F238E27FC236}">
              <a16:creationId xmlns:a16="http://schemas.microsoft.com/office/drawing/2014/main" id="{2C45F1D4-FA3B-46EC-8C0D-7E3CCDA2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294" y="9737913"/>
          <a:ext cx="730287" cy="713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56030</xdr:colOff>
      <xdr:row>19</xdr:row>
      <xdr:rowOff>302558</xdr:rowOff>
    </xdr:from>
    <xdr:to>
      <xdr:col>18</xdr:col>
      <xdr:colOff>775296</xdr:colOff>
      <xdr:row>19</xdr:row>
      <xdr:rowOff>515471</xdr:rowOff>
    </xdr:to>
    <xdr:sp macro="" textlink="">
      <xdr:nvSpPr>
        <xdr:cNvPr id="39" name="Seta: para a Esquerda 38">
          <a:extLst>
            <a:ext uri="{FF2B5EF4-FFF2-40B4-BE49-F238E27FC236}">
              <a16:creationId xmlns:a16="http://schemas.microsoft.com/office/drawing/2014/main" id="{CDEF4E92-2CE0-4C0C-8B45-B80189440A70}"/>
            </a:ext>
          </a:extLst>
        </xdr:cNvPr>
        <xdr:cNvSpPr/>
      </xdr:nvSpPr>
      <xdr:spPr>
        <a:xfrm rot="10800000">
          <a:off x="17761324" y="10555940"/>
          <a:ext cx="719266" cy="21291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739812</xdr:colOff>
      <xdr:row>22</xdr:row>
      <xdr:rowOff>726716</xdr:rowOff>
    </xdr:to>
    <xdr:pic>
      <xdr:nvPicPr>
        <xdr:cNvPr id="40" name="Imagem 39" descr="Estatisticas - ícones de computador grátis">
          <a:extLst>
            <a:ext uri="{FF2B5EF4-FFF2-40B4-BE49-F238E27FC236}">
              <a16:creationId xmlns:a16="http://schemas.microsoft.com/office/drawing/2014/main" id="{2B00E79A-FD73-428F-9081-F3E4F9EE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294" y="12662647"/>
          <a:ext cx="743622" cy="726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719266</xdr:colOff>
      <xdr:row>23</xdr:row>
      <xdr:rowOff>209103</xdr:rowOff>
    </xdr:to>
    <xdr:sp macro="" textlink="">
      <xdr:nvSpPr>
        <xdr:cNvPr id="41" name="Seta: para a Esquerda 40">
          <a:extLst>
            <a:ext uri="{FF2B5EF4-FFF2-40B4-BE49-F238E27FC236}">
              <a16:creationId xmlns:a16="http://schemas.microsoft.com/office/drawing/2014/main" id="{8ECB40A7-B786-44A8-8B2A-43779D6790C0}"/>
            </a:ext>
          </a:extLst>
        </xdr:cNvPr>
        <xdr:cNvSpPr/>
      </xdr:nvSpPr>
      <xdr:spPr>
        <a:xfrm rot="10800000">
          <a:off x="17705294" y="13491882"/>
          <a:ext cx="719266" cy="20910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459442</xdr:colOff>
      <xdr:row>26</xdr:row>
      <xdr:rowOff>268941</xdr:rowOff>
    </xdr:from>
    <xdr:to>
      <xdr:col>18</xdr:col>
      <xdr:colOff>707876</xdr:colOff>
      <xdr:row>27</xdr:row>
      <xdr:rowOff>244863</xdr:rowOff>
    </xdr:to>
    <xdr:pic>
      <xdr:nvPicPr>
        <xdr:cNvPr id="42" name="Imagem 41" descr="Estatisticas - ícones de computador grátis">
          <a:extLst>
            <a:ext uri="{FF2B5EF4-FFF2-40B4-BE49-F238E27FC236}">
              <a16:creationId xmlns:a16="http://schemas.microsoft.com/office/drawing/2014/main" id="{B1B85085-53A5-4706-9D22-12970D7F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2883" y="16058029"/>
          <a:ext cx="739812" cy="726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448235</xdr:colOff>
      <xdr:row>27</xdr:row>
      <xdr:rowOff>448235</xdr:rowOff>
    </xdr:from>
    <xdr:to>
      <xdr:col>18</xdr:col>
      <xdr:colOff>681838</xdr:colOff>
      <xdr:row>27</xdr:row>
      <xdr:rowOff>657338</xdr:rowOff>
    </xdr:to>
    <xdr:sp macro="" textlink="">
      <xdr:nvSpPr>
        <xdr:cNvPr id="43" name="Seta: para a Esquerda 42">
          <a:extLst>
            <a:ext uri="{FF2B5EF4-FFF2-40B4-BE49-F238E27FC236}">
              <a16:creationId xmlns:a16="http://schemas.microsoft.com/office/drawing/2014/main" id="{138E3859-4DB1-42A3-9FF3-EF6270732D1E}"/>
            </a:ext>
          </a:extLst>
        </xdr:cNvPr>
        <xdr:cNvSpPr/>
      </xdr:nvSpPr>
      <xdr:spPr>
        <a:xfrm rot="10800000">
          <a:off x="17671676" y="16988117"/>
          <a:ext cx="715456" cy="20910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448235</xdr:colOff>
      <xdr:row>29</xdr:row>
      <xdr:rowOff>493058</xdr:rowOff>
    </xdr:from>
    <xdr:to>
      <xdr:col>18</xdr:col>
      <xdr:colOff>702384</xdr:colOff>
      <xdr:row>29</xdr:row>
      <xdr:rowOff>1235014</xdr:rowOff>
    </xdr:to>
    <xdr:pic>
      <xdr:nvPicPr>
        <xdr:cNvPr id="44" name="Imagem 43" descr="Estatisticas - ícones de computador grátis">
          <a:extLst>
            <a:ext uri="{FF2B5EF4-FFF2-40B4-BE49-F238E27FC236}">
              <a16:creationId xmlns:a16="http://schemas.microsoft.com/office/drawing/2014/main" id="{4FDC0D7F-D49B-4732-BED9-AE41520F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1676" y="18545734"/>
          <a:ext cx="726477" cy="732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715456</xdr:colOff>
      <xdr:row>30</xdr:row>
      <xdr:rowOff>212913</xdr:rowOff>
    </xdr:to>
    <xdr:sp macro="" textlink="">
      <xdr:nvSpPr>
        <xdr:cNvPr id="45" name="Seta: para a Esquerda 44">
          <a:extLst>
            <a:ext uri="{FF2B5EF4-FFF2-40B4-BE49-F238E27FC236}">
              <a16:creationId xmlns:a16="http://schemas.microsoft.com/office/drawing/2014/main" id="{6ADA16BD-CAEF-4EC3-9956-73BEEC07208C}"/>
            </a:ext>
          </a:extLst>
        </xdr:cNvPr>
        <xdr:cNvSpPr/>
      </xdr:nvSpPr>
      <xdr:spPr>
        <a:xfrm rot="10800000">
          <a:off x="17705294" y="19587882"/>
          <a:ext cx="715456" cy="21291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1694212</xdr:colOff>
      <xdr:row>4</xdr:row>
      <xdr:rowOff>96741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A70635F7-95EE-4E23-B45D-01236223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09" cy="939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388326</xdr:colOff>
      <xdr:row>17</xdr:row>
      <xdr:rowOff>458079</xdr:rowOff>
    </xdr:from>
    <xdr:to>
      <xdr:col>18</xdr:col>
      <xdr:colOff>287231</xdr:colOff>
      <xdr:row>18</xdr:row>
      <xdr:rowOff>208670</xdr:rowOff>
    </xdr:to>
    <xdr:pic>
      <xdr:nvPicPr>
        <xdr:cNvPr id="4" name="Imagem 3" descr="Estatisticas - ícones de computador grátis">
          <a:extLst>
            <a:ext uri="{FF2B5EF4-FFF2-40B4-BE49-F238E27FC236}">
              <a16:creationId xmlns:a16="http://schemas.microsoft.com/office/drawing/2014/main" id="{4A484DAF-F2A8-4A9B-9EB2-6753C1F2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7730" y="10957560"/>
          <a:ext cx="437287" cy="443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381000</xdr:colOff>
      <xdr:row>18</xdr:row>
      <xdr:rowOff>215997</xdr:rowOff>
    </xdr:from>
    <xdr:to>
      <xdr:col>18</xdr:col>
      <xdr:colOff>395654</xdr:colOff>
      <xdr:row>18</xdr:row>
      <xdr:rowOff>388327</xdr:rowOff>
    </xdr:to>
    <xdr:sp macro="" textlink="">
      <xdr:nvSpPr>
        <xdr:cNvPr id="5" name="Seta: para a Esquerda 4">
          <a:extLst>
            <a:ext uri="{FF2B5EF4-FFF2-40B4-BE49-F238E27FC236}">
              <a16:creationId xmlns:a16="http://schemas.microsoft.com/office/drawing/2014/main" id="{C058DE8C-FB2C-4562-9C4D-8075F79A2AA3}"/>
            </a:ext>
          </a:extLst>
        </xdr:cNvPr>
        <xdr:cNvSpPr/>
      </xdr:nvSpPr>
      <xdr:spPr>
        <a:xfrm rot="10800000">
          <a:off x="15540404" y="11565401"/>
          <a:ext cx="556846" cy="17233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530087</xdr:colOff>
      <xdr:row>22</xdr:row>
      <xdr:rowOff>314740</xdr:rowOff>
    </xdr:from>
    <xdr:to>
      <xdr:col>18</xdr:col>
      <xdr:colOff>434707</xdr:colOff>
      <xdr:row>23</xdr:row>
      <xdr:rowOff>98461</xdr:rowOff>
    </xdr:to>
    <xdr:pic>
      <xdr:nvPicPr>
        <xdr:cNvPr id="6" name="Imagem 5" descr="Estatisticas - ícones de computador grátis">
          <a:extLst>
            <a:ext uri="{FF2B5EF4-FFF2-40B4-BE49-F238E27FC236}">
              <a16:creationId xmlns:a16="http://schemas.microsoft.com/office/drawing/2014/main" id="{7F2E905A-B4D0-43A5-8CA6-E026EFC3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0109" y="14552544"/>
          <a:ext cx="439842" cy="441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505239</xdr:colOff>
      <xdr:row>23</xdr:row>
      <xdr:rowOff>397566</xdr:rowOff>
    </xdr:from>
    <xdr:to>
      <xdr:col>18</xdr:col>
      <xdr:colOff>527513</xdr:colOff>
      <xdr:row>23</xdr:row>
      <xdr:rowOff>571801</xdr:rowOff>
    </xdr:to>
    <xdr:sp macro="" textlink="">
      <xdr:nvSpPr>
        <xdr:cNvPr id="7" name="Seta: para a Esquerda 6">
          <a:extLst>
            <a:ext uri="{FF2B5EF4-FFF2-40B4-BE49-F238E27FC236}">
              <a16:creationId xmlns:a16="http://schemas.microsoft.com/office/drawing/2014/main" id="{F032F721-3BFA-4E96-8040-F68EAC0BE187}"/>
            </a:ext>
          </a:extLst>
        </xdr:cNvPr>
        <xdr:cNvSpPr/>
      </xdr:nvSpPr>
      <xdr:spPr>
        <a:xfrm rot="10800000">
          <a:off x="14925261" y="15289696"/>
          <a:ext cx="568926" cy="17423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455082</xdr:colOff>
      <xdr:row>28</xdr:row>
      <xdr:rowOff>439953</xdr:rowOff>
    </xdr:to>
    <xdr:pic>
      <xdr:nvPicPr>
        <xdr:cNvPr id="8" name="Imagem 7" descr="Estatisticas - ícones de computador grátis">
          <a:extLst>
            <a:ext uri="{FF2B5EF4-FFF2-40B4-BE49-F238E27FC236}">
              <a16:creationId xmlns:a16="http://schemas.microsoft.com/office/drawing/2014/main" id="{0EB71302-4482-4900-8E02-FAA0F681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6674" y="18942326"/>
          <a:ext cx="455082" cy="432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455082</xdr:colOff>
      <xdr:row>33</xdr:row>
      <xdr:rowOff>439953</xdr:rowOff>
    </xdr:to>
    <xdr:pic>
      <xdr:nvPicPr>
        <xdr:cNvPr id="9" name="Imagem 8" descr="Estatisticas - ícones de computador grátis">
          <a:extLst>
            <a:ext uri="{FF2B5EF4-FFF2-40B4-BE49-F238E27FC236}">
              <a16:creationId xmlns:a16="http://schemas.microsoft.com/office/drawing/2014/main" id="{FAEDEB23-9514-4981-BE94-75D74ABE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6674" y="22652935"/>
          <a:ext cx="455082" cy="432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565116</xdr:colOff>
      <xdr:row>29</xdr:row>
      <xdr:rowOff>170425</xdr:rowOff>
    </xdr:to>
    <xdr:sp macro="" textlink="">
      <xdr:nvSpPr>
        <xdr:cNvPr id="10" name="Seta: para a Esquerda 9">
          <a:extLst>
            <a:ext uri="{FF2B5EF4-FFF2-40B4-BE49-F238E27FC236}">
              <a16:creationId xmlns:a16="http://schemas.microsoft.com/office/drawing/2014/main" id="{B5144C0A-3595-49DC-8994-19BF9AC9CDC2}"/>
            </a:ext>
          </a:extLst>
        </xdr:cNvPr>
        <xdr:cNvSpPr/>
      </xdr:nvSpPr>
      <xdr:spPr>
        <a:xfrm rot="10800000">
          <a:off x="14966674" y="19754022"/>
          <a:ext cx="565116" cy="170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565116</xdr:colOff>
      <xdr:row>34</xdr:row>
      <xdr:rowOff>170425</xdr:rowOff>
    </xdr:to>
    <xdr:sp macro="" textlink="">
      <xdr:nvSpPr>
        <xdr:cNvPr id="11" name="Seta: para a Esquerda 10">
          <a:extLst>
            <a:ext uri="{FF2B5EF4-FFF2-40B4-BE49-F238E27FC236}">
              <a16:creationId xmlns:a16="http://schemas.microsoft.com/office/drawing/2014/main" id="{C44F46AE-62AC-4313-9DE6-F9F4AE110C59}"/>
            </a:ext>
          </a:extLst>
        </xdr:cNvPr>
        <xdr:cNvSpPr/>
      </xdr:nvSpPr>
      <xdr:spPr>
        <a:xfrm rot="10800000">
          <a:off x="14966674" y="23431500"/>
          <a:ext cx="565116" cy="170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1</xdr:colOff>
      <xdr:row>39</xdr:row>
      <xdr:rowOff>463826</xdr:rowOff>
    </xdr:from>
    <xdr:to>
      <xdr:col>18</xdr:col>
      <xdr:colOff>455083</xdr:colOff>
      <xdr:row>40</xdr:row>
      <xdr:rowOff>17540</xdr:rowOff>
    </xdr:to>
    <xdr:pic>
      <xdr:nvPicPr>
        <xdr:cNvPr id="12" name="Imagem 11" descr="Estatisticas - ícones de computador grátis">
          <a:extLst>
            <a:ext uri="{FF2B5EF4-FFF2-40B4-BE49-F238E27FC236}">
              <a16:creationId xmlns:a16="http://schemas.microsoft.com/office/drawing/2014/main" id="{262E614C-BB76-405B-A420-DC6091A4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6675" y="27945522"/>
          <a:ext cx="455082" cy="436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480391</xdr:colOff>
      <xdr:row>40</xdr:row>
      <xdr:rowOff>198783</xdr:rowOff>
    </xdr:from>
    <xdr:to>
      <xdr:col>18</xdr:col>
      <xdr:colOff>495045</xdr:colOff>
      <xdr:row>40</xdr:row>
      <xdr:rowOff>369208</xdr:rowOff>
    </xdr:to>
    <xdr:sp macro="" textlink="">
      <xdr:nvSpPr>
        <xdr:cNvPr id="13" name="Seta: para a Esquerda 12">
          <a:extLst>
            <a:ext uri="{FF2B5EF4-FFF2-40B4-BE49-F238E27FC236}">
              <a16:creationId xmlns:a16="http://schemas.microsoft.com/office/drawing/2014/main" id="{40DF5828-2971-4A47-B7B0-F7A389176DA6}"/>
            </a:ext>
          </a:extLst>
        </xdr:cNvPr>
        <xdr:cNvSpPr/>
      </xdr:nvSpPr>
      <xdr:spPr>
        <a:xfrm rot="10800000">
          <a:off x="14900413" y="28566718"/>
          <a:ext cx="561306" cy="170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19:Q27" totalsRowShown="0">
  <autoFilter ref="A19:Q27" xr:uid="{00000000-0009-0000-0100-000002000000}"/>
  <tableColumns count="17">
    <tableColumn id="1" xr3:uid="{00000000-0010-0000-0000-000001000000}" name="ITEM" dataDxfId="412"/>
    <tableColumn id="2" xr3:uid="{00000000-0010-0000-0000-000002000000}" name="ESPECIFICAÇÃO / FORMATO" dataDxfId="411"/>
    <tableColumn id="3" xr3:uid="{00000000-0010-0000-0000-000003000000}" name="UND" dataDxfId="410"/>
    <tableColumn id="4" xr3:uid="{00000000-0010-0000-0000-000004000000}" name="QTD." dataDxfId="409"/>
    <tableColumn id="5" xr3:uid="{00000000-0010-0000-0000-000005000000}" name="COTAÇÃO" dataDxfId="408"/>
    <tableColumn id="6" xr3:uid="{00000000-0010-0000-0000-000006000000}" name="PARÂMETROS" dataDxfId="407"/>
    <tableColumn id="7" xr3:uid="{00000000-0010-0000-0000-000007000000}" name="EMPRESAS" dataDxfId="406"/>
    <tableColumn id="8" xr3:uid="{00000000-0010-0000-0000-000008000000}" name="PORTE" dataDxfId="405"/>
    <tableColumn id="9" xr3:uid="{00000000-0010-0000-0000-000009000000}" name="VALOR_x000a_UNIT." dataDxfId="404"/>
    <tableColumn id="10" xr3:uid="{00000000-0010-0000-0000-00000A000000}" name="MÉDIA_x000a_valores" dataDxfId="403">
      <calculatedColumnFormula>AVERAGE(I17:I24)</calculatedColumnFormula>
    </tableColumn>
    <tableColumn id="11" xr3:uid="{00000000-0010-0000-0000-00000B000000}" name="25% acima média" dataDxfId="402"/>
    <tableColumn id="12" xr3:uid="{00000000-0010-0000-0000-00000C000000}" name="&lt;_x000a_70% da média" dataDxfId="401"/>
    <tableColumn id="13" xr3:uid="{00000000-0010-0000-0000-00000D000000}" name="AVALIÇÃO" dataDxfId="400">
      <calculatedColumnFormula>IF(I20&gt;K$23,"EXCESSIVAMENTE ELEVADO",IF(I20&lt;L$23,"INEXEQUÍVEL","VÁLIDO"))</calculatedColumnFormula>
    </tableColumn>
    <tableColumn id="14" xr3:uid="{00000000-0010-0000-0000-00000E000000}" name="percentual" dataDxfId="399">
      <calculatedColumnFormula>I20/J20</calculatedColumnFormula>
    </tableColumn>
    <tableColumn id="15" xr3:uid="{00000000-0010-0000-0000-00000F000000}" name="OBSERVAÇÕES_x000a_AVALIAÇÃO" dataDxfId="398"/>
    <tableColumn id="16" xr3:uid="{00000000-0010-0000-0000-000010000000}" name="MÉDIAS/MEDIANA" dataDxfId="0">
      <calculatedColumnFormula>TRUNC(AVERAGE(I18:I24),2)</calculatedColumnFormula>
    </tableColumn>
    <tableColumn id="17" xr3:uid="{00000000-0010-0000-0000-000011000000}" name="Valor total" dataDxfId="397">
      <calculatedColumnFormula>Tabela13[[#This Row],[MÉDIAS/MEDIANA]]*D20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134" displayName="Tabela134" ref="A18:Q49" totalsRowShown="0" headerRowBorderDxfId="396">
  <autoFilter ref="A18:Q49" xr:uid="{00000000-0009-0000-0100-000003000000}"/>
  <tableColumns count="17">
    <tableColumn id="1" xr3:uid="{00000000-0010-0000-0100-000001000000}" name="ITEM" dataDxfId="395"/>
    <tableColumn id="2" xr3:uid="{00000000-0010-0000-0100-000002000000}" name="ESPECIFICAÇÃO / FORMATO" dataDxfId="394"/>
    <tableColumn id="3" xr3:uid="{00000000-0010-0000-0100-000003000000}" name="UND" dataDxfId="393"/>
    <tableColumn id="4" xr3:uid="{00000000-0010-0000-0100-000004000000}" name="QTD." dataDxfId="392"/>
    <tableColumn id="5" xr3:uid="{00000000-0010-0000-0100-000005000000}" name="COTAÇÃO" dataDxfId="391"/>
    <tableColumn id="6" xr3:uid="{00000000-0010-0000-0100-000006000000}" name="PARÂMETROS" dataDxfId="390"/>
    <tableColumn id="7" xr3:uid="{00000000-0010-0000-0100-000007000000}" name="EMPRESAS" dataDxfId="389"/>
    <tableColumn id="8" xr3:uid="{00000000-0010-0000-0100-000008000000}" name="PORTE" dataDxfId="388"/>
    <tableColumn id="9" xr3:uid="{00000000-0010-0000-0100-000009000000}" name="VALOR_x000a_UNIT." dataDxfId="387"/>
    <tableColumn id="10" xr3:uid="{00000000-0010-0000-0100-00000A000000}" name="MÉDIA_x000a_valores" dataDxfId="386"/>
    <tableColumn id="11" xr3:uid="{00000000-0010-0000-0100-00000B000000}" name="25% acima média" dataDxfId="385"/>
    <tableColumn id="12" xr3:uid="{00000000-0010-0000-0100-00000C000000}" name="&lt;_x000a_70% da média" dataDxfId="384"/>
    <tableColumn id="13" xr3:uid="{00000000-0010-0000-0100-00000D000000}" name="AVALIÇÃO" dataDxfId="383">
      <calculatedColumnFormula>IF(I19&gt;K$35,"EXCESSIVAMENTE ELEVADO",IF(I19&lt;L$35,"Inexequível","VÁLIDO"))</calculatedColumnFormula>
    </tableColumn>
    <tableColumn id="14" xr3:uid="{00000000-0010-0000-0100-00000E000000}" name="OBSERVAÇÕES_x000a_AVALIAÇÃO" dataDxfId="382"/>
    <tableColumn id="15" xr3:uid="{00000000-0010-0000-0100-00000F000000}" name="AVALIÇÃO2" dataDxfId="381"/>
    <tableColumn id="16" xr3:uid="{00000000-0010-0000-0100-000010000000}" name="MÉDIAS/MEDIANA" dataDxfId="380"/>
    <tableColumn id="17" xr3:uid="{00000000-0010-0000-0100-000011000000}" name="Valor total" dataDxfId="379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135" displayName="Tabela135" ref="A16:Q42" totalsRowShown="0" dataDxfId="378">
  <autoFilter ref="A16:Q42" xr:uid="{00000000-0009-0000-0100-000004000000}"/>
  <tableColumns count="17">
    <tableColumn id="1" xr3:uid="{00000000-0010-0000-0200-000001000000}" name="ITEM" dataDxfId="377"/>
    <tableColumn id="2" xr3:uid="{00000000-0010-0000-0200-000002000000}" name="ESPECIFICAÇÃO / FORMATO" dataDxfId="376"/>
    <tableColumn id="3" xr3:uid="{00000000-0010-0000-0200-000003000000}" name="UND" dataDxfId="375"/>
    <tableColumn id="4" xr3:uid="{00000000-0010-0000-0200-000004000000}" name="QTD." dataDxfId="374"/>
    <tableColumn id="5" xr3:uid="{00000000-0010-0000-0200-000005000000}" name="COTAÇÃO" dataDxfId="373"/>
    <tableColumn id="6" xr3:uid="{00000000-0010-0000-0200-000006000000}" name="PARÂMETROS" dataDxfId="372"/>
    <tableColumn id="7" xr3:uid="{00000000-0010-0000-0200-000007000000}" name="EMPRESAS" dataDxfId="371"/>
    <tableColumn id="8" xr3:uid="{00000000-0010-0000-0200-000008000000}" name="PORTE" dataDxfId="370"/>
    <tableColumn id="9" xr3:uid="{00000000-0010-0000-0200-000009000000}" name="VALOR_x000a_UNIT." dataDxfId="369"/>
    <tableColumn id="10" xr3:uid="{00000000-0010-0000-0200-00000A000000}" name="MÉDIA_x000a_valores" dataDxfId="368"/>
    <tableColumn id="11" xr3:uid="{00000000-0010-0000-0200-00000B000000}" name="25% acima média" dataDxfId="367"/>
    <tableColumn id="12" xr3:uid="{00000000-0010-0000-0200-00000C000000}" name="&lt;_x000a_75% da média" dataDxfId="366"/>
    <tableColumn id="13" xr3:uid="{00000000-0010-0000-0200-00000D000000}" name="AVALIÇÃO" dataDxfId="365">
      <calculatedColumnFormula>IF(I17&gt;K$38,"EXCESSIVAMENTE ELEVADO",IF(I17&lt;L$38,"Inexequível","VÁLIDO"))</calculatedColumnFormula>
    </tableColumn>
    <tableColumn id="14" xr3:uid="{00000000-0010-0000-0200-00000E000000}" name="Coluna1" dataDxfId="364"/>
    <tableColumn id="15" xr3:uid="{00000000-0010-0000-0200-00000F000000}" name="OBSERVAÇÕES_x000a_AVALIAÇÃO" dataDxfId="363"/>
    <tableColumn id="16" xr3:uid="{00000000-0010-0000-0200-000010000000}" name="MÉDIAS/MEDIANA" dataDxfId="362"/>
    <tableColumn id="17" xr3:uid="{00000000-0010-0000-0200-000011000000}" name="Valor total" dataDxfId="36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W86"/>
  <sheetViews>
    <sheetView tabSelected="1" topLeftCell="A7" zoomScale="145" zoomScaleNormal="145" workbookViewId="0">
      <selection activeCell="F7" sqref="F7"/>
    </sheetView>
  </sheetViews>
  <sheetFormatPr defaultColWidth="9.33203125" defaultRowHeight="13.2"/>
  <cols>
    <col min="1" max="1" width="9.33203125" style="113"/>
    <col min="2" max="2" width="10.6640625" style="113" customWidth="1"/>
    <col min="3" max="3" width="15.6640625" style="113" customWidth="1"/>
    <col min="4" max="4" width="62.6640625" style="113" customWidth="1"/>
    <col min="5" max="6" width="6.109375" style="113" customWidth="1"/>
    <col min="7" max="7" width="8.44140625" style="113" customWidth="1"/>
    <col min="8" max="9" width="7" style="113" customWidth="1"/>
    <col min="10" max="10" width="11" style="113" customWidth="1"/>
    <col min="11" max="11" width="2.33203125" style="113" customWidth="1"/>
    <col min="12" max="13" width="9.33203125" style="113" customWidth="1"/>
    <col min="14" max="14" width="9.33203125" style="113"/>
    <col min="15" max="15" width="0" style="113" hidden="1" customWidth="1"/>
    <col min="16" max="18" width="15.6640625" style="113" hidden="1" customWidth="1"/>
    <col min="19" max="19" width="10.109375" style="113" hidden="1" customWidth="1"/>
    <col min="20" max="20" width="16.109375" style="113" hidden="1" customWidth="1"/>
    <col min="21" max="22" width="9.33203125" style="113"/>
    <col min="23" max="23" width="21.44140625" style="113" customWidth="1"/>
    <col min="24" max="16384" width="9.33203125" style="113"/>
  </cols>
  <sheetData>
    <row r="1" spans="1:20" ht="27.15" customHeight="1">
      <c r="A1" s="596" t="s">
        <v>438</v>
      </c>
      <c r="B1" s="597"/>
      <c r="C1" s="268" t="s">
        <v>439</v>
      </c>
      <c r="D1" s="269" t="s">
        <v>204</v>
      </c>
      <c r="E1" s="598" t="s">
        <v>205</v>
      </c>
      <c r="F1" s="599"/>
      <c r="G1" s="599"/>
      <c r="H1" s="599"/>
      <c r="I1" s="599"/>
      <c r="J1" s="600"/>
      <c r="P1" s="601" t="s">
        <v>206</v>
      </c>
      <c r="Q1" s="601"/>
      <c r="R1" s="601"/>
      <c r="S1" s="587"/>
    </row>
    <row r="2" spans="1:20" ht="48" customHeight="1">
      <c r="A2" s="588" t="s">
        <v>207</v>
      </c>
      <c r="B2" s="589"/>
      <c r="C2" s="114" t="s">
        <v>208</v>
      </c>
      <c r="D2" s="112" t="s">
        <v>209</v>
      </c>
      <c r="E2" s="590" t="s">
        <v>210</v>
      </c>
      <c r="F2" s="591"/>
      <c r="G2" s="592"/>
      <c r="H2" s="111" t="s">
        <v>211</v>
      </c>
      <c r="I2" s="115" t="s">
        <v>212</v>
      </c>
      <c r="J2" s="116" t="s">
        <v>213</v>
      </c>
      <c r="P2" s="601"/>
      <c r="Q2" s="601"/>
      <c r="R2" s="601"/>
      <c r="S2" s="587"/>
    </row>
    <row r="4" spans="1:20" ht="46.5" customHeight="1">
      <c r="A4" s="118" t="s">
        <v>214</v>
      </c>
      <c r="B4" s="117" t="s">
        <v>215</v>
      </c>
      <c r="C4" s="117" t="s">
        <v>216</v>
      </c>
      <c r="D4" s="117" t="s">
        <v>217</v>
      </c>
      <c r="E4" s="117" t="s">
        <v>218</v>
      </c>
      <c r="F4" s="117" t="s">
        <v>219</v>
      </c>
      <c r="G4" s="117" t="s">
        <v>220</v>
      </c>
      <c r="H4" s="117" t="s">
        <v>221</v>
      </c>
      <c r="I4" s="117" t="s">
        <v>222</v>
      </c>
      <c r="J4" s="119" t="s">
        <v>223</v>
      </c>
      <c r="L4" s="119" t="s">
        <v>224</v>
      </c>
      <c r="O4" s="119" t="s">
        <v>224</v>
      </c>
      <c r="P4" s="117" t="s">
        <v>225</v>
      </c>
      <c r="Q4" s="117" t="s">
        <v>226</v>
      </c>
      <c r="R4" s="117" t="s">
        <v>227</v>
      </c>
      <c r="T4" s="117" t="s">
        <v>228</v>
      </c>
    </row>
    <row r="5" spans="1:20" ht="9.15" customHeight="1">
      <c r="A5" s="593" t="s">
        <v>229</v>
      </c>
      <c r="B5" s="594"/>
      <c r="C5" s="594"/>
      <c r="D5" s="594"/>
      <c r="E5" s="594"/>
      <c r="F5" s="594"/>
      <c r="G5" s="594"/>
      <c r="H5" s="594"/>
      <c r="I5" s="594"/>
      <c r="J5" s="595"/>
      <c r="L5" s="120"/>
      <c r="O5" s="181"/>
      <c r="P5" s="182"/>
      <c r="Q5" s="182"/>
      <c r="R5" s="182"/>
      <c r="T5" s="182"/>
    </row>
    <row r="6" spans="1:20" s="121" customFormat="1" ht="12.75" customHeight="1">
      <c r="A6" s="602">
        <v>1</v>
      </c>
      <c r="B6" s="603"/>
      <c r="C6" s="604" t="s">
        <v>230</v>
      </c>
      <c r="D6" s="605"/>
      <c r="E6" s="606"/>
      <c r="F6" s="607">
        <f>J11+J19+J22+J46+J58+J66+J71+J74</f>
        <v>829370.07932354987</v>
      </c>
      <c r="G6" s="608"/>
      <c r="H6" s="608"/>
      <c r="I6" s="608"/>
      <c r="J6" s="609"/>
      <c r="L6" s="122">
        <v>1</v>
      </c>
      <c r="O6" s="183">
        <v>1</v>
      </c>
      <c r="P6" s="184">
        <f>P12/$L12</f>
        <v>493750.25178540603</v>
      </c>
      <c r="Q6" s="184">
        <f t="shared" ref="Q6:R6" si="0">Q12/$L12</f>
        <v>450018.0866272701</v>
      </c>
      <c r="R6" s="184">
        <f t="shared" si="0"/>
        <v>719464.65260159166</v>
      </c>
      <c r="S6" s="185"/>
      <c r="T6" s="184">
        <f>MEDIAN(F6,P6,Q6,R6)</f>
        <v>606607.45219349884</v>
      </c>
    </row>
    <row r="7" spans="1:20" s="121" customFormat="1" ht="9.15" customHeight="1">
      <c r="A7" s="123" t="s">
        <v>231</v>
      </c>
      <c r="B7" s="124"/>
      <c r="C7" s="124"/>
      <c r="D7" s="125" t="s">
        <v>232</v>
      </c>
      <c r="E7" s="124"/>
      <c r="F7" s="124"/>
      <c r="G7" s="124"/>
      <c r="H7" s="124"/>
      <c r="I7" s="126" t="s">
        <v>233</v>
      </c>
      <c r="J7" s="127"/>
      <c r="L7" s="128">
        <f>J11/F6</f>
        <v>2.4192708032540984E-2</v>
      </c>
      <c r="O7" s="186" t="e">
        <f>#REF!/#REF!</f>
        <v>#REF!</v>
      </c>
      <c r="P7" s="187">
        <f>P6*$L7</f>
        <v>11945.155682437926</v>
      </c>
      <c r="Q7" s="187">
        <f t="shared" ref="Q7:R7" si="1">Q6*$L7</f>
        <v>10887.156179136282</v>
      </c>
      <c r="R7" s="187">
        <f t="shared" si="1"/>
        <v>17405.798280123836</v>
      </c>
      <c r="T7" s="187">
        <f>MEDIAN(J7,P7,Q7,R7)</f>
        <v>11945.155682437926</v>
      </c>
    </row>
    <row r="8" spans="1:20" s="121" customFormat="1" ht="9.15" customHeight="1">
      <c r="A8" s="129" t="s">
        <v>234</v>
      </c>
      <c r="B8" s="130" t="s">
        <v>235</v>
      </c>
      <c r="C8" s="131">
        <v>90778</v>
      </c>
      <c r="D8" s="132" t="s">
        <v>66</v>
      </c>
      <c r="E8" s="133" t="s">
        <v>236</v>
      </c>
      <c r="F8" s="134">
        <v>22</v>
      </c>
      <c r="G8" s="174">
        <v>131.04</v>
      </c>
      <c r="H8" s="135" t="s">
        <v>237</v>
      </c>
      <c r="I8" s="134">
        <f>G8*(1+IF(H8="BDI 1",'Planilha BDI'!C$17,'Planilha BDI'!C$31))</f>
        <v>164.97935999999999</v>
      </c>
      <c r="J8" s="136">
        <f>F8*I8</f>
        <v>3629.5459199999996</v>
      </c>
      <c r="L8" s="137"/>
      <c r="O8" s="137"/>
      <c r="P8" s="138"/>
      <c r="Q8" s="138"/>
      <c r="R8" s="138"/>
      <c r="T8" s="187">
        <f>MEDIAN(J8,P8,Q8,R8)</f>
        <v>3629.5459199999996</v>
      </c>
    </row>
    <row r="9" spans="1:20" s="121" customFormat="1" ht="9.15" customHeight="1">
      <c r="A9" s="129" t="s">
        <v>238</v>
      </c>
      <c r="B9" s="130" t="s">
        <v>235</v>
      </c>
      <c r="C9" s="131">
        <v>91677</v>
      </c>
      <c r="D9" s="132" t="s">
        <v>67</v>
      </c>
      <c r="E9" s="133" t="s">
        <v>236</v>
      </c>
      <c r="F9" s="134">
        <v>66</v>
      </c>
      <c r="G9" s="174">
        <v>132.51</v>
      </c>
      <c r="H9" s="135" t="s">
        <v>237</v>
      </c>
      <c r="I9" s="134">
        <f>G9*(1+IF(H9="BDI 1",'Planilha BDI'!C$17,'Planilha BDI'!C$31))</f>
        <v>166.83008999999998</v>
      </c>
      <c r="J9" s="136">
        <f t="shared" ref="J9:J10" si="2">F9*I9</f>
        <v>11010.78594</v>
      </c>
      <c r="L9" s="137"/>
      <c r="O9" s="137"/>
      <c r="P9" s="138"/>
      <c r="Q9" s="138"/>
      <c r="R9" s="138"/>
      <c r="T9" s="187">
        <f>MEDIAN(J9,P9,Q9,R9)</f>
        <v>11010.78594</v>
      </c>
    </row>
    <row r="10" spans="1:20" s="121" customFormat="1" ht="9.15" customHeight="1">
      <c r="A10" s="129" t="s">
        <v>239</v>
      </c>
      <c r="B10" s="130" t="s">
        <v>235</v>
      </c>
      <c r="C10" s="131">
        <v>90780</v>
      </c>
      <c r="D10" s="132" t="s">
        <v>68</v>
      </c>
      <c r="E10" s="133" t="s">
        <v>236</v>
      </c>
      <c r="F10" s="134">
        <v>88</v>
      </c>
      <c r="G10" s="174">
        <v>48.96</v>
      </c>
      <c r="H10" s="135" t="s">
        <v>237</v>
      </c>
      <c r="I10" s="134">
        <f>G10*(1+IF(H10="BDI 1",'Planilha BDI'!C$17,'Planilha BDI'!C$31))</f>
        <v>61.640639999999998</v>
      </c>
      <c r="J10" s="136">
        <f t="shared" si="2"/>
        <v>5424.3763199999994</v>
      </c>
      <c r="L10" s="137"/>
      <c r="O10" s="137"/>
      <c r="P10" s="138"/>
      <c r="Q10" s="138"/>
      <c r="R10" s="138"/>
      <c r="T10" s="187">
        <f>MEDIAN(J10,P10,Q10,R10)</f>
        <v>5424.3763199999994</v>
      </c>
    </row>
    <row r="11" spans="1:20" s="121" customFormat="1" ht="9.15" customHeight="1">
      <c r="A11" s="579" t="s">
        <v>424</v>
      </c>
      <c r="B11" s="580"/>
      <c r="C11" s="580"/>
      <c r="D11" s="580"/>
      <c r="E11" s="580"/>
      <c r="F11" s="580"/>
      <c r="G11" s="580"/>
      <c r="H11" s="580"/>
      <c r="I11" s="581"/>
      <c r="J11" s="180">
        <f>SUM(J8:J10)</f>
        <v>20064.708179999998</v>
      </c>
      <c r="L11" s="137"/>
      <c r="O11" s="137"/>
      <c r="P11" s="138"/>
      <c r="Q11" s="138"/>
      <c r="R11" s="138"/>
      <c r="T11" s="187"/>
    </row>
    <row r="12" spans="1:20" s="121" customFormat="1" ht="9.15" customHeight="1">
      <c r="A12" s="139" t="s">
        <v>240</v>
      </c>
      <c r="B12" s="124"/>
      <c r="C12" s="124"/>
      <c r="D12" s="125" t="s">
        <v>241</v>
      </c>
      <c r="E12" s="124"/>
      <c r="F12" s="124"/>
      <c r="G12" s="124"/>
      <c r="H12" s="124"/>
      <c r="I12" s="126" t="s">
        <v>233</v>
      </c>
      <c r="J12" s="127"/>
      <c r="L12" s="140">
        <f>J19/F6</f>
        <v>0.70886039801376577</v>
      </c>
      <c r="O12" s="188" t="e">
        <f>#REF!/#REF!</f>
        <v>#REF!</v>
      </c>
      <c r="P12" s="189">
        <v>350000</v>
      </c>
      <c r="Q12" s="189">
        <v>319000</v>
      </c>
      <c r="R12" s="189">
        <v>510000</v>
      </c>
      <c r="T12" s="187">
        <f t="shared" ref="T12:T18" si="3">MEDIAN(J12,P12,Q12,R12)</f>
        <v>350000</v>
      </c>
    </row>
    <row r="13" spans="1:20" s="121" customFormat="1" ht="192.75" customHeight="1">
      <c r="A13" s="129" t="s">
        <v>242</v>
      </c>
      <c r="B13" s="130" t="s">
        <v>243</v>
      </c>
      <c r="C13" s="175" t="s">
        <v>244</v>
      </c>
      <c r="D13" s="176" t="s">
        <v>440</v>
      </c>
      <c r="E13" s="175" t="s">
        <v>245</v>
      </c>
      <c r="F13" s="134">
        <v>1</v>
      </c>
      <c r="G13" s="177">
        <f>'Grupo 2 - Motor Gerador 1.2'!P23</f>
        <v>487471.93</v>
      </c>
      <c r="H13" s="135" t="s">
        <v>246</v>
      </c>
      <c r="I13" s="136">
        <f>G13*(1+IF(H13="BDI 1",'Planilha BDI'!C$17,'Planilha BDI'!C$31))</f>
        <v>584722.58003499999</v>
      </c>
      <c r="J13" s="136">
        <f>F13*I13</f>
        <v>584722.58003499999</v>
      </c>
      <c r="L13" s="137"/>
      <c r="O13" s="137"/>
      <c r="P13" s="138"/>
      <c r="Q13" s="138"/>
      <c r="R13" s="138"/>
      <c r="T13" s="187">
        <f t="shared" si="3"/>
        <v>584722.58003499999</v>
      </c>
    </row>
    <row r="14" spans="1:20" s="121" customFormat="1" ht="9.15" customHeight="1">
      <c r="A14" s="129" t="s">
        <v>248</v>
      </c>
      <c r="B14" s="130" t="s">
        <v>249</v>
      </c>
      <c r="C14" s="131">
        <v>72080</v>
      </c>
      <c r="D14" s="141" t="s">
        <v>115</v>
      </c>
      <c r="E14" s="133" t="s">
        <v>236</v>
      </c>
      <c r="F14" s="134">
        <v>4</v>
      </c>
      <c r="G14" s="204">
        <v>190</v>
      </c>
      <c r="H14" s="135" t="s">
        <v>237</v>
      </c>
      <c r="I14" s="136">
        <f>G14*(1+IF(H14="BDI 1",'Planilha BDI'!C$17,'Planilha BDI'!C$31))</f>
        <v>239.20999999999998</v>
      </c>
      <c r="J14" s="143">
        <f>F14*I14</f>
        <v>956.83999999999992</v>
      </c>
      <c r="L14" s="137"/>
      <c r="O14" s="137"/>
      <c r="P14" s="138"/>
      <c r="Q14" s="138"/>
      <c r="R14" s="138"/>
      <c r="T14" s="187">
        <f t="shared" si="3"/>
        <v>956.83999999999992</v>
      </c>
    </row>
    <row r="15" spans="1:20" s="121" customFormat="1" ht="9.15" customHeight="1">
      <c r="A15" s="129" t="s">
        <v>250</v>
      </c>
      <c r="B15" s="130" t="s">
        <v>235</v>
      </c>
      <c r="C15" s="131">
        <v>97622</v>
      </c>
      <c r="D15" s="132" t="s">
        <v>251</v>
      </c>
      <c r="E15" s="133" t="s">
        <v>252</v>
      </c>
      <c r="F15" s="134">
        <v>0.54</v>
      </c>
      <c r="G15" s="174">
        <v>58.55</v>
      </c>
      <c r="H15" s="135" t="s">
        <v>237</v>
      </c>
      <c r="I15" s="136">
        <f>G15*(1+IF(H15="BDI 1",'Planilha BDI'!C$17,'Planilha BDI'!C$31))</f>
        <v>73.714449999999985</v>
      </c>
      <c r="J15" s="143">
        <f t="shared" ref="J15:J18" si="4">F15*I15</f>
        <v>39.805802999999997</v>
      </c>
      <c r="L15" s="137"/>
      <c r="O15" s="137"/>
      <c r="P15" s="138"/>
      <c r="Q15" s="138"/>
      <c r="R15" s="138"/>
      <c r="T15" s="187">
        <f t="shared" si="3"/>
        <v>39.805802999999997</v>
      </c>
    </row>
    <row r="16" spans="1:20" s="121" customFormat="1" ht="33.6" customHeight="1">
      <c r="A16" s="129" t="s">
        <v>253</v>
      </c>
      <c r="B16" s="130" t="s">
        <v>235</v>
      </c>
      <c r="C16" s="131">
        <v>89283</v>
      </c>
      <c r="D16" s="144" t="s">
        <v>254</v>
      </c>
      <c r="E16" s="133" t="s">
        <v>255</v>
      </c>
      <c r="F16" s="134">
        <v>3.6</v>
      </c>
      <c r="G16" s="174">
        <v>73.55</v>
      </c>
      <c r="H16" s="135" t="s">
        <v>237</v>
      </c>
      <c r="I16" s="136">
        <f>G16*(1+IF(H16="BDI 1",'Planilha BDI'!C$17,'Planilha BDI'!C$31))</f>
        <v>92.59944999999999</v>
      </c>
      <c r="J16" s="143">
        <f t="shared" si="4"/>
        <v>333.35801999999995</v>
      </c>
      <c r="L16" s="137"/>
      <c r="O16" s="137"/>
      <c r="P16" s="138"/>
      <c r="Q16" s="138"/>
      <c r="R16" s="138"/>
      <c r="T16" s="187">
        <f t="shared" si="3"/>
        <v>333.35801999999995</v>
      </c>
    </row>
    <row r="17" spans="1:20" s="121" customFormat="1" ht="25.35" customHeight="1">
      <c r="A17" s="129" t="s">
        <v>256</v>
      </c>
      <c r="B17" s="130" t="s">
        <v>235</v>
      </c>
      <c r="C17" s="131">
        <v>87777</v>
      </c>
      <c r="D17" s="144" t="s">
        <v>257</v>
      </c>
      <c r="E17" s="133" t="s">
        <v>255</v>
      </c>
      <c r="F17" s="134">
        <v>7.2</v>
      </c>
      <c r="G17" s="174">
        <v>63.23</v>
      </c>
      <c r="H17" s="135" t="s">
        <v>237</v>
      </c>
      <c r="I17" s="136">
        <f>G17*(1+IF(H17="BDI 1",'Planilha BDI'!C$17,'Planilha BDI'!C$31))</f>
        <v>79.606569999999991</v>
      </c>
      <c r="J17" s="143">
        <f t="shared" si="4"/>
        <v>573.16730399999994</v>
      </c>
      <c r="L17" s="137"/>
      <c r="O17" s="137"/>
      <c r="P17" s="138"/>
      <c r="Q17" s="138"/>
      <c r="R17" s="138"/>
      <c r="T17" s="187">
        <f t="shared" si="3"/>
        <v>573.16730399999994</v>
      </c>
    </row>
    <row r="18" spans="1:20" s="121" customFormat="1" ht="9.15" customHeight="1">
      <c r="A18" s="129" t="s">
        <v>258</v>
      </c>
      <c r="B18" s="130" t="s">
        <v>235</v>
      </c>
      <c r="C18" s="270" t="s">
        <v>441</v>
      </c>
      <c r="D18" s="132" t="s">
        <v>259</v>
      </c>
      <c r="E18" s="133" t="s">
        <v>255</v>
      </c>
      <c r="F18" s="134">
        <v>7.2</v>
      </c>
      <c r="G18" s="174">
        <v>141.41</v>
      </c>
      <c r="H18" s="135" t="s">
        <v>237</v>
      </c>
      <c r="I18" s="136">
        <f>G18*(1+IF(H18="BDI 1",'Planilha BDI'!C$17,'Planilha BDI'!C$31))</f>
        <v>178.03518999999997</v>
      </c>
      <c r="J18" s="143">
        <f t="shared" si="4"/>
        <v>1281.8533679999998</v>
      </c>
      <c r="L18" s="137"/>
      <c r="O18" s="137"/>
      <c r="P18" s="138"/>
      <c r="Q18" s="138"/>
      <c r="R18" s="138"/>
      <c r="T18" s="187">
        <f t="shared" si="3"/>
        <v>1281.8533679999998</v>
      </c>
    </row>
    <row r="19" spans="1:20" s="121" customFormat="1" ht="9.15" customHeight="1">
      <c r="A19" s="579" t="s">
        <v>425</v>
      </c>
      <c r="B19" s="580"/>
      <c r="C19" s="580"/>
      <c r="D19" s="580"/>
      <c r="E19" s="580"/>
      <c r="F19" s="580"/>
      <c r="G19" s="580"/>
      <c r="H19" s="580"/>
      <c r="I19" s="581"/>
      <c r="J19" s="180">
        <f>SUM(J13:J18)</f>
        <v>587907.60453000001</v>
      </c>
      <c r="L19" s="137"/>
      <c r="O19" s="137"/>
      <c r="P19" s="138"/>
      <c r="Q19" s="138"/>
      <c r="R19" s="138"/>
      <c r="T19" s="187"/>
    </row>
    <row r="20" spans="1:20" s="121" customFormat="1" ht="9.15" customHeight="1">
      <c r="A20" s="139" t="s">
        <v>260</v>
      </c>
      <c r="B20" s="124"/>
      <c r="C20" s="124"/>
      <c r="D20" s="125" t="s">
        <v>261</v>
      </c>
      <c r="E20" s="124"/>
      <c r="F20" s="124"/>
      <c r="G20" s="124"/>
      <c r="H20" s="124"/>
      <c r="I20" s="126" t="s">
        <v>233</v>
      </c>
      <c r="J20" s="145"/>
      <c r="L20" s="140">
        <f>J22/F6</f>
        <v>1.1536948629499837E-4</v>
      </c>
      <c r="O20" s="188" t="e">
        <f>#REF!/#REF!</f>
        <v>#REF!</v>
      </c>
      <c r="P20" s="190">
        <f>P$6*$L20</f>
        <v>56.963712906508398</v>
      </c>
      <c r="Q20" s="190">
        <f t="shared" ref="Q20:R20" si="5">Q$6*$L20</f>
        <v>51.918355477646223</v>
      </c>
      <c r="R20" s="190">
        <f t="shared" si="5"/>
        <v>83.00426737805509</v>
      </c>
      <c r="T20" s="187">
        <f>MEDIAN(J20,P20,Q20,R20)</f>
        <v>56.963712906508398</v>
      </c>
    </row>
    <row r="21" spans="1:20" s="121" customFormat="1" ht="32.25" customHeight="1">
      <c r="A21" s="129" t="s">
        <v>262</v>
      </c>
      <c r="B21" s="130" t="s">
        <v>235</v>
      </c>
      <c r="C21" s="270" t="s">
        <v>442</v>
      </c>
      <c r="D21" s="144" t="s">
        <v>263</v>
      </c>
      <c r="E21" s="133" t="s">
        <v>264</v>
      </c>
      <c r="F21" s="134">
        <v>50</v>
      </c>
      <c r="G21" s="134">
        <v>1.52</v>
      </c>
      <c r="H21" s="135" t="s">
        <v>237</v>
      </c>
      <c r="I21" s="136">
        <f>G21*(1+IF(H21="BDI 1",'Planilha BDI'!C$17,'Planilha BDI'!C$31))</f>
        <v>1.9136799999999998</v>
      </c>
      <c r="J21" s="143">
        <f>F21*I21</f>
        <v>95.683999999999997</v>
      </c>
      <c r="L21" s="137"/>
      <c r="O21" s="137"/>
      <c r="P21" s="190">
        <f>P$6*L21</f>
        <v>0</v>
      </c>
      <c r="Q21" s="190">
        <f>Q$6*M21</f>
        <v>0</v>
      </c>
      <c r="R21" s="190" t="e">
        <f>R$6*#REF!</f>
        <v>#REF!</v>
      </c>
      <c r="T21" s="187" t="e">
        <f>MEDIAN(J21,P21,Q21,R21)</f>
        <v>#REF!</v>
      </c>
    </row>
    <row r="22" spans="1:20" s="121" customFormat="1" ht="12.75" customHeight="1">
      <c r="A22" s="579" t="s">
        <v>426</v>
      </c>
      <c r="B22" s="580"/>
      <c r="C22" s="580"/>
      <c r="D22" s="580"/>
      <c r="E22" s="580"/>
      <c r="F22" s="580"/>
      <c r="G22" s="580"/>
      <c r="H22" s="580"/>
      <c r="I22" s="581"/>
      <c r="J22" s="180">
        <f>J21</f>
        <v>95.683999999999997</v>
      </c>
      <c r="L22" s="137"/>
      <c r="O22" s="137"/>
      <c r="P22" s="190"/>
      <c r="Q22" s="190"/>
      <c r="R22" s="190"/>
      <c r="T22" s="187"/>
    </row>
    <row r="23" spans="1:20" s="121" customFormat="1" ht="11.4" customHeight="1">
      <c r="A23" s="139" t="s">
        <v>265</v>
      </c>
      <c r="B23" s="124"/>
      <c r="C23" s="124"/>
      <c r="D23" s="125" t="s">
        <v>266</v>
      </c>
      <c r="E23" s="124"/>
      <c r="F23" s="124"/>
      <c r="G23" s="124"/>
      <c r="H23" s="124"/>
      <c r="I23" s="126" t="s">
        <v>233</v>
      </c>
      <c r="J23" s="127"/>
      <c r="L23" s="140">
        <f>J46/F6</f>
        <v>0.18595549929536831</v>
      </c>
      <c r="O23" s="188" t="e">
        <f>#REF!/#REF!</f>
        <v>#REF!</v>
      </c>
      <c r="P23" s="190">
        <f>P$6*$L23</f>
        <v>91815.574597968996</v>
      </c>
      <c r="Q23" s="190">
        <f t="shared" ref="Q23:R23" si="6">Q$6*$L23</f>
        <v>83683.33799072032</v>
      </c>
      <c r="R23" s="190">
        <f t="shared" si="6"/>
        <v>133788.40869989767</v>
      </c>
      <c r="T23" s="187">
        <f t="shared" ref="T23:T45" si="7">MEDIAN(J23,P23,Q23,R23)</f>
        <v>91815.574597968996</v>
      </c>
    </row>
    <row r="24" spans="1:20" s="121" customFormat="1" ht="18" customHeight="1">
      <c r="A24" s="129" t="s">
        <v>267</v>
      </c>
      <c r="B24" s="130" t="s">
        <v>243</v>
      </c>
      <c r="C24" s="175" t="s">
        <v>268</v>
      </c>
      <c r="D24" s="176" t="s">
        <v>430</v>
      </c>
      <c r="E24" s="175" t="s">
        <v>245</v>
      </c>
      <c r="F24" s="134">
        <v>2</v>
      </c>
      <c r="G24" s="177">
        <f>'Grupo 4 - Painel Transf Aut 1.4'!P19</f>
        <v>8637.26</v>
      </c>
      <c r="H24" s="135" t="s">
        <v>246</v>
      </c>
      <c r="I24" s="136">
        <f>G24*(1+IF(H24="BDI 1",'Planilha BDI'!C$17,'Planilha BDI'!C$31))</f>
        <v>10360.39337</v>
      </c>
      <c r="J24" s="136">
        <f>F24*I24</f>
        <v>20720.78674</v>
      </c>
      <c r="L24" s="137"/>
      <c r="O24" s="137"/>
      <c r="P24" s="190">
        <f t="shared" ref="P24:P45" si="8">P$6*L24</f>
        <v>0</v>
      </c>
      <c r="Q24" s="190">
        <f t="shared" ref="Q24:Q45" si="9">Q$6*M24</f>
        <v>0</v>
      </c>
      <c r="R24" s="190" t="e">
        <f>R$6*#REF!</f>
        <v>#REF!</v>
      </c>
      <c r="T24" s="187" t="e">
        <f t="shared" si="7"/>
        <v>#REF!</v>
      </c>
    </row>
    <row r="25" spans="1:20" s="121" customFormat="1" ht="18" customHeight="1">
      <c r="A25" s="129" t="s">
        <v>269</v>
      </c>
      <c r="B25" s="130" t="s">
        <v>243</v>
      </c>
      <c r="C25" s="175" t="s">
        <v>270</v>
      </c>
      <c r="D25" s="178" t="s">
        <v>271</v>
      </c>
      <c r="E25" s="175" t="s">
        <v>245</v>
      </c>
      <c r="F25" s="134">
        <v>4</v>
      </c>
      <c r="G25" s="177">
        <f>'Grupo 4 - Painel Transf Aut 1.4'!P22</f>
        <v>8432.64</v>
      </c>
      <c r="H25" s="135" t="s">
        <v>246</v>
      </c>
      <c r="I25" s="136">
        <f>G25*(1+IF(H25="BDI 1",'Planilha BDI'!C$17,'Planilha BDI'!C$31))</f>
        <v>10114.95168</v>
      </c>
      <c r="J25" s="136">
        <f t="shared" ref="J25:J45" si="10">F25*I25</f>
        <v>40459.80672</v>
      </c>
      <c r="L25" s="137"/>
      <c r="O25" s="137"/>
      <c r="P25" s="190">
        <f t="shared" si="8"/>
        <v>0</v>
      </c>
      <c r="Q25" s="190">
        <f t="shared" si="9"/>
        <v>0</v>
      </c>
      <c r="R25" s="190" t="e">
        <f>R$6*#REF!</f>
        <v>#REF!</v>
      </c>
      <c r="T25" s="187" t="e">
        <f t="shared" si="7"/>
        <v>#REF!</v>
      </c>
    </row>
    <row r="26" spans="1:20" s="121" customFormat="1" ht="9.15" customHeight="1">
      <c r="A26" s="129" t="s">
        <v>272</v>
      </c>
      <c r="B26" s="130" t="s">
        <v>243</v>
      </c>
      <c r="C26" s="175" t="s">
        <v>273</v>
      </c>
      <c r="D26" s="179" t="s">
        <v>274</v>
      </c>
      <c r="E26" s="175" t="s">
        <v>275</v>
      </c>
      <c r="F26" s="134">
        <v>4</v>
      </c>
      <c r="G26" s="177">
        <f>Tabela134[[#This Row],[MÉDIAS/MEDIANA]]</f>
        <v>12977.22</v>
      </c>
      <c r="H26" s="135" t="s">
        <v>246</v>
      </c>
      <c r="I26" s="136">
        <f>G26*(1+IF(H26="BDI 1",'Planilha BDI'!C$17,'Planilha BDI'!C$31))</f>
        <v>15566.175389999999</v>
      </c>
      <c r="J26" s="136">
        <f t="shared" si="10"/>
        <v>62264.701559999994</v>
      </c>
      <c r="L26" s="137"/>
      <c r="O26" s="137"/>
      <c r="P26" s="190">
        <f t="shared" si="8"/>
        <v>0</v>
      </c>
      <c r="Q26" s="190">
        <f t="shared" si="9"/>
        <v>0</v>
      </c>
      <c r="R26" s="190" t="e">
        <f>R$6*#REF!</f>
        <v>#REF!</v>
      </c>
      <c r="T26" s="187" t="e">
        <f t="shared" si="7"/>
        <v>#REF!</v>
      </c>
    </row>
    <row r="27" spans="1:20" s="121" customFormat="1" ht="9.15" customHeight="1">
      <c r="A27" s="129" t="s">
        <v>276</v>
      </c>
      <c r="B27" s="130" t="s">
        <v>243</v>
      </c>
      <c r="C27" s="175" t="s">
        <v>277</v>
      </c>
      <c r="D27" s="179" t="s">
        <v>278</v>
      </c>
      <c r="E27" s="175" t="s">
        <v>245</v>
      </c>
      <c r="F27" s="134">
        <v>4</v>
      </c>
      <c r="G27" s="134">
        <f>'Grupo 4 - Painel Transf Aut 1.4'!P30</f>
        <v>339.63</v>
      </c>
      <c r="H27" s="135" t="s">
        <v>246</v>
      </c>
      <c r="I27" s="136">
        <f>G27*(1+IF(H27="BDI 1",'Planilha BDI'!C$17,'Planilha BDI'!C$31))</f>
        <v>407.38618500000001</v>
      </c>
      <c r="J27" s="136">
        <f t="shared" si="10"/>
        <v>1629.54474</v>
      </c>
      <c r="L27" s="137"/>
      <c r="O27" s="137"/>
      <c r="P27" s="190">
        <f t="shared" si="8"/>
        <v>0</v>
      </c>
      <c r="Q27" s="190">
        <f t="shared" si="9"/>
        <v>0</v>
      </c>
      <c r="R27" s="190" t="e">
        <f>R$6*#REF!</f>
        <v>#REF!</v>
      </c>
      <c r="T27" s="187" t="e">
        <f t="shared" si="7"/>
        <v>#REF!</v>
      </c>
    </row>
    <row r="28" spans="1:20" s="121" customFormat="1" ht="9.15" customHeight="1">
      <c r="A28" s="129" t="s">
        <v>279</v>
      </c>
      <c r="B28" s="130" t="s">
        <v>243</v>
      </c>
      <c r="C28" s="175" t="s">
        <v>280</v>
      </c>
      <c r="D28" s="179" t="s">
        <v>281</v>
      </c>
      <c r="E28" s="175" t="s">
        <v>245</v>
      </c>
      <c r="F28" s="134">
        <v>2</v>
      </c>
      <c r="G28" s="134">
        <f>'Grupo 4 - Painel Transf Aut 1.4'!P34</f>
        <v>431.86</v>
      </c>
      <c r="H28" s="135" t="s">
        <v>246</v>
      </c>
      <c r="I28" s="136">
        <f>G28*(1+IF(H28="BDI 1",'Planilha BDI'!C$17,'Planilha BDI'!C$31))</f>
        <v>518.01607000000001</v>
      </c>
      <c r="J28" s="136">
        <f t="shared" si="10"/>
        <v>1036.03214</v>
      </c>
      <c r="L28" s="137"/>
      <c r="O28" s="137"/>
      <c r="P28" s="190">
        <f t="shared" si="8"/>
        <v>0</v>
      </c>
      <c r="Q28" s="190">
        <f t="shared" si="9"/>
        <v>0</v>
      </c>
      <c r="R28" s="190" t="e">
        <f>R$6*#REF!</f>
        <v>#REF!</v>
      </c>
      <c r="T28" s="187" t="e">
        <f t="shared" si="7"/>
        <v>#REF!</v>
      </c>
    </row>
    <row r="29" spans="1:20" s="121" customFormat="1" ht="16.649999999999999" customHeight="1">
      <c r="A29" s="129" t="s">
        <v>282</v>
      </c>
      <c r="B29" s="130" t="s">
        <v>243</v>
      </c>
      <c r="C29" s="175" t="s">
        <v>283</v>
      </c>
      <c r="D29" s="179" t="s">
        <v>284</v>
      </c>
      <c r="E29" s="175" t="s">
        <v>245</v>
      </c>
      <c r="F29" s="134">
        <v>12</v>
      </c>
      <c r="G29" s="134">
        <f>'Grupo 4 - Painel Transf Aut 1.4'!P36</f>
        <v>292.08</v>
      </c>
      <c r="H29" s="135" t="s">
        <v>246</v>
      </c>
      <c r="I29" s="136">
        <f>G29*(1+IF(H29="BDI 1",'Planilha BDI'!C$17,'Planilha BDI'!C$31))</f>
        <v>350.34996000000001</v>
      </c>
      <c r="J29" s="136">
        <f t="shared" si="10"/>
        <v>4204.1995200000001</v>
      </c>
      <c r="L29" s="137"/>
      <c r="O29" s="137"/>
      <c r="P29" s="190">
        <f t="shared" si="8"/>
        <v>0</v>
      </c>
      <c r="Q29" s="190">
        <f t="shared" si="9"/>
        <v>0</v>
      </c>
      <c r="R29" s="190" t="e">
        <f>R$6*#REF!</f>
        <v>#REF!</v>
      </c>
      <c r="T29" s="187" t="e">
        <f t="shared" si="7"/>
        <v>#REF!</v>
      </c>
    </row>
    <row r="30" spans="1:20" s="121" customFormat="1" ht="9.15" customHeight="1">
      <c r="A30" s="129" t="s">
        <v>285</v>
      </c>
      <c r="B30" s="130" t="s">
        <v>243</v>
      </c>
      <c r="C30" s="175" t="s">
        <v>286</v>
      </c>
      <c r="D30" s="179" t="s">
        <v>287</v>
      </c>
      <c r="E30" s="175" t="s">
        <v>255</v>
      </c>
      <c r="F30" s="134">
        <v>0.75</v>
      </c>
      <c r="G30" s="134">
        <f>'Grupo 4 - Painel Transf Aut 1.4'!P40</f>
        <v>1143.29</v>
      </c>
      <c r="H30" s="135" t="s">
        <v>246</v>
      </c>
      <c r="I30" s="136">
        <f>G30*(1+IF(H30="BDI 1",'Planilha BDI'!C$17,'Planilha BDI'!C$31))</f>
        <v>1371.3763549999999</v>
      </c>
      <c r="J30" s="136">
        <f t="shared" si="10"/>
        <v>1028.5322662499998</v>
      </c>
      <c r="L30" s="137"/>
      <c r="O30" s="137"/>
      <c r="P30" s="190">
        <f t="shared" si="8"/>
        <v>0</v>
      </c>
      <c r="Q30" s="190">
        <f t="shared" si="9"/>
        <v>0</v>
      </c>
      <c r="R30" s="190" t="e">
        <f>R$6*#REF!</f>
        <v>#REF!</v>
      </c>
      <c r="T30" s="187" t="e">
        <f t="shared" si="7"/>
        <v>#REF!</v>
      </c>
    </row>
    <row r="31" spans="1:20" s="121" customFormat="1" ht="9.15" customHeight="1">
      <c r="A31" s="129" t="s">
        <v>288</v>
      </c>
      <c r="B31" s="130" t="s">
        <v>243</v>
      </c>
      <c r="C31" s="175" t="s">
        <v>289</v>
      </c>
      <c r="D31" s="179" t="s">
        <v>290</v>
      </c>
      <c r="E31" s="175" t="s">
        <v>275</v>
      </c>
      <c r="F31" s="134">
        <v>36</v>
      </c>
      <c r="G31" s="134">
        <f>'Grupo 4 - Painel Transf Aut 1.4'!P44</f>
        <v>9.7100000000000009</v>
      </c>
      <c r="H31" s="135" t="s">
        <v>246</v>
      </c>
      <c r="I31" s="136">
        <f>G31*(1+IF(H31="BDI 1",'Planilha BDI'!C$17,'Planilha BDI'!C$31))</f>
        <v>11.647145000000002</v>
      </c>
      <c r="J31" s="136">
        <f t="shared" si="10"/>
        <v>419.29722000000004</v>
      </c>
      <c r="L31" s="137"/>
      <c r="O31" s="137"/>
      <c r="P31" s="190">
        <f t="shared" si="8"/>
        <v>0</v>
      </c>
      <c r="Q31" s="190">
        <f t="shared" si="9"/>
        <v>0</v>
      </c>
      <c r="R31" s="190" t="e">
        <f>R$6*#REF!</f>
        <v>#REF!</v>
      </c>
      <c r="T31" s="187" t="e">
        <f t="shared" si="7"/>
        <v>#REF!</v>
      </c>
    </row>
    <row r="32" spans="1:20" s="121" customFormat="1" ht="9.15" customHeight="1">
      <c r="A32" s="129" t="s">
        <v>291</v>
      </c>
      <c r="B32" s="130" t="s">
        <v>243</v>
      </c>
      <c r="C32" s="175" t="s">
        <v>292</v>
      </c>
      <c r="D32" s="176" t="s">
        <v>174</v>
      </c>
      <c r="E32" s="175" t="s">
        <v>293</v>
      </c>
      <c r="F32" s="134">
        <v>1</v>
      </c>
      <c r="G32" s="134">
        <f>'Grupo 4 - Painel Transf Aut 1.4'!P44</f>
        <v>9.7100000000000009</v>
      </c>
      <c r="H32" s="135" t="s">
        <v>246</v>
      </c>
      <c r="I32" s="136">
        <f>G32*(1+IF(H32="BDI 1",'Planilha BDI'!C$17,'Planilha BDI'!C$31))</f>
        <v>11.647145000000002</v>
      </c>
      <c r="J32" s="136">
        <f t="shared" si="10"/>
        <v>11.647145000000002</v>
      </c>
      <c r="L32" s="137"/>
      <c r="O32" s="137"/>
      <c r="P32" s="190">
        <f t="shared" si="8"/>
        <v>0</v>
      </c>
      <c r="Q32" s="190">
        <f t="shared" si="9"/>
        <v>0</v>
      </c>
      <c r="R32" s="190" t="e">
        <f>R$6*#REF!</f>
        <v>#REF!</v>
      </c>
      <c r="T32" s="187" t="e">
        <f t="shared" si="7"/>
        <v>#REF!</v>
      </c>
    </row>
    <row r="33" spans="1:23" s="121" customFormat="1" ht="9.15" customHeight="1">
      <c r="A33" s="129" t="s">
        <v>294</v>
      </c>
      <c r="B33" s="130" t="s">
        <v>243</v>
      </c>
      <c r="C33" s="175" t="s">
        <v>295</v>
      </c>
      <c r="D33" s="179" t="s">
        <v>296</v>
      </c>
      <c r="E33" s="175" t="s">
        <v>264</v>
      </c>
      <c r="F33" s="134">
        <v>68</v>
      </c>
      <c r="G33" s="134">
        <f>'Grupo 4 - Painel Transf Aut 1.4'!P49</f>
        <v>157.69999999999999</v>
      </c>
      <c r="H33" s="135" t="s">
        <v>246</v>
      </c>
      <c r="I33" s="136">
        <f>G33*(1+IF(H33="BDI 1",'Planilha BDI'!C$17,'Planilha BDI'!C$31))</f>
        <v>189.16114999999999</v>
      </c>
      <c r="J33" s="136">
        <f t="shared" si="10"/>
        <v>12862.958199999999</v>
      </c>
      <c r="L33" s="137"/>
      <c r="O33" s="137"/>
      <c r="P33" s="190">
        <f t="shared" si="8"/>
        <v>0</v>
      </c>
      <c r="Q33" s="190">
        <f t="shared" si="9"/>
        <v>0</v>
      </c>
      <c r="R33" s="190" t="e">
        <f>R$6*#REF!</f>
        <v>#REF!</v>
      </c>
      <c r="T33" s="187" t="e">
        <f t="shared" si="7"/>
        <v>#REF!</v>
      </c>
    </row>
    <row r="34" spans="1:23" s="121" customFormat="1" ht="9.15" customHeight="1">
      <c r="A34" s="129" t="s">
        <v>297</v>
      </c>
      <c r="B34" s="130" t="s">
        <v>243</v>
      </c>
      <c r="C34" s="175" t="s">
        <v>298</v>
      </c>
      <c r="D34" s="179" t="s">
        <v>299</v>
      </c>
      <c r="E34" s="175" t="s">
        <v>293</v>
      </c>
      <c r="F34" s="134">
        <v>5</v>
      </c>
      <c r="G34" s="134">
        <f>'Grupo 4 - Painel Transf Aut 1.4'!P51</f>
        <v>60.46</v>
      </c>
      <c r="H34" s="135" t="s">
        <v>246</v>
      </c>
      <c r="I34" s="136">
        <f>G34*(1+IF(H34="BDI 1",'Planilha BDI'!C$17,'Planilha BDI'!C$31))</f>
        <v>72.521770000000004</v>
      </c>
      <c r="J34" s="136">
        <f t="shared" si="10"/>
        <v>362.60885000000002</v>
      </c>
      <c r="L34" s="137"/>
      <c r="O34" s="137"/>
      <c r="P34" s="190">
        <f t="shared" si="8"/>
        <v>0</v>
      </c>
      <c r="Q34" s="190">
        <f t="shared" si="9"/>
        <v>0</v>
      </c>
      <c r="R34" s="190" t="e">
        <f>R$6*#REF!</f>
        <v>#REF!</v>
      </c>
      <c r="T34" s="187" t="e">
        <f t="shared" si="7"/>
        <v>#REF!</v>
      </c>
    </row>
    <row r="35" spans="1:23" s="121" customFormat="1" ht="9.15" customHeight="1">
      <c r="A35" s="129" t="s">
        <v>300</v>
      </c>
      <c r="B35" s="130" t="s">
        <v>243</v>
      </c>
      <c r="C35" s="175" t="s">
        <v>301</v>
      </c>
      <c r="D35" s="179" t="s">
        <v>302</v>
      </c>
      <c r="E35" s="175" t="s">
        <v>303</v>
      </c>
      <c r="F35" s="134">
        <v>100</v>
      </c>
      <c r="G35" s="134">
        <f>'Grupo 4 - Painel Transf Aut 1.4'!P55</f>
        <v>1.95</v>
      </c>
      <c r="H35" s="135" t="s">
        <v>246</v>
      </c>
      <c r="I35" s="136">
        <f>G35*(1+IF(H35="BDI 1",'Planilha BDI'!C$17,'Planilha BDI'!C$31))</f>
        <v>2.3390249999999999</v>
      </c>
      <c r="J35" s="136">
        <f t="shared" si="10"/>
        <v>233.9025</v>
      </c>
      <c r="L35" s="137"/>
      <c r="O35" s="137"/>
      <c r="P35" s="190">
        <f t="shared" si="8"/>
        <v>0</v>
      </c>
      <c r="Q35" s="190">
        <f t="shared" si="9"/>
        <v>0</v>
      </c>
      <c r="R35" s="190" t="e">
        <f>R$6*#REF!</f>
        <v>#REF!</v>
      </c>
      <c r="T35" s="187" t="e">
        <f t="shared" si="7"/>
        <v>#REF!</v>
      </c>
    </row>
    <row r="36" spans="1:23" s="121" customFormat="1" ht="9.15" customHeight="1">
      <c r="A36" s="129" t="s">
        <v>304</v>
      </c>
      <c r="B36" s="130" t="s">
        <v>243</v>
      </c>
      <c r="C36" s="175" t="s">
        <v>305</v>
      </c>
      <c r="D36" s="179" t="s">
        <v>306</v>
      </c>
      <c r="E36" s="175" t="s">
        <v>303</v>
      </c>
      <c r="F36" s="134">
        <v>100</v>
      </c>
      <c r="G36" s="134">
        <f>'Grupo 4 - Painel Transf Aut 1.4'!P61</f>
        <v>1.95</v>
      </c>
      <c r="H36" s="135" t="s">
        <v>246</v>
      </c>
      <c r="I36" s="136">
        <f>G36*(1+IF(H36="BDI 1",'Planilha BDI'!C$17,'Planilha BDI'!C$31))</f>
        <v>2.3390249999999999</v>
      </c>
      <c r="J36" s="136">
        <f t="shared" si="10"/>
        <v>233.9025</v>
      </c>
      <c r="L36" s="137"/>
      <c r="O36" s="137"/>
      <c r="P36" s="190">
        <f t="shared" si="8"/>
        <v>0</v>
      </c>
      <c r="Q36" s="190">
        <f t="shared" si="9"/>
        <v>0</v>
      </c>
      <c r="R36" s="190" t="e">
        <f>R$6*#REF!</f>
        <v>#REF!</v>
      </c>
      <c r="T36" s="187" t="e">
        <f t="shared" si="7"/>
        <v>#REF!</v>
      </c>
    </row>
    <row r="37" spans="1:23" s="121" customFormat="1" ht="9.15" customHeight="1">
      <c r="A37" s="129" t="s">
        <v>307</v>
      </c>
      <c r="B37" s="130" t="s">
        <v>243</v>
      </c>
      <c r="C37" s="175" t="s">
        <v>308</v>
      </c>
      <c r="D37" s="179" t="s">
        <v>309</v>
      </c>
      <c r="E37" s="175" t="s">
        <v>303</v>
      </c>
      <c r="F37" s="134">
        <v>150</v>
      </c>
      <c r="G37" s="134">
        <f>'Grupo 4 - Painel Transf Aut 1.4'!P67</f>
        <v>1.95</v>
      </c>
      <c r="H37" s="135" t="s">
        <v>246</v>
      </c>
      <c r="I37" s="136">
        <f>G37*(1+IF(H37="BDI 1",'Planilha BDI'!C$17,'Planilha BDI'!C$31))</f>
        <v>2.3390249999999999</v>
      </c>
      <c r="J37" s="136">
        <f t="shared" si="10"/>
        <v>350.85374999999999</v>
      </c>
      <c r="L37" s="137"/>
      <c r="O37" s="137"/>
      <c r="P37" s="190">
        <f t="shared" si="8"/>
        <v>0</v>
      </c>
      <c r="Q37" s="190">
        <f t="shared" si="9"/>
        <v>0</v>
      </c>
      <c r="R37" s="190" t="e">
        <f>R$6*#REF!</f>
        <v>#REF!</v>
      </c>
      <c r="T37" s="187" t="e">
        <f t="shared" si="7"/>
        <v>#REF!</v>
      </c>
      <c r="V37" s="203"/>
    </row>
    <row r="38" spans="1:23" s="121" customFormat="1" ht="9.15" customHeight="1">
      <c r="A38" s="129" t="s">
        <v>310</v>
      </c>
      <c r="B38" s="130" t="s">
        <v>243</v>
      </c>
      <c r="C38" s="175" t="s">
        <v>311</v>
      </c>
      <c r="D38" s="179" t="s">
        <v>312</v>
      </c>
      <c r="E38" s="175" t="s">
        <v>303</v>
      </c>
      <c r="F38" s="134">
        <v>100</v>
      </c>
      <c r="G38" s="134">
        <f>'Grupo 4 - Painel Transf Aut 1.4'!P73</f>
        <v>3.23</v>
      </c>
      <c r="H38" s="135" t="s">
        <v>246</v>
      </c>
      <c r="I38" s="136">
        <f>G38*(1+IF(H38="BDI 1",'Planilha BDI'!C$17,'Planilha BDI'!C$31))</f>
        <v>3.8743850000000002</v>
      </c>
      <c r="J38" s="136">
        <f t="shared" si="10"/>
        <v>387.43850000000003</v>
      </c>
      <c r="L38" s="137"/>
      <c r="O38" s="137"/>
      <c r="P38" s="190">
        <f t="shared" si="8"/>
        <v>0</v>
      </c>
      <c r="Q38" s="190">
        <f t="shared" si="9"/>
        <v>0</v>
      </c>
      <c r="R38" s="190" t="e">
        <f>R$6*#REF!</f>
        <v>#REF!</v>
      </c>
      <c r="T38" s="187" t="e">
        <f t="shared" si="7"/>
        <v>#REF!</v>
      </c>
    </row>
    <row r="39" spans="1:23" s="121" customFormat="1" ht="9.15" customHeight="1">
      <c r="A39" s="129" t="s">
        <v>313</v>
      </c>
      <c r="B39" s="130" t="s">
        <v>243</v>
      </c>
      <c r="C39" s="175" t="s">
        <v>314</v>
      </c>
      <c r="D39" s="179" t="s">
        <v>315</v>
      </c>
      <c r="E39" s="175" t="s">
        <v>303</v>
      </c>
      <c r="F39" s="134">
        <v>100</v>
      </c>
      <c r="G39" s="134">
        <f>'Grupo 4 - Painel Transf Aut 1.4'!P79</f>
        <v>3.23</v>
      </c>
      <c r="H39" s="135" t="s">
        <v>246</v>
      </c>
      <c r="I39" s="136">
        <f>G39*(1+IF(H39="BDI 1",'Planilha BDI'!C$17,'Planilha BDI'!C$31))</f>
        <v>3.8743850000000002</v>
      </c>
      <c r="J39" s="136">
        <f t="shared" si="10"/>
        <v>387.43850000000003</v>
      </c>
      <c r="L39" s="137"/>
      <c r="O39" s="137"/>
      <c r="P39" s="190">
        <f t="shared" si="8"/>
        <v>0</v>
      </c>
      <c r="Q39" s="190">
        <f t="shared" si="9"/>
        <v>0</v>
      </c>
      <c r="R39" s="190" t="e">
        <f>R$6*#REF!</f>
        <v>#REF!</v>
      </c>
      <c r="T39" s="187" t="e">
        <f t="shared" si="7"/>
        <v>#REF!</v>
      </c>
      <c r="W39" s="203"/>
    </row>
    <row r="40" spans="1:23" s="121" customFormat="1" ht="9.15" customHeight="1">
      <c r="A40" s="129" t="s">
        <v>316</v>
      </c>
      <c r="B40" s="130" t="s">
        <v>243</v>
      </c>
      <c r="C40" s="175" t="s">
        <v>317</v>
      </c>
      <c r="D40" s="179" t="s">
        <v>318</v>
      </c>
      <c r="E40" s="175" t="s">
        <v>303</v>
      </c>
      <c r="F40" s="134">
        <v>100</v>
      </c>
      <c r="G40" s="134">
        <f>'Grupo 4 - Painel Transf Aut 1.4'!P85</f>
        <v>3.23</v>
      </c>
      <c r="H40" s="135" t="s">
        <v>246</v>
      </c>
      <c r="I40" s="136">
        <f>G40*(1+IF(H40="BDI 1",'Planilha BDI'!C$17,'Planilha BDI'!C$31))</f>
        <v>3.8743850000000002</v>
      </c>
      <c r="J40" s="136">
        <f t="shared" si="10"/>
        <v>387.43850000000003</v>
      </c>
      <c r="L40" s="137"/>
      <c r="O40" s="137"/>
      <c r="P40" s="190">
        <f t="shared" si="8"/>
        <v>0</v>
      </c>
      <c r="Q40" s="190">
        <f t="shared" si="9"/>
        <v>0</v>
      </c>
      <c r="R40" s="190" t="e">
        <f>R$6*#REF!</f>
        <v>#REF!</v>
      </c>
      <c r="T40" s="187" t="e">
        <f t="shared" si="7"/>
        <v>#REF!</v>
      </c>
    </row>
    <row r="41" spans="1:23" s="121" customFormat="1" ht="9.15" customHeight="1">
      <c r="A41" s="129" t="s">
        <v>319</v>
      </c>
      <c r="B41" s="130" t="s">
        <v>243</v>
      </c>
      <c r="C41" s="175" t="s">
        <v>320</v>
      </c>
      <c r="D41" s="179" t="s">
        <v>321</v>
      </c>
      <c r="E41" s="175" t="s">
        <v>275</v>
      </c>
      <c r="F41" s="134">
        <v>8</v>
      </c>
      <c r="G41" s="134">
        <f>'Grupo 4 - Painel Transf Aut 1.4'!P89</f>
        <v>8.65</v>
      </c>
      <c r="H41" s="135" t="s">
        <v>246</v>
      </c>
      <c r="I41" s="136">
        <f>G41*(1+IF(H41="BDI 1",'Planilha BDI'!C$17,'Planilha BDI'!C$31))</f>
        <v>10.375675000000001</v>
      </c>
      <c r="J41" s="136">
        <f t="shared" si="10"/>
        <v>83.005400000000009</v>
      </c>
      <c r="L41" s="137"/>
      <c r="O41" s="137"/>
      <c r="P41" s="190">
        <f t="shared" si="8"/>
        <v>0</v>
      </c>
      <c r="Q41" s="190">
        <f t="shared" si="9"/>
        <v>0</v>
      </c>
      <c r="R41" s="190" t="e">
        <f>R$6*#REF!</f>
        <v>#REF!</v>
      </c>
      <c r="T41" s="187" t="e">
        <f t="shared" si="7"/>
        <v>#REF!</v>
      </c>
    </row>
    <row r="42" spans="1:23" s="121" customFormat="1" ht="9.15" customHeight="1">
      <c r="A42" s="129" t="s">
        <v>322</v>
      </c>
      <c r="B42" s="130" t="s">
        <v>243</v>
      </c>
      <c r="C42" s="175" t="s">
        <v>323</v>
      </c>
      <c r="D42" s="179" t="s">
        <v>324</v>
      </c>
      <c r="E42" s="175" t="s">
        <v>275</v>
      </c>
      <c r="F42" s="134">
        <v>39</v>
      </c>
      <c r="G42" s="134">
        <f>'Grupo 4 - Painel Transf Aut 1.4'!P93</f>
        <v>9.2799999999999994</v>
      </c>
      <c r="H42" s="135" t="s">
        <v>246</v>
      </c>
      <c r="I42" s="136">
        <f>G42*(1+IF(H42="BDI 1",'Planilha BDI'!C$17,'Planilha BDI'!C$31))</f>
        <v>11.131359999999999</v>
      </c>
      <c r="J42" s="136">
        <f t="shared" si="10"/>
        <v>434.12303999999995</v>
      </c>
      <c r="L42" s="137"/>
      <c r="O42" s="137"/>
      <c r="P42" s="190">
        <f t="shared" si="8"/>
        <v>0</v>
      </c>
      <c r="Q42" s="190">
        <f t="shared" si="9"/>
        <v>0</v>
      </c>
      <c r="R42" s="190" t="e">
        <f>R$6*#REF!</f>
        <v>#REF!</v>
      </c>
      <c r="T42" s="187" t="e">
        <f t="shared" si="7"/>
        <v>#REF!</v>
      </c>
      <c r="W42" s="203"/>
    </row>
    <row r="43" spans="1:23" s="121" customFormat="1" ht="9.15" customHeight="1">
      <c r="A43" s="129" t="s">
        <v>325</v>
      </c>
      <c r="B43" s="130" t="s">
        <v>243</v>
      </c>
      <c r="C43" s="175" t="s">
        <v>326</v>
      </c>
      <c r="D43" s="179" t="s">
        <v>327</v>
      </c>
      <c r="E43" s="175" t="s">
        <v>275</v>
      </c>
      <c r="F43" s="134">
        <v>4</v>
      </c>
      <c r="G43" s="134">
        <f>'Grupo 4 - Painel Transf Aut 1.4'!P98</f>
        <v>9.2799999999999994</v>
      </c>
      <c r="H43" s="135" t="s">
        <v>246</v>
      </c>
      <c r="I43" s="136">
        <f>G43*(1+IF(H43="BDI 1",'Planilha BDI'!C$17,'Planilha BDI'!C$31))</f>
        <v>11.131359999999999</v>
      </c>
      <c r="J43" s="136">
        <f t="shared" si="10"/>
        <v>44.525439999999996</v>
      </c>
      <c r="L43" s="137"/>
      <c r="O43" s="137"/>
      <c r="P43" s="190">
        <f t="shared" si="8"/>
        <v>0</v>
      </c>
      <c r="Q43" s="190">
        <f t="shared" si="9"/>
        <v>0</v>
      </c>
      <c r="R43" s="190" t="e">
        <f>R$6*#REF!</f>
        <v>#REF!</v>
      </c>
      <c r="T43" s="187" t="e">
        <f t="shared" si="7"/>
        <v>#REF!</v>
      </c>
    </row>
    <row r="44" spans="1:23" s="121" customFormat="1" ht="9.15" customHeight="1">
      <c r="A44" s="129" t="s">
        <v>328</v>
      </c>
      <c r="B44" s="130" t="s">
        <v>243</v>
      </c>
      <c r="C44" s="175" t="s">
        <v>329</v>
      </c>
      <c r="D44" s="179" t="s">
        <v>330</v>
      </c>
      <c r="E44" s="175" t="s">
        <v>275</v>
      </c>
      <c r="F44" s="134">
        <v>2</v>
      </c>
      <c r="G44" s="134">
        <f>'Grupo 4 - Painel Transf Aut 1.4'!P101</f>
        <v>25.95</v>
      </c>
      <c r="H44" s="135" t="s">
        <v>246</v>
      </c>
      <c r="I44" s="136">
        <f>G44*(1+IF(H44="BDI 1",'Planilha BDI'!C$17,'Planilha BDI'!C$31))</f>
        <v>31.127025</v>
      </c>
      <c r="J44" s="136">
        <f t="shared" si="10"/>
        <v>62.254049999999999</v>
      </c>
      <c r="L44" s="137"/>
      <c r="O44" s="137"/>
      <c r="P44" s="190">
        <f t="shared" si="8"/>
        <v>0</v>
      </c>
      <c r="Q44" s="190">
        <f t="shared" si="9"/>
        <v>0</v>
      </c>
      <c r="R44" s="190" t="e">
        <f>R$6*#REF!</f>
        <v>#REF!</v>
      </c>
      <c r="T44" s="187" t="e">
        <f t="shared" si="7"/>
        <v>#REF!</v>
      </c>
    </row>
    <row r="45" spans="1:23" s="121" customFormat="1" ht="9.15" customHeight="1">
      <c r="A45" s="129" t="s">
        <v>331</v>
      </c>
      <c r="B45" s="130" t="s">
        <v>235</v>
      </c>
      <c r="C45" s="205">
        <v>88264</v>
      </c>
      <c r="D45" s="206" t="s">
        <v>332</v>
      </c>
      <c r="E45" s="207" t="s">
        <v>236</v>
      </c>
      <c r="F45" s="134">
        <v>176</v>
      </c>
      <c r="G45" s="134">
        <v>29.88</v>
      </c>
      <c r="H45" s="135" t="s">
        <v>433</v>
      </c>
      <c r="I45" s="136">
        <f>G45*(1+IF(H45="BDI 1",'Planilha BDI'!C$17,'Planilha BDI'!C$31))</f>
        <v>37.618919999999996</v>
      </c>
      <c r="J45" s="136">
        <f t="shared" si="10"/>
        <v>6620.9299199999996</v>
      </c>
      <c r="L45" s="137"/>
      <c r="O45" s="137"/>
      <c r="P45" s="190">
        <f t="shared" si="8"/>
        <v>0</v>
      </c>
      <c r="Q45" s="190">
        <f t="shared" si="9"/>
        <v>0</v>
      </c>
      <c r="R45" s="190" t="e">
        <f>R$6*#REF!</f>
        <v>#REF!</v>
      </c>
      <c r="T45" s="187" t="e">
        <f t="shared" si="7"/>
        <v>#REF!</v>
      </c>
      <c r="V45" s="203"/>
    </row>
    <row r="46" spans="1:23" s="121" customFormat="1" ht="9.15" customHeight="1">
      <c r="A46" s="579" t="s">
        <v>427</v>
      </c>
      <c r="B46" s="580"/>
      <c r="C46" s="580"/>
      <c r="D46" s="580"/>
      <c r="E46" s="580"/>
      <c r="F46" s="580"/>
      <c r="G46" s="580"/>
      <c r="H46" s="580"/>
      <c r="I46" s="581"/>
      <c r="J46" s="180">
        <f>SUM(J24:J45)</f>
        <v>154225.92720124993</v>
      </c>
      <c r="L46" s="137"/>
      <c r="O46" s="137"/>
      <c r="P46" s="190"/>
      <c r="Q46" s="190"/>
      <c r="R46" s="190"/>
      <c r="T46" s="187"/>
    </row>
    <row r="47" spans="1:23" s="121" customFormat="1" ht="9.15" customHeight="1">
      <c r="A47" s="139" t="s">
        <v>333</v>
      </c>
      <c r="B47" s="124"/>
      <c r="C47" s="124"/>
      <c r="D47" s="125" t="s">
        <v>334</v>
      </c>
      <c r="E47" s="124"/>
      <c r="F47" s="124"/>
      <c r="G47" s="124"/>
      <c r="H47" s="124"/>
      <c r="I47" s="126" t="s">
        <v>233</v>
      </c>
      <c r="J47" s="127"/>
      <c r="L47" s="140">
        <f>J58/F6</f>
        <v>7.6343003399450146E-2</v>
      </c>
      <c r="O47" s="188" t="e">
        <f>#REF!/#REF!</f>
        <v>#REF!</v>
      </c>
      <c r="P47" s="190">
        <f>P$6*$L47</f>
        <v>37694.377150532615</v>
      </c>
      <c r="Q47" s="190">
        <f t="shared" ref="Q47:R47" si="11">Q$6*$L47</f>
        <v>34355.732317199734</v>
      </c>
      <c r="R47" s="190">
        <f t="shared" si="11"/>
        <v>54926.092419347529</v>
      </c>
      <c r="T47" s="187">
        <f t="shared" ref="T47:T57" si="12">MEDIAN(J47,P47,Q47,R47)</f>
        <v>37694.377150532615</v>
      </c>
    </row>
    <row r="48" spans="1:23" s="121" customFormat="1" ht="39.15" customHeight="1">
      <c r="A48" s="129" t="s">
        <v>335</v>
      </c>
      <c r="B48" s="130" t="s">
        <v>235</v>
      </c>
      <c r="C48" s="131">
        <v>91170</v>
      </c>
      <c r="D48" s="144" t="s">
        <v>336</v>
      </c>
      <c r="E48" s="133" t="s">
        <v>337</v>
      </c>
      <c r="F48" s="134">
        <v>10</v>
      </c>
      <c r="G48" s="134">
        <v>10.44</v>
      </c>
      <c r="H48" s="135" t="s">
        <v>237</v>
      </c>
      <c r="I48" s="136">
        <f>G48*(1+IF(H48="BDI 1",'Planilha BDI'!C$17,'Planilha BDI'!C$31))</f>
        <v>13.143959999999998</v>
      </c>
      <c r="J48" s="143">
        <f>F48*I48</f>
        <v>131.43959999999998</v>
      </c>
      <c r="L48" s="137"/>
      <c r="O48" s="137"/>
      <c r="P48" s="190">
        <f t="shared" ref="P48:P57" si="13">P$6*L48</f>
        <v>0</v>
      </c>
      <c r="Q48" s="190">
        <f t="shared" ref="Q48:Q57" si="14">Q$6*M48</f>
        <v>0</v>
      </c>
      <c r="R48" s="190" t="e">
        <f>R$6*#REF!</f>
        <v>#REF!</v>
      </c>
      <c r="T48" s="187" t="e">
        <f t="shared" si="12"/>
        <v>#REF!</v>
      </c>
    </row>
    <row r="49" spans="1:20" s="121" customFormat="1" ht="25.35" customHeight="1">
      <c r="A49" s="129" t="s">
        <v>338</v>
      </c>
      <c r="B49" s="130" t="s">
        <v>235</v>
      </c>
      <c r="C49" s="271" t="s">
        <v>443</v>
      </c>
      <c r="D49" s="132" t="s">
        <v>339</v>
      </c>
      <c r="E49" s="133" t="s">
        <v>340</v>
      </c>
      <c r="F49" s="134">
        <v>16</v>
      </c>
      <c r="G49" s="134">
        <v>129.27000000000001</v>
      </c>
      <c r="H49" s="142" t="s">
        <v>247</v>
      </c>
      <c r="I49" s="136">
        <f>G49*(1+IF(H49="BDI 1",'Planilha BDI'!C$17,'Planilha BDI'!C$31))</f>
        <v>155.05936500000001</v>
      </c>
      <c r="J49" s="143">
        <f t="shared" ref="J49:J57" si="15">F49*I49</f>
        <v>2480.9498400000002</v>
      </c>
      <c r="L49" s="137"/>
      <c r="O49" s="137"/>
      <c r="P49" s="190">
        <f t="shared" si="13"/>
        <v>0</v>
      </c>
      <c r="Q49" s="190">
        <f t="shared" si="14"/>
        <v>0</v>
      </c>
      <c r="R49" s="190" t="e">
        <f>R$6*#REF!</f>
        <v>#REF!</v>
      </c>
      <c r="T49" s="187" t="e">
        <f t="shared" si="12"/>
        <v>#REF!</v>
      </c>
    </row>
    <row r="50" spans="1:20" s="121" customFormat="1" ht="25.35" customHeight="1">
      <c r="A50" s="129" t="s">
        <v>341</v>
      </c>
      <c r="B50" s="130" t="s">
        <v>235</v>
      </c>
      <c r="C50" s="131">
        <v>92998</v>
      </c>
      <c r="D50" s="132" t="s">
        <v>342</v>
      </c>
      <c r="E50" s="133" t="s">
        <v>337</v>
      </c>
      <c r="F50" s="134">
        <v>204.23</v>
      </c>
      <c r="G50" s="134">
        <v>218.52</v>
      </c>
      <c r="H50" s="135" t="s">
        <v>246</v>
      </c>
      <c r="I50" s="136">
        <f>G50*(1+IF(H50="BDI 1",'Planilha BDI'!C$17,'Planilha BDI'!C$31))</f>
        <v>262.11474000000004</v>
      </c>
      <c r="J50" s="143">
        <f t="shared" si="15"/>
        <v>53531.693350200003</v>
      </c>
      <c r="L50" s="137"/>
      <c r="O50" s="137"/>
      <c r="P50" s="190">
        <f t="shared" si="13"/>
        <v>0</v>
      </c>
      <c r="Q50" s="190">
        <f t="shared" si="14"/>
        <v>0</v>
      </c>
      <c r="R50" s="190" t="e">
        <f>R$6*#REF!</f>
        <v>#REF!</v>
      </c>
      <c r="T50" s="187" t="e">
        <f t="shared" si="12"/>
        <v>#REF!</v>
      </c>
    </row>
    <row r="51" spans="1:20" s="121" customFormat="1" ht="30" customHeight="1">
      <c r="A51" s="129" t="s">
        <v>343</v>
      </c>
      <c r="B51" s="130" t="s">
        <v>235</v>
      </c>
      <c r="C51" s="270" t="s">
        <v>444</v>
      </c>
      <c r="D51" s="144" t="s">
        <v>344</v>
      </c>
      <c r="E51" s="133" t="s">
        <v>337</v>
      </c>
      <c r="F51" s="134">
        <v>2</v>
      </c>
      <c r="G51" s="134">
        <v>29.62</v>
      </c>
      <c r="H51" s="135" t="s">
        <v>246</v>
      </c>
      <c r="I51" s="136">
        <f>G51*(1+IF(H51="BDI 1",'Planilha BDI'!C$17,'Planilha BDI'!C$31))</f>
        <v>35.52919</v>
      </c>
      <c r="J51" s="143">
        <f t="shared" si="15"/>
        <v>71.05838</v>
      </c>
      <c r="L51" s="137"/>
      <c r="O51" s="137"/>
      <c r="P51" s="190">
        <f t="shared" si="13"/>
        <v>0</v>
      </c>
      <c r="Q51" s="190">
        <f t="shared" si="14"/>
        <v>0</v>
      </c>
      <c r="R51" s="190" t="e">
        <f>R$6*#REF!</f>
        <v>#REF!</v>
      </c>
      <c r="T51" s="187" t="e">
        <f t="shared" si="12"/>
        <v>#REF!</v>
      </c>
    </row>
    <row r="52" spans="1:20" s="121" customFormat="1" ht="9.15" customHeight="1">
      <c r="A52" s="129" t="s">
        <v>345</v>
      </c>
      <c r="B52" s="130" t="s">
        <v>243</v>
      </c>
      <c r="C52" s="175" t="s">
        <v>346</v>
      </c>
      <c r="D52" s="176" t="s">
        <v>120</v>
      </c>
      <c r="E52" s="175" t="s">
        <v>275</v>
      </c>
      <c r="F52" s="134">
        <v>2</v>
      </c>
      <c r="G52" s="134">
        <f>'Grupo 5 Superestrutura eletri'!P18</f>
        <v>25.62</v>
      </c>
      <c r="H52" s="135" t="s">
        <v>246</v>
      </c>
      <c r="I52" s="136">
        <f>G52*(1+IF(H52="BDI 1",'Planilha BDI'!C$17,'Planilha BDI'!C$31))</f>
        <v>30.731190000000002</v>
      </c>
      <c r="J52" s="143">
        <f t="shared" si="15"/>
        <v>61.462380000000003</v>
      </c>
      <c r="L52" s="137"/>
      <c r="O52" s="137"/>
      <c r="P52" s="190">
        <f t="shared" si="13"/>
        <v>0</v>
      </c>
      <c r="Q52" s="190">
        <f t="shared" si="14"/>
        <v>0</v>
      </c>
      <c r="R52" s="190" t="e">
        <f>R$6*#REF!</f>
        <v>#REF!</v>
      </c>
      <c r="T52" s="187" t="e">
        <f t="shared" si="12"/>
        <v>#REF!</v>
      </c>
    </row>
    <row r="53" spans="1:20" s="121" customFormat="1" ht="9.15" customHeight="1">
      <c r="A53" s="129" t="s">
        <v>347</v>
      </c>
      <c r="B53" s="130" t="s">
        <v>243</v>
      </c>
      <c r="C53" s="175" t="s">
        <v>348</v>
      </c>
      <c r="D53" s="176" t="s">
        <v>121</v>
      </c>
      <c r="E53" s="175" t="s">
        <v>275</v>
      </c>
      <c r="F53" s="134">
        <v>1</v>
      </c>
      <c r="G53" s="134">
        <f>'Grupo 5 Superestrutura eletri'!P24</f>
        <v>31.76</v>
      </c>
      <c r="H53" s="135" t="s">
        <v>246</v>
      </c>
      <c r="I53" s="136">
        <f>G53*(1+IF(H53="BDI 1",'Planilha BDI'!C$17,'Planilha BDI'!C$31))</f>
        <v>38.096119999999999</v>
      </c>
      <c r="J53" s="143">
        <f t="shared" si="15"/>
        <v>38.096119999999999</v>
      </c>
      <c r="L53" s="137"/>
      <c r="O53" s="137"/>
      <c r="P53" s="190">
        <f t="shared" si="13"/>
        <v>0</v>
      </c>
      <c r="Q53" s="190">
        <f t="shared" si="14"/>
        <v>0</v>
      </c>
      <c r="R53" s="190" t="e">
        <f>R$6*#REF!</f>
        <v>#REF!</v>
      </c>
      <c r="T53" s="187" t="e">
        <f t="shared" si="12"/>
        <v>#REF!</v>
      </c>
    </row>
    <row r="54" spans="1:20" s="121" customFormat="1" ht="9.15" customHeight="1">
      <c r="A54" s="129" t="s">
        <v>349</v>
      </c>
      <c r="B54" s="130" t="s">
        <v>243</v>
      </c>
      <c r="C54" s="175" t="s">
        <v>350</v>
      </c>
      <c r="D54" s="176" t="s">
        <v>122</v>
      </c>
      <c r="E54" s="175" t="s">
        <v>293</v>
      </c>
      <c r="F54" s="134">
        <v>1</v>
      </c>
      <c r="G54" s="134">
        <f>'Grupo 5 Superestrutura eletri'!P29</f>
        <v>6.8</v>
      </c>
      <c r="H54" s="135" t="s">
        <v>246</v>
      </c>
      <c r="I54" s="136">
        <f>G54*(1+IF(H54="BDI 1",'Planilha BDI'!C$17,'Planilha BDI'!C$31))</f>
        <v>8.1565999999999992</v>
      </c>
      <c r="J54" s="143">
        <f t="shared" si="15"/>
        <v>8.1565999999999992</v>
      </c>
      <c r="L54" s="137"/>
      <c r="O54" s="137"/>
      <c r="P54" s="190">
        <f t="shared" si="13"/>
        <v>0</v>
      </c>
      <c r="Q54" s="190">
        <f t="shared" si="14"/>
        <v>0</v>
      </c>
      <c r="R54" s="190" t="e">
        <f>R$6*#REF!</f>
        <v>#REF!</v>
      </c>
      <c r="T54" s="187" t="e">
        <f t="shared" si="12"/>
        <v>#REF!</v>
      </c>
    </row>
    <row r="55" spans="1:20" s="121" customFormat="1" ht="9.15" customHeight="1">
      <c r="A55" s="129" t="s">
        <v>351</v>
      </c>
      <c r="B55" s="130" t="s">
        <v>243</v>
      </c>
      <c r="C55" s="175" t="s">
        <v>352</v>
      </c>
      <c r="D55" s="176" t="s">
        <v>123</v>
      </c>
      <c r="E55" s="175" t="s">
        <v>275</v>
      </c>
      <c r="F55" s="134">
        <v>3</v>
      </c>
      <c r="G55" s="134">
        <f>'Grupo 5 Superestrutura eletri'!P34</f>
        <v>97.93</v>
      </c>
      <c r="H55" s="135" t="s">
        <v>246</v>
      </c>
      <c r="I55" s="136">
        <f>G55*(1+IF(H55="BDI 1",'Planilha BDI'!C$17,'Planilha BDI'!C$31))</f>
        <v>117.46703500000001</v>
      </c>
      <c r="J55" s="143">
        <f t="shared" si="15"/>
        <v>352.40110500000003</v>
      </c>
      <c r="L55" s="137"/>
      <c r="O55" s="137"/>
      <c r="P55" s="190">
        <f t="shared" si="13"/>
        <v>0</v>
      </c>
      <c r="Q55" s="190">
        <f t="shared" si="14"/>
        <v>0</v>
      </c>
      <c r="R55" s="190" t="e">
        <f>R$6*#REF!</f>
        <v>#REF!</v>
      </c>
      <c r="T55" s="187" t="e">
        <f t="shared" si="12"/>
        <v>#REF!</v>
      </c>
    </row>
    <row r="56" spans="1:20" s="121" customFormat="1" ht="9.15" customHeight="1">
      <c r="A56" s="129" t="s">
        <v>353</v>
      </c>
      <c r="B56" s="130" t="s">
        <v>243</v>
      </c>
      <c r="C56" s="175" t="s">
        <v>354</v>
      </c>
      <c r="D56" s="176" t="s">
        <v>124</v>
      </c>
      <c r="E56" s="175" t="s">
        <v>275</v>
      </c>
      <c r="F56" s="134">
        <v>2</v>
      </c>
      <c r="G56" s="134">
        <f>'Grupo 5 Superestrutura eletri'!P40</f>
        <v>8.51</v>
      </c>
      <c r="H56" s="135" t="s">
        <v>246</v>
      </c>
      <c r="I56" s="136">
        <f>G56*(1+IF(H56="BDI 1",'Planilha BDI'!C$17,'Planilha BDI'!C$31))</f>
        <v>10.207744999999999</v>
      </c>
      <c r="J56" s="143">
        <f t="shared" si="15"/>
        <v>20.415489999999998</v>
      </c>
      <c r="L56" s="137"/>
      <c r="O56" s="137"/>
      <c r="P56" s="190">
        <f t="shared" si="13"/>
        <v>0</v>
      </c>
      <c r="Q56" s="190">
        <f t="shared" si="14"/>
        <v>0</v>
      </c>
      <c r="R56" s="190" t="e">
        <f>R$6*#REF!</f>
        <v>#REF!</v>
      </c>
      <c r="T56" s="187" t="e">
        <f t="shared" si="12"/>
        <v>#REF!</v>
      </c>
    </row>
    <row r="57" spans="1:20" s="121" customFormat="1" ht="9.15" customHeight="1">
      <c r="A57" s="129" t="s">
        <v>355</v>
      </c>
      <c r="B57" s="130" t="s">
        <v>235</v>
      </c>
      <c r="C57" s="131">
        <v>88264</v>
      </c>
      <c r="D57" s="132" t="s">
        <v>332</v>
      </c>
      <c r="E57" s="133" t="s">
        <v>236</v>
      </c>
      <c r="F57" s="134">
        <v>176</v>
      </c>
      <c r="G57" s="134">
        <v>29.88</v>
      </c>
      <c r="H57" s="135" t="s">
        <v>237</v>
      </c>
      <c r="I57" s="136">
        <f>G57*(1+IF(H57="BDI 1",'Planilha BDI'!C$17,'Planilha BDI'!C$31))</f>
        <v>37.618919999999996</v>
      </c>
      <c r="J57" s="143">
        <f t="shared" si="15"/>
        <v>6620.9299199999996</v>
      </c>
      <c r="L57" s="137"/>
      <c r="O57" s="137"/>
      <c r="P57" s="190">
        <f t="shared" si="13"/>
        <v>0</v>
      </c>
      <c r="Q57" s="190">
        <f t="shared" si="14"/>
        <v>0</v>
      </c>
      <c r="R57" s="190" t="e">
        <f>R$6*#REF!</f>
        <v>#REF!</v>
      </c>
      <c r="T57" s="187" t="e">
        <f t="shared" si="12"/>
        <v>#REF!</v>
      </c>
    </row>
    <row r="58" spans="1:20" s="121" customFormat="1" ht="9.15" customHeight="1">
      <c r="A58" s="579" t="s">
        <v>428</v>
      </c>
      <c r="B58" s="580"/>
      <c r="C58" s="580"/>
      <c r="D58" s="580"/>
      <c r="E58" s="580"/>
      <c r="F58" s="580"/>
      <c r="G58" s="580"/>
      <c r="H58" s="580"/>
      <c r="I58" s="581"/>
      <c r="J58" s="180">
        <f>SUM(J48:J57)</f>
        <v>63316.602785200004</v>
      </c>
      <c r="L58" s="137"/>
      <c r="O58" s="137"/>
      <c r="P58" s="190"/>
      <c r="Q58" s="190"/>
      <c r="R58" s="190"/>
      <c r="T58" s="187"/>
    </row>
    <row r="59" spans="1:20" s="121" customFormat="1" ht="9.15" customHeight="1">
      <c r="A59" s="139" t="s">
        <v>356</v>
      </c>
      <c r="B59" s="124"/>
      <c r="C59" s="124"/>
      <c r="D59" s="125" t="s">
        <v>357</v>
      </c>
      <c r="E59" s="124"/>
      <c r="F59" s="124"/>
      <c r="G59" s="124"/>
      <c r="H59" s="124"/>
      <c r="I59" s="126" t="s">
        <v>233</v>
      </c>
      <c r="J59" s="127"/>
      <c r="L59" s="140">
        <f>J66/F6</f>
        <v>3.1074334827728822E-3</v>
      </c>
      <c r="O59" s="188" t="e">
        <f>#REF!/#REF!</f>
        <v>#REF!</v>
      </c>
      <c r="P59" s="190">
        <f>P$6*$L59</f>
        <v>1534.2960645255118</v>
      </c>
      <c r="Q59" s="190">
        <f t="shared" ref="Q59:R59" si="16">Q$6*$L59</f>
        <v>1398.4012702389664</v>
      </c>
      <c r="R59" s="190">
        <f t="shared" si="16"/>
        <v>2235.6885511657456</v>
      </c>
      <c r="T59" s="187">
        <f t="shared" ref="T59:T65" si="17">MEDIAN(J59,P59,Q59,R59)</f>
        <v>1534.2960645255118</v>
      </c>
    </row>
    <row r="60" spans="1:20" s="121" customFormat="1" ht="18" customHeight="1">
      <c r="A60" s="129" t="s">
        <v>358</v>
      </c>
      <c r="B60" s="130" t="s">
        <v>249</v>
      </c>
      <c r="C60" s="131">
        <v>180406</v>
      </c>
      <c r="D60" s="144" t="s">
        <v>359</v>
      </c>
      <c r="E60" s="133" t="s">
        <v>360</v>
      </c>
      <c r="F60" s="134">
        <v>1.8</v>
      </c>
      <c r="G60" s="204">
        <v>400.87</v>
      </c>
      <c r="H60" s="135" t="s">
        <v>246</v>
      </c>
      <c r="I60" s="136">
        <f>G60*(1+IF(H60="BDI 1",'Planilha BDI'!C$17,'Planilha BDI'!C$31))</f>
        <v>480.84356500000001</v>
      </c>
      <c r="J60" s="143">
        <f>I60*F60</f>
        <v>865.518417</v>
      </c>
      <c r="L60" s="137"/>
      <c r="O60" s="137"/>
      <c r="P60" s="190">
        <f t="shared" ref="P60:Q65" si="18">P$6*L60</f>
        <v>0</v>
      </c>
      <c r="Q60" s="190">
        <f t="shared" si="18"/>
        <v>0</v>
      </c>
      <c r="R60" s="190" t="e">
        <f>R$6*#REF!</f>
        <v>#REF!</v>
      </c>
      <c r="T60" s="187" t="e">
        <f t="shared" si="17"/>
        <v>#REF!</v>
      </c>
    </row>
    <row r="61" spans="1:20" s="121" customFormat="1" ht="9.15" customHeight="1">
      <c r="A61" s="129" t="s">
        <v>361</v>
      </c>
      <c r="B61" s="130" t="s">
        <v>249</v>
      </c>
      <c r="C61" s="131">
        <v>160600</v>
      </c>
      <c r="D61" s="132" t="s">
        <v>362</v>
      </c>
      <c r="E61" s="133" t="s">
        <v>360</v>
      </c>
      <c r="F61" s="134">
        <v>6.48</v>
      </c>
      <c r="G61" s="204">
        <v>103.96</v>
      </c>
      <c r="H61" s="135" t="s">
        <v>246</v>
      </c>
      <c r="I61" s="136">
        <f>G61*(1+IF(H61="BDI 1",'Planilha BDI'!C$17,'Planilha BDI'!C$31))</f>
        <v>124.70001999999999</v>
      </c>
      <c r="J61" s="143">
        <f t="shared" ref="J61:J65" si="19">I61*F61</f>
        <v>808.05612960000008</v>
      </c>
      <c r="L61" s="137"/>
      <c r="O61" s="137"/>
      <c r="P61" s="190">
        <f t="shared" si="18"/>
        <v>0</v>
      </c>
      <c r="Q61" s="190">
        <f t="shared" si="18"/>
        <v>0</v>
      </c>
      <c r="R61" s="190" t="e">
        <f>R$6*#REF!</f>
        <v>#REF!</v>
      </c>
      <c r="T61" s="187" t="e">
        <f t="shared" si="17"/>
        <v>#REF!</v>
      </c>
    </row>
    <row r="62" spans="1:20" s="121" customFormat="1" ht="9.15" customHeight="1">
      <c r="A62" s="129" t="s">
        <v>363</v>
      </c>
      <c r="B62" s="130" t="s">
        <v>235</v>
      </c>
      <c r="C62" s="131">
        <v>88315</v>
      </c>
      <c r="D62" s="132" t="s">
        <v>364</v>
      </c>
      <c r="E62" s="133" t="s">
        <v>236</v>
      </c>
      <c r="F62" s="134">
        <v>16</v>
      </c>
      <c r="G62" s="174">
        <v>29.32</v>
      </c>
      <c r="H62" s="135" t="s">
        <v>237</v>
      </c>
      <c r="I62" s="136">
        <f>G62*(1+IF(H62="BDI 1",'Planilha BDI'!C$17,'Planilha BDI'!C$31))</f>
        <v>36.913879999999999</v>
      </c>
      <c r="J62" s="143">
        <f t="shared" si="19"/>
        <v>590.62207999999998</v>
      </c>
      <c r="L62" s="137"/>
      <c r="O62" s="137"/>
      <c r="P62" s="190">
        <f t="shared" si="18"/>
        <v>0</v>
      </c>
      <c r="Q62" s="190">
        <f t="shared" si="18"/>
        <v>0</v>
      </c>
      <c r="R62" s="190" t="e">
        <f>R$6*#REF!</f>
        <v>#REF!</v>
      </c>
      <c r="T62" s="187" t="e">
        <f t="shared" si="17"/>
        <v>#REF!</v>
      </c>
    </row>
    <row r="63" spans="1:20" s="121" customFormat="1" ht="18" customHeight="1">
      <c r="A63" s="129" t="s">
        <v>365</v>
      </c>
      <c r="B63" s="130" t="s">
        <v>235</v>
      </c>
      <c r="C63" s="131">
        <v>97622</v>
      </c>
      <c r="D63" s="144" t="s">
        <v>366</v>
      </c>
      <c r="E63" s="133" t="s">
        <v>252</v>
      </c>
      <c r="F63" s="134">
        <v>0.31</v>
      </c>
      <c r="G63" s="174">
        <v>58.55</v>
      </c>
      <c r="H63" s="135" t="s">
        <v>237</v>
      </c>
      <c r="I63" s="136">
        <f>G63*(1+IF(H63="BDI 1",'Planilha BDI'!C$17,'Planilha BDI'!C$31))</f>
        <v>73.714449999999985</v>
      </c>
      <c r="J63" s="143">
        <f t="shared" si="19"/>
        <v>22.851479499999996</v>
      </c>
      <c r="L63" s="137"/>
      <c r="O63" s="137"/>
      <c r="P63" s="190">
        <f t="shared" si="18"/>
        <v>0</v>
      </c>
      <c r="Q63" s="190">
        <f t="shared" si="18"/>
        <v>0</v>
      </c>
      <c r="R63" s="190" t="e">
        <f>R$6*#REF!</f>
        <v>#REF!</v>
      </c>
      <c r="T63" s="187" t="e">
        <f t="shared" si="17"/>
        <v>#REF!</v>
      </c>
    </row>
    <row r="64" spans="1:20" s="121" customFormat="1" ht="18" customHeight="1">
      <c r="A64" s="129" t="s">
        <v>367</v>
      </c>
      <c r="B64" s="130" t="s">
        <v>235</v>
      </c>
      <c r="C64" s="131">
        <v>93202</v>
      </c>
      <c r="D64" s="144" t="s">
        <v>368</v>
      </c>
      <c r="E64" s="133" t="s">
        <v>337</v>
      </c>
      <c r="F64" s="134">
        <v>5.4</v>
      </c>
      <c r="G64" s="174">
        <v>28.6</v>
      </c>
      <c r="H64" s="135" t="s">
        <v>237</v>
      </c>
      <c r="I64" s="136">
        <f>G64*(1+IF(H64="BDI 1",'Planilha BDI'!C$17,'Planilha BDI'!C$31))</f>
        <v>36.007399999999997</v>
      </c>
      <c r="J64" s="143">
        <f t="shared" si="19"/>
        <v>194.43995999999999</v>
      </c>
      <c r="L64" s="137"/>
      <c r="O64" s="137"/>
      <c r="P64" s="190">
        <f t="shared" si="18"/>
        <v>0</v>
      </c>
      <c r="Q64" s="190">
        <f t="shared" si="18"/>
        <v>0</v>
      </c>
      <c r="R64" s="190" t="e">
        <f>R$6*#REF!</f>
        <v>#REF!</v>
      </c>
      <c r="T64" s="187" t="e">
        <f t="shared" si="17"/>
        <v>#REF!</v>
      </c>
    </row>
    <row r="65" spans="1:22" s="121" customFormat="1" ht="18" customHeight="1">
      <c r="A65" s="129" t="s">
        <v>369</v>
      </c>
      <c r="B65" s="130" t="s">
        <v>235</v>
      </c>
      <c r="C65" s="131">
        <v>93203</v>
      </c>
      <c r="D65" s="144" t="s">
        <v>370</v>
      </c>
      <c r="E65" s="133" t="s">
        <v>337</v>
      </c>
      <c r="F65" s="134">
        <v>5.4</v>
      </c>
      <c r="G65" s="174">
        <v>14.08</v>
      </c>
      <c r="H65" s="135" t="s">
        <v>237</v>
      </c>
      <c r="I65" s="136">
        <f>G65*(1+IF(H65="BDI 1",'Planilha BDI'!C$17,'Planilha BDI'!C$31))</f>
        <v>17.72672</v>
      </c>
      <c r="J65" s="143">
        <f t="shared" si="19"/>
        <v>95.724288000000001</v>
      </c>
      <c r="L65" s="137"/>
      <c r="O65" s="137"/>
      <c r="P65" s="190">
        <f t="shared" si="18"/>
        <v>0</v>
      </c>
      <c r="Q65" s="190">
        <f t="shared" si="18"/>
        <v>0</v>
      </c>
      <c r="R65" s="190" t="e">
        <f>R$6*#REF!</f>
        <v>#REF!</v>
      </c>
      <c r="T65" s="187" t="e">
        <f t="shared" si="17"/>
        <v>#REF!</v>
      </c>
    </row>
    <row r="66" spans="1:22" s="121" customFormat="1" ht="18" customHeight="1">
      <c r="A66" s="579" t="s">
        <v>429</v>
      </c>
      <c r="B66" s="580"/>
      <c r="C66" s="580"/>
      <c r="D66" s="580"/>
      <c r="E66" s="580"/>
      <c r="F66" s="580"/>
      <c r="G66" s="580"/>
      <c r="H66" s="580"/>
      <c r="I66" s="581"/>
      <c r="J66" s="180">
        <f>SUM(J60:J65)</f>
        <v>2577.2123541000001</v>
      </c>
      <c r="L66" s="137"/>
      <c r="O66" s="137"/>
      <c r="P66" s="190"/>
      <c r="Q66" s="190"/>
      <c r="R66" s="190"/>
      <c r="T66" s="187"/>
    </row>
    <row r="67" spans="1:22" s="121" customFormat="1" ht="9.15" customHeight="1">
      <c r="A67" s="139" t="s">
        <v>371</v>
      </c>
      <c r="B67" s="124"/>
      <c r="C67" s="124"/>
      <c r="D67" s="125" t="s">
        <v>372</v>
      </c>
      <c r="E67" s="124"/>
      <c r="F67" s="124"/>
      <c r="G67" s="124"/>
      <c r="H67" s="124"/>
      <c r="I67" s="126" t="s">
        <v>233</v>
      </c>
      <c r="J67" s="145"/>
      <c r="L67" s="140">
        <f>J71/F6</f>
        <v>1.3495391532726813E-3</v>
      </c>
      <c r="O67" s="188" t="e">
        <f>#REF!/#REF!</f>
        <v>#REF!</v>
      </c>
      <c r="P67" s="190">
        <f>P$6*$L67</f>
        <v>666.33529672265001</v>
      </c>
      <c r="Q67" s="190">
        <f t="shared" ref="Q67:R67" si="20">Q$6*$L67</f>
        <v>607.31702758435824</v>
      </c>
      <c r="R67" s="190">
        <f t="shared" si="20"/>
        <v>970.94571808157582</v>
      </c>
      <c r="T67" s="187">
        <f>MEDIAN(J67,P67,Q67,R67)</f>
        <v>666.33529672265001</v>
      </c>
    </row>
    <row r="68" spans="1:22" s="121" customFormat="1" ht="12" customHeight="1">
      <c r="A68" s="129" t="s">
        <v>373</v>
      </c>
      <c r="B68" s="130" t="s">
        <v>374</v>
      </c>
      <c r="C68" s="270" t="s">
        <v>445</v>
      </c>
      <c r="D68" s="132" t="s">
        <v>375</v>
      </c>
      <c r="E68" s="133" t="s">
        <v>340</v>
      </c>
      <c r="F68" s="134">
        <v>1</v>
      </c>
      <c r="G68" s="174">
        <v>283.83</v>
      </c>
      <c r="H68" s="135" t="s">
        <v>246</v>
      </c>
      <c r="I68" s="136">
        <f>G68*(1+IF(H68="BDI 1",'Planilha BDI'!C$17,'Planilha BDI'!C$31))</f>
        <v>340.45408499999996</v>
      </c>
      <c r="J68" s="143">
        <f>F68*I68</f>
        <v>340.45408499999996</v>
      </c>
      <c r="L68" s="137"/>
      <c r="O68" s="137"/>
      <c r="P68" s="190">
        <f t="shared" ref="P68:Q70" si="21">P$6*L68</f>
        <v>0</v>
      </c>
      <c r="Q68" s="190">
        <f t="shared" si="21"/>
        <v>0</v>
      </c>
      <c r="R68" s="190" t="e">
        <f>R$6*#REF!</f>
        <v>#REF!</v>
      </c>
      <c r="T68" s="187" t="e">
        <f>MEDIAN(J68,P68,Q68,R68)</f>
        <v>#REF!</v>
      </c>
    </row>
    <row r="69" spans="1:22" s="121" customFormat="1" ht="18" customHeight="1">
      <c r="A69" s="129" t="s">
        <v>376</v>
      </c>
      <c r="B69" s="130" t="s">
        <v>235</v>
      </c>
      <c r="C69" s="131">
        <v>98746</v>
      </c>
      <c r="D69" s="144" t="s">
        <v>377</v>
      </c>
      <c r="E69" s="133" t="s">
        <v>337</v>
      </c>
      <c r="F69" s="134">
        <v>0.32</v>
      </c>
      <c r="G69" s="174">
        <v>71.77</v>
      </c>
      <c r="H69" s="135" t="s">
        <v>237</v>
      </c>
      <c r="I69" s="136">
        <f>G69*(1+IF(H69="BDI 1",'Planilha BDI'!C$17,'Planilha BDI'!C$31))</f>
        <v>90.358429999999984</v>
      </c>
      <c r="J69" s="143">
        <f>F69*I69</f>
        <v>28.914697599999997</v>
      </c>
      <c r="L69" s="137"/>
      <c r="O69" s="137"/>
      <c r="P69" s="190">
        <f t="shared" si="21"/>
        <v>0</v>
      </c>
      <c r="Q69" s="190">
        <f t="shared" si="21"/>
        <v>0</v>
      </c>
      <c r="R69" s="190" t="e">
        <f>R$6*#REF!</f>
        <v>#REF!</v>
      </c>
      <c r="T69" s="187" t="e">
        <f>MEDIAN(J69,P69,Q69,R69)</f>
        <v>#REF!</v>
      </c>
    </row>
    <row r="70" spans="1:22" s="121" customFormat="1" ht="30.75" customHeight="1">
      <c r="A70" s="129" t="s">
        <v>378</v>
      </c>
      <c r="B70" s="130" t="s">
        <v>235</v>
      </c>
      <c r="C70" s="131">
        <v>92336</v>
      </c>
      <c r="D70" s="144" t="s">
        <v>379</v>
      </c>
      <c r="E70" s="133" t="s">
        <v>337</v>
      </c>
      <c r="F70" s="134">
        <v>5.7</v>
      </c>
      <c r="G70" s="174">
        <v>109.68</v>
      </c>
      <c r="H70" s="142" t="s">
        <v>247</v>
      </c>
      <c r="I70" s="136">
        <f>G70*(1+IF(H70="BDI 1",'Planilha BDI'!C$17,'Planilha BDI'!C$31))</f>
        <v>131.56116</v>
      </c>
      <c r="J70" s="143">
        <f>F70*I70</f>
        <v>749.89861200000007</v>
      </c>
      <c r="L70" s="137"/>
      <c r="O70" s="137"/>
      <c r="P70" s="190">
        <f t="shared" si="21"/>
        <v>0</v>
      </c>
      <c r="Q70" s="190">
        <f t="shared" si="21"/>
        <v>0</v>
      </c>
      <c r="R70" s="190" t="e">
        <f>R$6*#REF!</f>
        <v>#REF!</v>
      </c>
      <c r="T70" s="187" t="e">
        <f>MEDIAN(J70,P70,Q70,R70)</f>
        <v>#REF!</v>
      </c>
      <c r="V70" s="121" t="s">
        <v>434</v>
      </c>
    </row>
    <row r="71" spans="1:22" s="121" customFormat="1" ht="15.15" customHeight="1">
      <c r="A71" s="579" t="s">
        <v>431</v>
      </c>
      <c r="B71" s="580"/>
      <c r="C71" s="580"/>
      <c r="D71" s="580"/>
      <c r="E71" s="580"/>
      <c r="F71" s="580"/>
      <c r="G71" s="580"/>
      <c r="H71" s="580"/>
      <c r="I71" s="581"/>
      <c r="J71" s="180">
        <f>SUM(J68:J70)</f>
        <v>1119.2673946</v>
      </c>
      <c r="L71" s="137"/>
      <c r="O71" s="137"/>
      <c r="P71" s="190"/>
      <c r="Q71" s="190"/>
      <c r="R71" s="190"/>
      <c r="T71" s="187"/>
    </row>
    <row r="72" spans="1:22" s="121" customFormat="1" ht="9.15" customHeight="1">
      <c r="A72" s="139" t="s">
        <v>380</v>
      </c>
      <c r="B72" s="124"/>
      <c r="C72" s="124"/>
      <c r="D72" s="125" t="s">
        <v>381</v>
      </c>
      <c r="E72" s="124"/>
      <c r="F72" s="124"/>
      <c r="G72" s="124"/>
      <c r="H72" s="124"/>
      <c r="I72" s="126" t="s">
        <v>233</v>
      </c>
      <c r="J72" s="145"/>
      <c r="L72" s="140">
        <f>J74/F6</f>
        <v>7.6049136534372502E-5</v>
      </c>
      <c r="O72" s="188" t="e">
        <f>#REF!/#REF!</f>
        <v>#REF!</v>
      </c>
      <c r="P72" s="190">
        <f>P$6*$L72</f>
        <v>37.549280311909143</v>
      </c>
      <c r="Q72" s="190">
        <f t="shared" ref="Q72:R72" si="22">Q$6*$L72</f>
        <v>34.223486912854334</v>
      </c>
      <c r="R72" s="190">
        <f t="shared" si="22"/>
        <v>54.714665597353324</v>
      </c>
      <c r="T72" s="187">
        <f>MEDIAN(J72,P72,Q72,R72)</f>
        <v>37.549280311909143</v>
      </c>
    </row>
    <row r="73" spans="1:22" ht="9.9" customHeight="1">
      <c r="A73" s="146" t="s">
        <v>382</v>
      </c>
      <c r="B73" s="147" t="s">
        <v>235</v>
      </c>
      <c r="C73" s="148">
        <v>99814</v>
      </c>
      <c r="D73" s="149" t="s">
        <v>383</v>
      </c>
      <c r="E73" s="150" t="s">
        <v>255</v>
      </c>
      <c r="F73" s="151">
        <v>25.56</v>
      </c>
      <c r="G73" s="151">
        <v>1.96</v>
      </c>
      <c r="H73" s="152" t="s">
        <v>237</v>
      </c>
      <c r="I73" s="151">
        <f>G73*1.259</f>
        <v>2.4676399999999998</v>
      </c>
      <c r="J73" s="153">
        <f>F73*I73</f>
        <v>63.072878399999993</v>
      </c>
      <c r="L73" s="154"/>
      <c r="M73" s="155"/>
      <c r="N73" s="155"/>
      <c r="O73" s="154"/>
    </row>
    <row r="74" spans="1:22" ht="9.9" customHeight="1">
      <c r="A74" s="579" t="s">
        <v>432</v>
      </c>
      <c r="B74" s="580"/>
      <c r="C74" s="580"/>
      <c r="D74" s="580"/>
      <c r="E74" s="580"/>
      <c r="F74" s="580"/>
      <c r="G74" s="580"/>
      <c r="H74" s="580"/>
      <c r="I74" s="581"/>
      <c r="J74" s="180">
        <f>J73</f>
        <v>63.072878399999993</v>
      </c>
      <c r="L74" s="155"/>
      <c r="M74" s="155"/>
      <c r="N74" s="155"/>
      <c r="O74" s="155"/>
    </row>
    <row r="76" spans="1:22" ht="21.9" customHeight="1">
      <c r="A76" s="583" t="s">
        <v>436</v>
      </c>
      <c r="B76" s="584"/>
      <c r="C76" s="584"/>
      <c r="D76" s="584"/>
      <c r="E76" s="584"/>
      <c r="F76" s="584"/>
      <c r="G76" s="584"/>
      <c r="H76" s="584"/>
      <c r="I76" s="584"/>
      <c r="J76" s="584"/>
    </row>
    <row r="77" spans="1:22" ht="9.75" customHeight="1">
      <c r="A77" s="610" t="s">
        <v>384</v>
      </c>
      <c r="B77" s="610"/>
      <c r="C77" s="610"/>
      <c r="D77" s="610"/>
      <c r="E77" s="610"/>
      <c r="F77" s="610"/>
      <c r="G77" s="610"/>
      <c r="H77" s="610"/>
      <c r="I77" s="610"/>
      <c r="J77" s="610"/>
    </row>
    <row r="78" spans="1:22" ht="25.35" customHeight="1">
      <c r="A78" s="583" t="s">
        <v>435</v>
      </c>
      <c r="B78" s="584"/>
      <c r="C78" s="584"/>
      <c r="D78" s="584"/>
      <c r="E78" s="584"/>
      <c r="F78" s="584"/>
      <c r="G78" s="584"/>
      <c r="H78" s="584"/>
      <c r="I78" s="584"/>
      <c r="J78" s="584"/>
    </row>
    <row r="79" spans="1:22" ht="15.15" customHeight="1">
      <c r="A79" s="585" t="s">
        <v>385</v>
      </c>
      <c r="B79" s="585"/>
      <c r="C79" s="585"/>
      <c r="D79" s="585"/>
      <c r="E79" s="585"/>
      <c r="F79" s="585"/>
      <c r="G79" s="585"/>
      <c r="H79" s="585"/>
      <c r="I79" s="585"/>
      <c r="J79" s="585"/>
    </row>
    <row r="80" spans="1:22" ht="15.6" customHeight="1">
      <c r="A80" s="586" t="s">
        <v>386</v>
      </c>
      <c r="B80" s="586"/>
      <c r="C80" s="586"/>
      <c r="D80" s="586"/>
      <c r="E80" s="586"/>
      <c r="F80" s="586"/>
      <c r="G80" s="586"/>
      <c r="H80" s="586"/>
      <c r="I80" s="586"/>
      <c r="J80" s="586"/>
    </row>
    <row r="81" spans="1:23">
      <c r="A81" s="582"/>
      <c r="B81" s="582"/>
      <c r="C81" s="582"/>
      <c r="D81" s="582"/>
      <c r="E81" s="582"/>
      <c r="F81" s="582"/>
      <c r="G81" s="582"/>
      <c r="H81" s="582"/>
      <c r="I81" s="582"/>
      <c r="J81" s="582"/>
    </row>
    <row r="82" spans="1:23" ht="186" customHeight="1">
      <c r="A82" s="720" t="s">
        <v>496</v>
      </c>
      <c r="B82" s="721"/>
      <c r="C82" s="721"/>
      <c r="D82" s="721"/>
      <c r="E82" s="721"/>
      <c r="F82" s="721"/>
      <c r="G82" s="721"/>
      <c r="H82" s="721"/>
      <c r="I82" s="721"/>
      <c r="J82" s="721"/>
      <c r="K82" s="721"/>
      <c r="L82" s="721"/>
      <c r="M82" s="721"/>
      <c r="N82" s="722"/>
    </row>
    <row r="83" spans="1:23">
      <c r="U83" s="113">
        <v>1</v>
      </c>
      <c r="V83" s="113" t="s">
        <v>387</v>
      </c>
      <c r="W83" s="191">
        <f>J11+J21+J48+J57+J62+J63+J69+J73</f>
        <v>27618.222835500001</v>
      </c>
    </row>
    <row r="84" spans="1:23">
      <c r="U84" s="113">
        <v>2</v>
      </c>
      <c r="V84" s="113" t="s">
        <v>388</v>
      </c>
      <c r="W84" s="191">
        <f>J14+J15+J16+J17+J18+J64+J65</f>
        <v>3475.1887429999997</v>
      </c>
    </row>
    <row r="85" spans="1:23">
      <c r="U85" s="113">
        <v>3</v>
      </c>
      <c r="V85" s="113" t="s">
        <v>389</v>
      </c>
      <c r="W85" s="191">
        <f>J13+J46+J49+J50+J51+J52+J53+J54+J55+J56+J60+J61+J68+J70</f>
        <v>798276.66774505004</v>
      </c>
    </row>
    <row r="86" spans="1:23">
      <c r="W86" s="191">
        <f>SUM(W83:W85)</f>
        <v>829370.07932354999</v>
      </c>
    </row>
  </sheetData>
  <mergeCells count="25">
    <mergeCell ref="A6:B6"/>
    <mergeCell ref="C6:E6"/>
    <mergeCell ref="F6:J6"/>
    <mergeCell ref="A77:J77"/>
    <mergeCell ref="A76:J76"/>
    <mergeCell ref="S1:S2"/>
    <mergeCell ref="A2:B2"/>
    <mergeCell ref="E2:G2"/>
    <mergeCell ref="A5:J5"/>
    <mergeCell ref="A1:B1"/>
    <mergeCell ref="E1:J1"/>
    <mergeCell ref="P1:R2"/>
    <mergeCell ref="A11:I11"/>
    <mergeCell ref="A19:I19"/>
    <mergeCell ref="A22:I22"/>
    <mergeCell ref="A46:I46"/>
    <mergeCell ref="A58:I58"/>
    <mergeCell ref="A66:I66"/>
    <mergeCell ref="A71:I71"/>
    <mergeCell ref="A74:I74"/>
    <mergeCell ref="A81:J81"/>
    <mergeCell ref="A78:J78"/>
    <mergeCell ref="A79:J79"/>
    <mergeCell ref="A80:J80"/>
    <mergeCell ref="A82:N8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J39"/>
  <sheetViews>
    <sheetView topLeftCell="A4" workbookViewId="0">
      <selection activeCell="J27" sqref="J27"/>
    </sheetView>
  </sheetViews>
  <sheetFormatPr defaultColWidth="9.33203125" defaultRowHeight="13.2"/>
  <cols>
    <col min="1" max="1" width="113.109375" style="113" customWidth="1"/>
    <col min="2" max="3" width="13.33203125" style="113" customWidth="1"/>
    <col min="4" max="16384" width="9.33203125" style="113"/>
  </cols>
  <sheetData>
    <row r="1" spans="1:3" ht="43.5" customHeight="1">
      <c r="A1" s="621" t="s">
        <v>390</v>
      </c>
      <c r="B1" s="622"/>
      <c r="C1" s="623"/>
    </row>
    <row r="2" spans="1:3">
      <c r="A2" s="156" t="s">
        <v>391</v>
      </c>
      <c r="B2" s="624">
        <v>0.5</v>
      </c>
      <c r="C2" s="625"/>
    </row>
    <row r="3" spans="1:3">
      <c r="A3" s="156" t="s">
        <v>392</v>
      </c>
      <c r="B3" s="624">
        <v>0.01</v>
      </c>
      <c r="C3" s="625"/>
    </row>
    <row r="4" spans="1:3" ht="12.75" customHeight="1">
      <c r="A4" s="157"/>
      <c r="B4" s="158"/>
      <c r="C4" s="159"/>
    </row>
    <row r="5" spans="1:3" ht="15.6">
      <c r="A5" s="614" t="s">
        <v>393</v>
      </c>
      <c r="B5" s="615"/>
      <c r="C5" s="616"/>
    </row>
    <row r="6" spans="1:3" ht="14.25" customHeight="1">
      <c r="A6" s="617" t="s">
        <v>394</v>
      </c>
      <c r="B6" s="618"/>
      <c r="C6" s="619"/>
    </row>
    <row r="7" spans="1:3" ht="12.75" customHeight="1">
      <c r="A7" s="611" t="s">
        <v>395</v>
      </c>
      <c r="B7" s="612"/>
      <c r="C7" s="613"/>
    </row>
    <row r="8" spans="1:3" ht="27.6">
      <c r="A8" s="160" t="s">
        <v>396</v>
      </c>
      <c r="B8" s="160" t="s">
        <v>397</v>
      </c>
      <c r="C8" s="161" t="s">
        <v>398</v>
      </c>
    </row>
    <row r="9" spans="1:3" ht="13.8">
      <c r="A9" s="162" t="s">
        <v>399</v>
      </c>
      <c r="B9" s="163" t="s">
        <v>400</v>
      </c>
      <c r="C9" s="164">
        <v>0.04</v>
      </c>
    </row>
    <row r="10" spans="1:3" ht="13.8">
      <c r="A10" s="162" t="s">
        <v>401</v>
      </c>
      <c r="B10" s="163" t="s">
        <v>402</v>
      </c>
      <c r="C10" s="164">
        <v>8.0000000000000002E-3</v>
      </c>
    </row>
    <row r="11" spans="1:3" ht="13.8">
      <c r="A11" s="162" t="s">
        <v>403</v>
      </c>
      <c r="B11" s="163" t="s">
        <v>404</v>
      </c>
      <c r="C11" s="164">
        <v>1.2699999999999999E-2</v>
      </c>
    </row>
    <row r="12" spans="1:3" ht="13.8">
      <c r="A12" s="162" t="s">
        <v>405</v>
      </c>
      <c r="B12" s="163" t="s">
        <v>406</v>
      </c>
      <c r="C12" s="164">
        <v>1.23E-2</v>
      </c>
    </row>
    <row r="13" spans="1:3" ht="13.8">
      <c r="A13" s="162" t="s">
        <v>407</v>
      </c>
      <c r="B13" s="163" t="s">
        <v>408</v>
      </c>
      <c r="C13" s="164">
        <v>7.3999999999999996E-2</v>
      </c>
    </row>
    <row r="14" spans="1:3" ht="13.8">
      <c r="A14" s="165" t="s">
        <v>409</v>
      </c>
      <c r="B14" s="163" t="s">
        <v>410</v>
      </c>
      <c r="C14" s="164">
        <v>7.3999999999999996E-2</v>
      </c>
    </row>
    <row r="15" spans="1:3" ht="13.8">
      <c r="A15" s="162" t="s">
        <v>411</v>
      </c>
      <c r="B15" s="163" t="s">
        <v>412</v>
      </c>
      <c r="C15" s="166">
        <v>0.01</v>
      </c>
    </row>
    <row r="16" spans="1:3" ht="13.8">
      <c r="A16" s="162" t="s">
        <v>413</v>
      </c>
      <c r="B16" s="163" t="s">
        <v>414</v>
      </c>
      <c r="C16" s="166">
        <v>0</v>
      </c>
    </row>
    <row r="17" spans="1:3" ht="13.8">
      <c r="A17" s="162" t="s">
        <v>415</v>
      </c>
      <c r="B17" s="163" t="s">
        <v>416</v>
      </c>
      <c r="C17" s="167">
        <v>0.25900000000000001</v>
      </c>
    </row>
    <row r="19" spans="1:3" ht="15.6">
      <c r="A19" s="614" t="s">
        <v>247</v>
      </c>
      <c r="B19" s="615"/>
      <c r="C19" s="616"/>
    </row>
    <row r="20" spans="1:3">
      <c r="A20" s="617" t="s">
        <v>394</v>
      </c>
      <c r="B20" s="618"/>
      <c r="C20" s="619"/>
    </row>
    <row r="21" spans="1:3">
      <c r="A21" s="611" t="s">
        <v>417</v>
      </c>
      <c r="B21" s="612"/>
      <c r="C21" s="613"/>
    </row>
    <row r="22" spans="1:3" ht="27.6">
      <c r="A22" s="160" t="s">
        <v>396</v>
      </c>
      <c r="B22" s="160" t="s">
        <v>397</v>
      </c>
      <c r="C22" s="161" t="s">
        <v>398</v>
      </c>
    </row>
    <row r="23" spans="1:3" ht="13.8">
      <c r="A23" s="162" t="s">
        <v>399</v>
      </c>
      <c r="B23" s="163" t="s">
        <v>400</v>
      </c>
      <c r="C23" s="164">
        <v>3.4500000000000003E-2</v>
      </c>
    </row>
    <row r="24" spans="1:3" ht="13.8">
      <c r="A24" s="162" t="s">
        <v>401</v>
      </c>
      <c r="B24" s="163" t="s">
        <v>402</v>
      </c>
      <c r="C24" s="164">
        <v>4.7999999999999996E-3</v>
      </c>
    </row>
    <row r="25" spans="1:3" ht="13.8">
      <c r="A25" s="162" t="s">
        <v>403</v>
      </c>
      <c r="B25" s="163" t="s">
        <v>404</v>
      </c>
      <c r="C25" s="164">
        <v>8.5000000000000006E-3</v>
      </c>
    </row>
    <row r="26" spans="1:3" ht="13.8">
      <c r="A26" s="162" t="s">
        <v>405</v>
      </c>
      <c r="B26" s="163" t="s">
        <v>406</v>
      </c>
      <c r="C26" s="164">
        <v>8.5000000000000006E-3</v>
      </c>
    </row>
    <row r="27" spans="1:3" ht="13.8">
      <c r="A27" s="162" t="s">
        <v>407</v>
      </c>
      <c r="B27" s="163" t="s">
        <v>408</v>
      </c>
      <c r="C27" s="164">
        <v>5.11E-2</v>
      </c>
    </row>
    <row r="28" spans="1:3" ht="13.8">
      <c r="A28" s="165" t="s">
        <v>409</v>
      </c>
      <c r="B28" s="163" t="s">
        <v>410</v>
      </c>
      <c r="C28" s="164">
        <v>7.3999999999999996E-2</v>
      </c>
    </row>
    <row r="29" spans="1:3" ht="13.8">
      <c r="A29" s="162" t="s">
        <v>411</v>
      </c>
      <c r="B29" s="163" t="s">
        <v>412</v>
      </c>
      <c r="C29" s="166">
        <v>0</v>
      </c>
    </row>
    <row r="30" spans="1:3" ht="13.8">
      <c r="A30" s="162" t="s">
        <v>413</v>
      </c>
      <c r="B30" s="163" t="s">
        <v>414</v>
      </c>
      <c r="C30" s="166">
        <v>0</v>
      </c>
    </row>
    <row r="31" spans="1:3" ht="13.8">
      <c r="A31" s="162" t="s">
        <v>415</v>
      </c>
      <c r="B31" s="163" t="s">
        <v>416</v>
      </c>
      <c r="C31" s="167">
        <v>0.19950000000000001</v>
      </c>
    </row>
    <row r="33" spans="1:10" ht="14.4">
      <c r="A33" s="168"/>
      <c r="B33" s="168"/>
      <c r="C33" s="168"/>
      <c r="D33" s="168"/>
      <c r="E33" s="168"/>
      <c r="F33" s="168"/>
      <c r="G33" s="168"/>
      <c r="H33" s="168"/>
      <c r="I33" s="168"/>
      <c r="J33" s="168"/>
    </row>
    <row r="34" spans="1:10" ht="50.25" customHeight="1">
      <c r="A34" s="620" t="s">
        <v>418</v>
      </c>
      <c r="B34" s="620"/>
      <c r="C34" s="620"/>
    </row>
    <row r="35" spans="1:10" ht="14.4">
      <c r="A35" s="168"/>
      <c r="B35" s="168"/>
      <c r="C35" s="168"/>
      <c r="D35" s="168"/>
      <c r="E35" s="168"/>
      <c r="F35" s="168"/>
      <c r="G35" s="168"/>
      <c r="H35" s="168"/>
      <c r="I35" s="168"/>
      <c r="J35" s="168"/>
    </row>
    <row r="36" spans="1:10" ht="14.4">
      <c r="A36" s="626"/>
      <c r="B36" s="626"/>
      <c r="C36" s="626"/>
      <c r="D36" s="626"/>
      <c r="E36" s="626"/>
      <c r="F36" s="626"/>
      <c r="G36" s="626"/>
      <c r="H36" s="626"/>
      <c r="I36" s="626"/>
      <c r="J36" s="626"/>
    </row>
    <row r="37" spans="1:10" ht="15.6">
      <c r="A37" s="169"/>
      <c r="B37" s="169"/>
      <c r="C37" s="169"/>
      <c r="D37" s="627"/>
      <c r="E37" s="628"/>
      <c r="F37" s="628"/>
      <c r="G37" s="628"/>
      <c r="H37" s="629"/>
      <c r="I37" s="169"/>
      <c r="J37" s="169"/>
    </row>
    <row r="38" spans="1:10" ht="15.6">
      <c r="A38" s="169"/>
      <c r="B38" s="169"/>
      <c r="C38" s="169"/>
      <c r="D38" s="627"/>
      <c r="E38" s="630"/>
      <c r="F38" s="630"/>
      <c r="G38" s="630"/>
      <c r="H38" s="629"/>
      <c r="I38" s="169"/>
      <c r="J38" s="169"/>
    </row>
    <row r="39" spans="1:10" ht="15.6">
      <c r="A39" s="169"/>
      <c r="B39" s="169"/>
      <c r="C39" s="169"/>
      <c r="D39" s="170"/>
      <c r="E39" s="172"/>
      <c r="F39" s="172"/>
      <c r="G39" s="172"/>
      <c r="H39" s="171"/>
      <c r="I39" s="169"/>
      <c r="J39" s="169"/>
    </row>
  </sheetData>
  <mergeCells count="15">
    <mergeCell ref="A36:J36"/>
    <mergeCell ref="D37:D38"/>
    <mergeCell ref="E37:G37"/>
    <mergeCell ref="H37:H38"/>
    <mergeCell ref="E38:G38"/>
    <mergeCell ref="A1:C1"/>
    <mergeCell ref="B2:C2"/>
    <mergeCell ref="B3:C3"/>
    <mergeCell ref="A5:C5"/>
    <mergeCell ref="A6:C6"/>
    <mergeCell ref="A7:C7"/>
    <mergeCell ref="A19:C19"/>
    <mergeCell ref="A20:C20"/>
    <mergeCell ref="A21:C21"/>
    <mergeCell ref="A34:C34"/>
  </mergeCells>
  <dataValidations count="1">
    <dataValidation type="decimal" allowBlank="1" showErrorMessage="1" errorTitle="Erro de valores" error="Digite um valor entre 0% e 100%" sqref="C9:C14 C23:C28" xr:uid="{00000000-0002-0000-0100-000000000000}">
      <formula1>0</formula1>
      <formula2>1</formula2>
    </dataValidation>
  </dataValidations>
  <pageMargins left="0.51181102362204722" right="0.51181102362204722" top="0.78740157480314965" bottom="0.78740157480314965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3:AE45"/>
  <sheetViews>
    <sheetView showGridLines="0" topLeftCell="A21" zoomScaleNormal="100" workbookViewId="0">
      <selection activeCell="X23" sqref="X23"/>
    </sheetView>
  </sheetViews>
  <sheetFormatPr defaultColWidth="9.109375" defaultRowHeight="14.4"/>
  <cols>
    <col min="1" max="1" width="4.33203125" style="20" customWidth="1"/>
    <col min="2" max="2" width="48.6640625" customWidth="1"/>
    <col min="3" max="3" width="5.33203125" customWidth="1"/>
    <col min="4" max="4" width="5.33203125" style="20" customWidth="1"/>
    <col min="5" max="5" width="17.6640625" style="90" customWidth="1"/>
    <col min="6" max="6" width="11.6640625" style="89" customWidth="1"/>
    <col min="7" max="7" width="17.6640625" style="90" customWidth="1"/>
    <col min="8" max="8" width="6" style="90" customWidth="1"/>
    <col min="9" max="9" width="13.33203125" style="13" customWidth="1"/>
    <col min="10" max="10" width="13.6640625" style="13" customWidth="1"/>
    <col min="11" max="11" width="14.33203125" customWidth="1"/>
    <col min="12" max="12" width="14" customWidth="1"/>
    <col min="13" max="13" width="11.6640625" customWidth="1"/>
    <col min="14" max="14" width="8.77734375" customWidth="1"/>
    <col min="15" max="15" width="19.77734375" customWidth="1"/>
    <col min="16" max="16" width="17" customWidth="1"/>
    <col min="17" max="17" width="13.6640625" customWidth="1"/>
    <col min="18" max="18" width="7.88671875" customWidth="1"/>
    <col min="19" max="19" width="12" bestFit="1" customWidth="1"/>
    <col min="20" max="20" width="18.77734375" customWidth="1"/>
    <col min="23" max="23" width="11.6640625" bestFit="1" customWidth="1"/>
    <col min="24" max="24" width="16" customWidth="1"/>
    <col min="25" max="26" width="12.77734375" customWidth="1"/>
  </cols>
  <sheetData>
    <row r="3" spans="1:31">
      <c r="E3" s="88"/>
    </row>
    <row r="6" spans="1:31">
      <c r="A6" s="23" t="s">
        <v>0</v>
      </c>
    </row>
    <row r="7" spans="1:31">
      <c r="A7" s="23" t="s">
        <v>446</v>
      </c>
    </row>
    <row r="8" spans="1:31">
      <c r="A8" s="23" t="s">
        <v>63</v>
      </c>
    </row>
    <row r="9" spans="1:31">
      <c r="A9" s="26"/>
    </row>
    <row r="10" spans="1:31" ht="20.399999999999999" thickBot="1">
      <c r="A10" s="633" t="s">
        <v>1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</row>
    <row r="11" spans="1:31" ht="15" thickTop="1">
      <c r="A11" s="26"/>
      <c r="T11" s="105"/>
      <c r="U11" s="105"/>
      <c r="V11" s="105"/>
      <c r="W11" s="105"/>
      <c r="X11" s="105"/>
      <c r="Y11" s="105"/>
      <c r="Z11" s="105"/>
      <c r="AA11" s="101"/>
      <c r="AB11" s="101"/>
      <c r="AC11" s="101"/>
      <c r="AD11" s="101"/>
      <c r="AE11" s="101"/>
    </row>
    <row r="12" spans="1:31" ht="18" thickBot="1">
      <c r="A12" s="37" t="s">
        <v>2</v>
      </c>
      <c r="B12" s="38"/>
      <c r="C12" s="38"/>
      <c r="D12" s="39"/>
      <c r="E12" s="91"/>
      <c r="F12" s="92"/>
      <c r="T12" s="105"/>
      <c r="U12" s="105"/>
      <c r="V12" s="105"/>
      <c r="W12" s="105"/>
      <c r="X12" s="105"/>
      <c r="Y12" s="105"/>
      <c r="Z12" s="105"/>
      <c r="AA12" s="101"/>
      <c r="AB12" s="101"/>
      <c r="AC12" s="101"/>
      <c r="AD12" s="101"/>
      <c r="AE12" s="101"/>
    </row>
    <row r="13" spans="1:31" ht="15" thickTop="1">
      <c r="A13" s="23"/>
      <c r="H13" s="573"/>
      <c r="I13" s="508"/>
      <c r="J13" s="508"/>
      <c r="K13" s="515"/>
      <c r="L13" s="515"/>
      <c r="M13" s="515"/>
      <c r="N13" s="515"/>
      <c r="O13" s="515"/>
      <c r="P13" s="515"/>
      <c r="T13" s="101"/>
      <c r="U13" s="102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</row>
    <row r="14" spans="1:31" ht="18" customHeight="1" thickBot="1">
      <c r="A14" s="45" t="s">
        <v>114</v>
      </c>
      <c r="B14" s="36"/>
      <c r="C14" s="36"/>
      <c r="D14" s="36"/>
      <c r="E14" s="93"/>
      <c r="H14" s="574"/>
      <c r="I14" s="634"/>
      <c r="J14" s="634"/>
      <c r="K14" s="634"/>
      <c r="L14" s="634"/>
      <c r="M14" s="634"/>
      <c r="N14" s="634"/>
      <c r="O14" s="634"/>
      <c r="P14" s="634"/>
      <c r="R14" s="27"/>
      <c r="T14" s="103"/>
      <c r="U14" s="103"/>
      <c r="V14" s="103"/>
      <c r="W14" s="103"/>
      <c r="X14" s="103"/>
      <c r="Y14" s="103"/>
      <c r="Z14" s="103"/>
      <c r="AA14" s="103"/>
      <c r="AB14" s="103"/>
      <c r="AC14" s="101"/>
      <c r="AD14" s="102"/>
      <c r="AE14" s="101"/>
    </row>
    <row r="15" spans="1:31" ht="18" customHeight="1">
      <c r="A15" s="46"/>
      <c r="B15" s="32"/>
      <c r="C15" s="32"/>
      <c r="D15" s="33"/>
      <c r="E15" s="94"/>
      <c r="F15" s="95"/>
      <c r="H15" s="575"/>
      <c r="I15" s="518"/>
      <c r="J15" s="518"/>
      <c r="K15" s="518"/>
      <c r="L15" s="518"/>
      <c r="M15" s="518"/>
      <c r="N15" s="518"/>
      <c r="O15" s="518"/>
      <c r="P15" s="509"/>
      <c r="R15" s="27"/>
      <c r="T15" s="101"/>
      <c r="U15" s="104"/>
      <c r="V15" s="104"/>
      <c r="W15" s="104"/>
      <c r="X15" s="104"/>
      <c r="Y15" s="104"/>
      <c r="Z15" s="104"/>
      <c r="AA15" s="104"/>
      <c r="AB15" s="104"/>
      <c r="AC15" s="101"/>
      <c r="AD15" s="101"/>
      <c r="AE15" s="101"/>
    </row>
    <row r="16" spans="1:31" ht="21.15" customHeight="1">
      <c r="A16" s="26"/>
      <c r="B16" s="27"/>
      <c r="C16" s="27"/>
      <c r="D16" s="28"/>
      <c r="E16" s="96"/>
      <c r="F16" s="97"/>
      <c r="H16" s="576"/>
      <c r="P16" s="519"/>
      <c r="Q16" s="44"/>
      <c r="R16" s="27"/>
      <c r="T16" s="101"/>
      <c r="U16" s="104"/>
      <c r="V16" s="104"/>
      <c r="W16" s="104"/>
      <c r="X16" s="104"/>
      <c r="Y16" s="104"/>
      <c r="Z16" s="104"/>
      <c r="AA16" s="104"/>
      <c r="AB16" s="104"/>
      <c r="AC16" s="101"/>
      <c r="AD16" s="101"/>
      <c r="AE16" s="101"/>
    </row>
    <row r="17" spans="1:31" ht="13.2" customHeight="1">
      <c r="A17" s="26"/>
      <c r="B17" s="27"/>
      <c r="C17" s="27"/>
      <c r="D17" s="28"/>
      <c r="E17" s="96"/>
      <c r="G17" s="99"/>
      <c r="H17" s="100"/>
      <c r="I17" s="43"/>
      <c r="J17" s="47"/>
      <c r="K17" s="42"/>
      <c r="L17" s="43"/>
      <c r="M17" s="34"/>
      <c r="N17" s="34"/>
      <c r="O17" s="34"/>
      <c r="P17" s="34"/>
      <c r="Q17" s="34"/>
      <c r="R17" s="27"/>
      <c r="T17" s="101"/>
      <c r="U17" s="104"/>
      <c r="V17" s="104"/>
      <c r="W17" s="104"/>
      <c r="X17" s="104"/>
      <c r="Y17" s="104"/>
      <c r="Z17" s="104"/>
      <c r="AA17" s="104"/>
      <c r="AB17" s="104"/>
      <c r="AC17" s="101"/>
      <c r="AD17" s="101"/>
      <c r="AE17" s="101"/>
    </row>
    <row r="18" spans="1:31" ht="15" thickBot="1">
      <c r="A18" s="26"/>
      <c r="B18" s="27"/>
      <c r="C18" s="27"/>
      <c r="D18" s="28"/>
      <c r="E18" s="96"/>
      <c r="F18" s="97"/>
    </row>
    <row r="19" spans="1:31" ht="42.75" customHeight="1">
      <c r="A19" s="70" t="s">
        <v>5</v>
      </c>
      <c r="B19" s="60" t="s">
        <v>6</v>
      </c>
      <c r="C19" s="60" t="s">
        <v>7</v>
      </c>
      <c r="D19" s="60" t="s">
        <v>8</v>
      </c>
      <c r="E19" s="98" t="s">
        <v>9</v>
      </c>
      <c r="F19" s="87" t="s">
        <v>10</v>
      </c>
      <c r="G19" s="87" t="s">
        <v>11</v>
      </c>
      <c r="H19" s="87" t="s">
        <v>12</v>
      </c>
      <c r="I19" s="71" t="s">
        <v>13</v>
      </c>
      <c r="J19" s="71" t="s">
        <v>34</v>
      </c>
      <c r="K19" s="61" t="s">
        <v>64</v>
      </c>
      <c r="L19" s="62" t="s">
        <v>54</v>
      </c>
      <c r="M19" s="59" t="s">
        <v>14</v>
      </c>
      <c r="N19" s="57" t="s">
        <v>493</v>
      </c>
      <c r="O19" s="57" t="s">
        <v>55</v>
      </c>
      <c r="P19" s="72" t="s">
        <v>15</v>
      </c>
      <c r="Q19" s="73" t="s">
        <v>16</v>
      </c>
      <c r="T19" s="635" t="s">
        <v>463</v>
      </c>
      <c r="U19" s="636"/>
      <c r="V19" s="636"/>
      <c r="W19" s="636"/>
      <c r="X19" s="637"/>
      <c r="Y19" s="638" t="s">
        <v>464</v>
      </c>
      <c r="Z19" s="639"/>
    </row>
    <row r="20" spans="1:31" ht="83.4" customHeight="1">
      <c r="A20" s="315"/>
      <c r="B20" s="319"/>
      <c r="C20" s="208"/>
      <c r="D20" s="365"/>
      <c r="E20" s="362" t="s">
        <v>454</v>
      </c>
      <c r="F20" s="196" t="s">
        <v>100</v>
      </c>
      <c r="G20" s="194" t="s">
        <v>455</v>
      </c>
      <c r="H20" s="211" t="s">
        <v>117</v>
      </c>
      <c r="I20" s="305">
        <v>317502.03000000003</v>
      </c>
      <c r="J20" s="223"/>
      <c r="K20" s="565"/>
      <c r="L20" s="369"/>
      <c r="M20" s="459" t="str">
        <f t="shared" ref="M20:M27" si="0">IF(I20&gt;K$23,"EXCESSIVAMENTE ELEVADO",IF(I20&lt;L$23,"INEXEQUÍVEL","VÁLIDO"))</f>
        <v>INEXEQUÍVEL</v>
      </c>
      <c r="N20" s="471">
        <f>I20/J23</f>
        <v>0.68100499941073334</v>
      </c>
      <c r="O20" s="473" t="s">
        <v>457</v>
      </c>
      <c r="P20" s="571">
        <f t="shared" ref="P20:P27" si="1">TRUNC(AVERAGE(I18:I24),2)</f>
        <v>409237.18</v>
      </c>
      <c r="Q20" s="563"/>
      <c r="T20" s="494" t="s">
        <v>3</v>
      </c>
      <c r="U20" s="495" t="s">
        <v>465</v>
      </c>
      <c r="V20" s="496" t="s">
        <v>466</v>
      </c>
      <c r="W20" s="495" t="s">
        <v>467</v>
      </c>
      <c r="X20" s="497" t="s">
        <v>4</v>
      </c>
      <c r="Y20" s="498">
        <v>0.25</v>
      </c>
      <c r="Z20" s="499">
        <v>0.75</v>
      </c>
    </row>
    <row r="21" spans="1:31" ht="62.4" customHeight="1" thickBot="1">
      <c r="A21" s="316"/>
      <c r="B21" s="316"/>
      <c r="C21" s="212"/>
      <c r="D21" s="215"/>
      <c r="E21" s="317" t="s">
        <v>79</v>
      </c>
      <c r="F21" s="209" t="s">
        <v>80</v>
      </c>
      <c r="G21" s="210" t="s">
        <v>116</v>
      </c>
      <c r="H21" s="211" t="s">
        <v>117</v>
      </c>
      <c r="I21" s="305">
        <v>408767.12</v>
      </c>
      <c r="J21" s="566"/>
      <c r="K21" s="74"/>
      <c r="L21" s="83"/>
      <c r="M21" s="367" t="str">
        <f t="shared" si="0"/>
        <v>VÁLIDO</v>
      </c>
      <c r="N21" s="339">
        <f>I21/J23</f>
        <v>0.87675802360925736</v>
      </c>
      <c r="O21" s="358" t="s">
        <v>457</v>
      </c>
      <c r="P21" s="77">
        <f t="shared" si="1"/>
        <v>429465.92</v>
      </c>
      <c r="Q21" s="76"/>
      <c r="T21" s="500">
        <f>AVERAGE(I21:I27)</f>
        <v>487471.93428571429</v>
      </c>
      <c r="U21" s="501">
        <f>_xlfn.STDEV.S(I21:I27)</f>
        <v>71689.56783756346</v>
      </c>
      <c r="V21" s="502">
        <f>(U21/T21)*100</f>
        <v>14.706399034563736</v>
      </c>
      <c r="W21" s="503" t="str">
        <f>IF(V21&gt;25,"Mediana","Média")</f>
        <v>Média</v>
      </c>
      <c r="X21" s="504">
        <f>MIN(I20:I21)</f>
        <v>317502.03000000003</v>
      </c>
      <c r="Y21" s="505" t="s">
        <v>468</v>
      </c>
      <c r="Z21" s="506" t="s">
        <v>469</v>
      </c>
    </row>
    <row r="22" spans="1:31" ht="69" customHeight="1">
      <c r="A22" s="316"/>
      <c r="B22" s="324"/>
      <c r="C22" s="569"/>
      <c r="D22" s="570"/>
      <c r="E22" s="317" t="s">
        <v>79</v>
      </c>
      <c r="F22" s="200" t="s">
        <v>80</v>
      </c>
      <c r="G22" s="201" t="s">
        <v>119</v>
      </c>
      <c r="H22" s="211" t="s">
        <v>117</v>
      </c>
      <c r="I22" s="305">
        <v>429758.92</v>
      </c>
      <c r="J22" s="566"/>
      <c r="K22" s="58"/>
      <c r="L22" s="78"/>
      <c r="M22" s="367" t="str">
        <f t="shared" si="0"/>
        <v>VÁLIDO</v>
      </c>
      <c r="N22" s="339">
        <f>(I22/J$23)</f>
        <v>0.92178299792715457</v>
      </c>
      <c r="O22" s="358" t="s">
        <v>457</v>
      </c>
      <c r="P22" s="77">
        <f t="shared" si="1"/>
        <v>450471.51</v>
      </c>
      <c r="Q22" s="76"/>
    </row>
    <row r="23" spans="1:31" ht="146.4" customHeight="1">
      <c r="A23" s="316">
        <v>4</v>
      </c>
      <c r="B23" s="370" t="s">
        <v>437</v>
      </c>
      <c r="C23" s="212" t="s">
        <v>7</v>
      </c>
      <c r="D23" s="215">
        <v>1</v>
      </c>
      <c r="E23" s="295" t="s">
        <v>447</v>
      </c>
      <c r="F23" s="200" t="s">
        <v>100</v>
      </c>
      <c r="G23" s="201" t="s">
        <v>147</v>
      </c>
      <c r="H23" s="211" t="s">
        <v>117</v>
      </c>
      <c r="I23" s="305">
        <v>444041.44</v>
      </c>
      <c r="J23" s="567">
        <f>AVERAGE(I20:I27)</f>
        <v>466225.69625000004</v>
      </c>
      <c r="K23" s="86">
        <f>((25%*J23)+J23)</f>
        <v>582782.12031250005</v>
      </c>
      <c r="L23" s="83">
        <f>75%*J23</f>
        <v>349669.27218750003</v>
      </c>
      <c r="M23" s="367" t="str">
        <f t="shared" si="0"/>
        <v>VÁLIDO</v>
      </c>
      <c r="N23" s="339">
        <f t="shared" ref="N23:N24" si="2">(I23/J$23)</f>
        <v>0.95241734544355883</v>
      </c>
      <c r="O23" s="358" t="s">
        <v>457</v>
      </c>
      <c r="P23" s="77">
        <f t="shared" si="1"/>
        <v>487471.93</v>
      </c>
      <c r="Q23" s="76">
        <f>Tabela13[[#This Row],[MÉDIAS/MEDIANA]]*D23</f>
        <v>487471.93</v>
      </c>
    </row>
    <row r="24" spans="1:31" ht="73.2" customHeight="1">
      <c r="A24" s="316"/>
      <c r="B24" s="320"/>
      <c r="C24" s="212"/>
      <c r="D24" s="215"/>
      <c r="E24" s="295" t="s">
        <v>148</v>
      </c>
      <c r="F24" s="200" t="s">
        <v>100</v>
      </c>
      <c r="G24" s="201" t="s">
        <v>147</v>
      </c>
      <c r="H24" s="211" t="s">
        <v>117</v>
      </c>
      <c r="I24" s="305">
        <v>446116.4</v>
      </c>
      <c r="J24" s="567"/>
      <c r="K24" s="86"/>
      <c r="L24" s="83"/>
      <c r="M24" s="367" t="str">
        <f t="shared" si="0"/>
        <v>VÁLIDO</v>
      </c>
      <c r="N24" s="339">
        <f t="shared" si="2"/>
        <v>0.95686789378675308</v>
      </c>
      <c r="O24" s="507" t="s">
        <v>480</v>
      </c>
      <c r="P24" s="77">
        <f t="shared" si="1"/>
        <v>500589.4</v>
      </c>
      <c r="Q24" s="76"/>
    </row>
    <row r="25" spans="1:31" ht="67.2" customHeight="1">
      <c r="A25" s="316"/>
      <c r="B25" s="321"/>
      <c r="C25" s="212"/>
      <c r="D25" s="215"/>
      <c r="E25" s="295" t="s">
        <v>423</v>
      </c>
      <c r="F25" s="200" t="s">
        <v>100</v>
      </c>
      <c r="G25" s="201" t="s">
        <v>118</v>
      </c>
      <c r="H25" s="209" t="s">
        <v>107</v>
      </c>
      <c r="I25" s="305">
        <v>530609.66</v>
      </c>
      <c r="J25" s="231"/>
      <c r="K25" s="58"/>
      <c r="L25" s="78"/>
      <c r="M25" s="367" t="str">
        <f t="shared" si="0"/>
        <v>VÁLIDO</v>
      </c>
      <c r="N25" s="339">
        <f>(I25-J$23)/J$23</f>
        <v>0.13809612869445093</v>
      </c>
      <c r="O25" s="358" t="s">
        <v>486</v>
      </c>
      <c r="P25" s="77">
        <f t="shared" si="1"/>
        <v>514755.5</v>
      </c>
      <c r="Q25" s="76"/>
    </row>
    <row r="26" spans="1:31" ht="52.2" customHeight="1">
      <c r="A26" s="316"/>
      <c r="B26" s="320"/>
      <c r="C26" s="212"/>
      <c r="D26" s="215"/>
      <c r="E26" s="295" t="s">
        <v>79</v>
      </c>
      <c r="F26" s="200" t="s">
        <v>80</v>
      </c>
      <c r="G26" s="201" t="s">
        <v>118</v>
      </c>
      <c r="H26" s="209" t="s">
        <v>107</v>
      </c>
      <c r="I26" s="305">
        <v>576505</v>
      </c>
      <c r="J26" s="231"/>
      <c r="K26" s="58"/>
      <c r="L26" s="78"/>
      <c r="M26" s="367" t="str">
        <f t="shared" si="0"/>
        <v>VÁLIDO</v>
      </c>
      <c r="N26" s="339">
        <f>(I26-J$23)/J$23</f>
        <v>0.2365363055640457</v>
      </c>
      <c r="O26" s="358" t="s">
        <v>486</v>
      </c>
      <c r="P26" s="77">
        <f t="shared" si="1"/>
        <v>532434.01</v>
      </c>
      <c r="Q26" s="76"/>
    </row>
    <row r="27" spans="1:31" ht="48" customHeight="1" thickBot="1">
      <c r="A27" s="316"/>
      <c r="B27" s="322"/>
      <c r="C27" s="323"/>
      <c r="D27" s="366"/>
      <c r="E27" s="318" t="s">
        <v>79</v>
      </c>
      <c r="F27" s="209" t="s">
        <v>80</v>
      </c>
      <c r="G27" s="201" t="s">
        <v>147</v>
      </c>
      <c r="H27" s="211" t="s">
        <v>117</v>
      </c>
      <c r="I27" s="305">
        <v>576505</v>
      </c>
      <c r="J27" s="568"/>
      <c r="K27" s="311"/>
      <c r="L27" s="248"/>
      <c r="M27" s="367" t="str">
        <f t="shared" si="0"/>
        <v>VÁLIDO</v>
      </c>
      <c r="N27" s="339">
        <f>(I27-J$23)/J$23</f>
        <v>0.2365363055640457</v>
      </c>
      <c r="O27" s="358" t="s">
        <v>486</v>
      </c>
      <c r="P27" s="572">
        <f t="shared" si="1"/>
        <v>561206.55000000005</v>
      </c>
      <c r="Q27" s="564"/>
    </row>
    <row r="28" spans="1:31" s="20" customFormat="1" ht="30" customHeight="1" thickBot="1">
      <c r="A28" s="631" t="s">
        <v>17</v>
      </c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9">
        <f>SUM(Q20:Q27)</f>
        <v>487471.93</v>
      </c>
    </row>
    <row r="29" spans="1:31">
      <c r="Q29" s="22"/>
    </row>
    <row r="30" spans="1:31">
      <c r="Q30" s="22"/>
    </row>
    <row r="31" spans="1:31">
      <c r="A31" s="51"/>
      <c r="Q31" s="22"/>
    </row>
    <row r="32" spans="1:31">
      <c r="A32" s="63"/>
      <c r="Q32" s="22"/>
    </row>
    <row r="33" spans="17:23">
      <c r="Q33" s="22"/>
    </row>
    <row r="34" spans="17:23">
      <c r="Q34" s="22"/>
    </row>
    <row r="35" spans="17:23">
      <c r="Q35" s="22"/>
    </row>
    <row r="36" spans="17:23">
      <c r="Q36" s="22"/>
    </row>
    <row r="37" spans="17:23">
      <c r="Q37" s="22"/>
    </row>
    <row r="38" spans="17:23">
      <c r="Q38" s="22"/>
    </row>
    <row r="39" spans="17:23">
      <c r="Q39" s="22"/>
    </row>
    <row r="40" spans="17:23">
      <c r="Q40" s="22"/>
    </row>
    <row r="41" spans="17:23">
      <c r="Q41" s="22"/>
    </row>
    <row r="42" spans="17:23">
      <c r="Q42" s="22"/>
    </row>
    <row r="43" spans="17:23">
      <c r="Q43" s="22"/>
    </row>
    <row r="44" spans="17:23">
      <c r="Q44" s="22"/>
    </row>
    <row r="45" spans="17:23">
      <c r="W45" s="22"/>
    </row>
  </sheetData>
  <mergeCells count="5">
    <mergeCell ref="A28:P28"/>
    <mergeCell ref="A10:Q10"/>
    <mergeCell ref="I14:P14"/>
    <mergeCell ref="T19:X19"/>
    <mergeCell ref="Y19:Z19"/>
  </mergeCells>
  <conditionalFormatting sqref="M19:M20">
    <cfRule type="containsText" dxfId="360" priority="10" operator="containsText" text="Excessivamente elevado">
      <formula>NOT(ISERROR(SEARCH("Excessivamente elevado",M19)))</formula>
    </cfRule>
  </conditionalFormatting>
  <conditionalFormatting sqref="M20">
    <cfRule type="cellIs" dxfId="359" priority="11" operator="lessThan">
      <formula>"K$25"</formula>
    </cfRule>
    <cfRule type="cellIs" dxfId="358" priority="12" operator="greaterThan">
      <formula>"J&amp;25"</formula>
    </cfRule>
    <cfRule type="cellIs" dxfId="357" priority="13" operator="greaterThan">
      <formula>"J$25"</formula>
    </cfRule>
    <cfRule type="containsText" dxfId="356" priority="15" operator="containsText" text="Válido">
      <formula>NOT(ISERROR(SEARCH("Válido",M20)))</formula>
    </cfRule>
    <cfRule type="containsText" dxfId="355" priority="16" operator="containsText" text="Inexequível">
      <formula>NOT(ISERROR(SEARCH("Inexequível",M20)))</formula>
    </cfRule>
    <cfRule type="aboveAverage" dxfId="354" priority="17" aboveAverage="0"/>
  </conditionalFormatting>
  <conditionalFormatting sqref="M20:M27">
    <cfRule type="containsText" priority="14" operator="containsText" text="Excessivamente elevado">
      <formula>NOT(ISERROR(SEARCH("Excessivamente elevado",M20)))</formula>
    </cfRule>
  </conditionalFormatting>
  <conditionalFormatting sqref="M21:M27 M6:O9 M11:O13 M18:O18 M28:O1048576">
    <cfRule type="containsText" dxfId="353" priority="356" operator="containsText" text="Excessivamente elevado">
      <formula>NOT(ISERROR(SEARCH("Excessivamente elevado",M6)))</formula>
    </cfRule>
  </conditionalFormatting>
  <conditionalFormatting sqref="M21:M27">
    <cfRule type="cellIs" dxfId="352" priority="357" operator="lessThan">
      <formula>"K$25"</formula>
    </cfRule>
    <cfRule type="cellIs" dxfId="351" priority="358" operator="greaterThan">
      <formula>"J&amp;25"</formula>
    </cfRule>
    <cfRule type="cellIs" dxfId="350" priority="360" operator="greaterThan">
      <formula>"J$25"</formula>
    </cfRule>
    <cfRule type="containsText" dxfId="349" priority="6623" operator="containsText" text="Válido">
      <formula>NOT(ISERROR(SEARCH("Válido",M21)))</formula>
    </cfRule>
    <cfRule type="containsText" dxfId="348" priority="6624" operator="containsText" text="Inexequível">
      <formula>NOT(ISERROR(SEARCH("Inexequível",M21)))</formula>
    </cfRule>
    <cfRule type="aboveAverage" dxfId="347" priority="7496" aboveAverage="0"/>
  </conditionalFormatting>
  <conditionalFormatting sqref="M22:M26">
    <cfRule type="aboveAverage" dxfId="346" priority="6625" aboveAverage="0"/>
  </conditionalFormatting>
  <conditionalFormatting sqref="M27">
    <cfRule type="containsText" dxfId="345" priority="275" operator="containsText" text="Excessivamente elevado">
      <formula>NOT(ISERROR(SEARCH("Excessivamente elevado",M27)))</formula>
    </cfRule>
    <cfRule type="cellIs" dxfId="344" priority="276" operator="lessThan">
      <formula>"K$25"</formula>
    </cfRule>
    <cfRule type="cellIs" dxfId="343" priority="277" operator="greaterThan">
      <formula>"J&amp;25"</formula>
    </cfRule>
    <cfRule type="cellIs" dxfId="342" priority="279" operator="greaterThan">
      <formula>"J$25"</formula>
    </cfRule>
    <cfRule type="containsText" dxfId="341" priority="281" operator="containsText" text="Válido">
      <formula>NOT(ISERROR(SEARCH("Válido",M27)))</formula>
    </cfRule>
    <cfRule type="containsText" dxfId="340" priority="282" operator="containsText" text="Inexequível">
      <formula>NOT(ISERROR(SEARCH("Inexequível",M27)))</formula>
    </cfRule>
    <cfRule type="aboveAverage" dxfId="339" priority="283" aboveAverage="0"/>
  </conditionalFormatting>
  <conditionalFormatting sqref="N19:N20">
    <cfRule type="containsText" dxfId="338" priority="6" operator="containsText" text="Excessivamente elevado">
      <formula>NOT(ISERROR(SEARCH("Excessivamente elevado",N19)))</formula>
    </cfRule>
  </conditionalFormatting>
  <conditionalFormatting sqref="N20">
    <cfRule type="containsText" priority="2" operator="containsText" text="Excessivamente elevado">
      <formula>NOT(ISERROR(SEARCH("Excessivamente elevado",N20)))</formula>
    </cfRule>
    <cfRule type="cellIs" dxfId="337" priority="3" operator="lessThan">
      <formula>"K$25"</formula>
    </cfRule>
    <cfRule type="cellIs" dxfId="336" priority="4" operator="greaterThan">
      <formula>"J&amp;25"</formula>
    </cfRule>
    <cfRule type="cellIs" dxfId="335" priority="5" operator="greaterThan">
      <formula>"J$25"</formula>
    </cfRule>
    <cfRule type="containsText" dxfId="334" priority="7" operator="containsText" text="Válido">
      <formula>NOT(ISERROR(SEARCH("Válido",N20)))</formula>
    </cfRule>
    <cfRule type="containsText" dxfId="333" priority="8" operator="containsText" text="Inexequível">
      <formula>NOT(ISERROR(SEARCH("Inexequível",N20)))</formula>
    </cfRule>
    <cfRule type="aboveAverage" dxfId="332" priority="9" aboveAverage="0"/>
  </conditionalFormatting>
  <conditionalFormatting sqref="O19">
    <cfRule type="containsText" dxfId="1" priority="1" operator="containsText" text="Excessivamente elevado">
      <formula>NOT(ISERROR(SEARCH("Excessivamente elevado",O19)))</formula>
    </cfRule>
  </conditionalFormatting>
  <pageMargins left="0.7" right="0.7" top="0.75" bottom="0.75" header="0.3" footer="0.3"/>
  <pageSetup paperSize="9" scale="65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2:AL119"/>
  <sheetViews>
    <sheetView showGridLines="0" topLeftCell="A95" zoomScaleNormal="100" workbookViewId="0">
      <selection activeCell="G107" sqref="G107"/>
    </sheetView>
  </sheetViews>
  <sheetFormatPr defaultColWidth="9.109375" defaultRowHeight="14.4"/>
  <cols>
    <col min="1" max="1" width="5" style="20" customWidth="1"/>
    <col min="2" max="2" width="40.88671875" customWidth="1"/>
    <col min="3" max="3" width="4.6640625" customWidth="1"/>
    <col min="4" max="4" width="7.6640625" style="20" customWidth="1"/>
    <col min="5" max="5" width="21.6640625" style="13" customWidth="1"/>
    <col min="6" max="6" width="12.6640625" style="24" customWidth="1"/>
    <col min="7" max="7" width="21.88671875" style="13" customWidth="1"/>
    <col min="8" max="8" width="7.109375" style="13" customWidth="1"/>
    <col min="9" max="9" width="13.33203125" style="13" customWidth="1"/>
    <col min="10" max="10" width="13.88671875" style="13" customWidth="1"/>
    <col min="11" max="12" width="13.33203125" customWidth="1"/>
    <col min="13" max="13" width="11.109375" customWidth="1"/>
    <col min="14" max="14" width="9.21875" customWidth="1"/>
    <col min="15" max="15" width="16.21875" customWidth="1"/>
    <col min="16" max="16" width="16" customWidth="1"/>
    <col min="17" max="17" width="13.6640625" customWidth="1"/>
    <col min="18" max="18" width="7.109375" customWidth="1"/>
    <col min="19" max="21" width="13.6640625" customWidth="1"/>
    <col min="22" max="22" width="10" customWidth="1"/>
    <col min="23" max="23" width="12" bestFit="1" customWidth="1"/>
    <col min="24" max="24" width="12.109375" customWidth="1"/>
    <col min="25" max="25" width="19.109375" customWidth="1"/>
    <col min="26" max="26" width="16.109375" customWidth="1"/>
    <col min="27" max="27" width="11.6640625" bestFit="1" customWidth="1"/>
  </cols>
  <sheetData>
    <row r="2" spans="1:38" ht="23.4">
      <c r="AC2" s="552" t="s">
        <v>35</v>
      </c>
      <c r="AD2" s="553"/>
      <c r="AE2" s="553"/>
      <c r="AF2" s="553"/>
      <c r="AG2" s="554"/>
      <c r="AH2" s="554"/>
      <c r="AI2" s="554"/>
      <c r="AJ2" s="554"/>
      <c r="AK2" s="554"/>
      <c r="AL2" s="555"/>
    </row>
    <row r="3" spans="1:38">
      <c r="E3"/>
      <c r="AC3" s="640" t="s">
        <v>36</v>
      </c>
      <c r="AD3" s="641"/>
      <c r="AE3" s="641"/>
      <c r="AF3" s="641"/>
      <c r="AG3" s="641"/>
      <c r="AH3" s="641"/>
      <c r="AI3" s="641"/>
      <c r="AJ3" s="641"/>
      <c r="AK3" s="642"/>
      <c r="AL3" s="556" t="s">
        <v>37</v>
      </c>
    </row>
    <row r="4" spans="1:38">
      <c r="AC4" s="557" t="s">
        <v>38</v>
      </c>
      <c r="AD4" s="558" t="s">
        <v>39</v>
      </c>
      <c r="AE4" s="559"/>
      <c r="AF4" s="559"/>
      <c r="AG4" s="559"/>
      <c r="AH4" s="559"/>
      <c r="AI4" s="559"/>
      <c r="AJ4" s="559"/>
      <c r="AK4" s="560"/>
      <c r="AL4" s="557" t="s">
        <v>57</v>
      </c>
    </row>
    <row r="5" spans="1:38">
      <c r="AC5" s="557" t="s">
        <v>40</v>
      </c>
      <c r="AD5" s="561" t="s">
        <v>41</v>
      </c>
      <c r="AE5" s="559"/>
      <c r="AF5" s="559"/>
      <c r="AG5" s="559"/>
      <c r="AH5" s="559"/>
      <c r="AI5" s="559"/>
      <c r="AJ5" s="559"/>
      <c r="AK5" s="560"/>
      <c r="AL5" s="557" t="s">
        <v>56</v>
      </c>
    </row>
    <row r="6" spans="1:38">
      <c r="A6" s="23" t="s">
        <v>0</v>
      </c>
      <c r="AC6" s="557" t="s">
        <v>42</v>
      </c>
      <c r="AD6" s="561" t="s">
        <v>43</v>
      </c>
      <c r="AE6" s="559"/>
      <c r="AF6" s="559"/>
      <c r="AG6" s="559"/>
      <c r="AH6" s="559"/>
      <c r="AI6" s="559"/>
      <c r="AJ6" s="559"/>
      <c r="AK6" s="560"/>
      <c r="AL6" s="557" t="s">
        <v>57</v>
      </c>
    </row>
    <row r="7" spans="1:38">
      <c r="A7" s="23" t="s">
        <v>62</v>
      </c>
      <c r="AC7" s="557" t="s">
        <v>44</v>
      </c>
      <c r="AD7" s="561" t="s">
        <v>482</v>
      </c>
      <c r="AE7" s="559"/>
      <c r="AF7" s="559"/>
      <c r="AG7" s="559"/>
      <c r="AH7" s="559"/>
      <c r="AI7" s="559"/>
      <c r="AJ7" s="559"/>
      <c r="AK7" s="560"/>
      <c r="AL7" s="557" t="s">
        <v>56</v>
      </c>
    </row>
    <row r="8" spans="1:38">
      <c r="A8" s="23" t="s">
        <v>63</v>
      </c>
      <c r="AC8" s="557" t="s">
        <v>45</v>
      </c>
      <c r="AD8" s="561" t="s">
        <v>60</v>
      </c>
      <c r="AE8" s="559"/>
      <c r="AF8" s="559"/>
      <c r="AG8" s="559"/>
      <c r="AH8" s="559"/>
      <c r="AI8" s="559"/>
      <c r="AJ8" s="559"/>
      <c r="AK8" s="560"/>
      <c r="AL8" s="557" t="s">
        <v>56</v>
      </c>
    </row>
    <row r="9" spans="1:38">
      <c r="A9" s="26"/>
      <c r="AC9" s="557" t="s">
        <v>46</v>
      </c>
      <c r="AD9" s="561" t="s">
        <v>483</v>
      </c>
      <c r="AE9" s="559"/>
      <c r="AF9" s="559"/>
      <c r="AG9" s="559"/>
      <c r="AH9" s="559"/>
      <c r="AI9" s="559"/>
      <c r="AJ9" s="559"/>
      <c r="AK9" s="560"/>
      <c r="AL9" s="557" t="s">
        <v>56</v>
      </c>
    </row>
    <row r="10" spans="1:38" ht="20.399999999999999" thickBot="1">
      <c r="A10" s="633" t="s">
        <v>1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5"/>
      <c r="S10" s="65"/>
      <c r="T10" s="65"/>
      <c r="U10" s="65"/>
      <c r="AC10" s="557" t="s">
        <v>47</v>
      </c>
      <c r="AD10" s="561" t="s">
        <v>484</v>
      </c>
      <c r="AE10" s="559"/>
      <c r="AF10" s="559"/>
      <c r="AG10" s="559"/>
      <c r="AH10" s="559"/>
      <c r="AI10" s="559"/>
      <c r="AJ10" s="559"/>
      <c r="AK10" s="560"/>
      <c r="AL10" s="557" t="s">
        <v>56</v>
      </c>
    </row>
    <row r="11" spans="1:38" ht="15" thickTop="1">
      <c r="A11" s="26"/>
      <c r="X11" s="105"/>
      <c r="Y11" s="105"/>
      <c r="Z11" s="105"/>
      <c r="AA11" s="105"/>
      <c r="AB11" s="105"/>
      <c r="AC11" s="557" t="s">
        <v>48</v>
      </c>
      <c r="AD11" s="561" t="s">
        <v>49</v>
      </c>
      <c r="AE11" s="559"/>
      <c r="AF11" s="559"/>
      <c r="AG11" s="559"/>
      <c r="AH11" s="559"/>
      <c r="AI11" s="559"/>
      <c r="AJ11" s="559"/>
      <c r="AK11" s="560"/>
      <c r="AL11" s="557" t="s">
        <v>56</v>
      </c>
    </row>
    <row r="12" spans="1:38" ht="17.399999999999999">
      <c r="A12" s="510"/>
      <c r="B12" s="511"/>
      <c r="C12" s="511"/>
      <c r="D12" s="512"/>
      <c r="E12" s="513"/>
      <c r="F12" s="35"/>
      <c r="X12" s="105"/>
      <c r="Y12" s="105"/>
      <c r="Z12" s="105"/>
      <c r="AA12" s="105"/>
      <c r="AB12" s="105"/>
      <c r="AC12" s="557" t="s">
        <v>50</v>
      </c>
      <c r="AD12" s="561" t="s">
        <v>51</v>
      </c>
      <c r="AE12" s="559"/>
      <c r="AF12" s="559"/>
      <c r="AG12" s="559"/>
      <c r="AH12" s="559"/>
      <c r="AI12" s="559"/>
      <c r="AJ12" s="559"/>
      <c r="AK12" s="560"/>
      <c r="AL12" s="557" t="s">
        <v>57</v>
      </c>
    </row>
    <row r="13" spans="1:38">
      <c r="A13" s="23"/>
      <c r="H13" s="514"/>
      <c r="I13" s="508"/>
      <c r="J13" s="508"/>
      <c r="K13" s="515"/>
      <c r="L13" s="515"/>
      <c r="M13" s="515"/>
      <c r="N13" s="515"/>
      <c r="O13" s="515"/>
      <c r="P13" s="515"/>
      <c r="X13" s="101"/>
      <c r="Y13" s="102"/>
      <c r="Z13" s="101"/>
      <c r="AA13" s="101"/>
      <c r="AB13" s="101"/>
      <c r="AC13" s="557" t="s">
        <v>52</v>
      </c>
      <c r="AD13" s="561" t="s">
        <v>53</v>
      </c>
      <c r="AE13" s="559"/>
      <c r="AF13" s="559"/>
      <c r="AG13" s="559"/>
      <c r="AH13" s="559"/>
      <c r="AI13" s="559"/>
      <c r="AJ13" s="559"/>
      <c r="AK13" s="560"/>
      <c r="AL13" s="557" t="s">
        <v>56</v>
      </c>
    </row>
    <row r="14" spans="1:38" ht="18" customHeight="1">
      <c r="A14" s="516"/>
      <c r="B14" s="517"/>
      <c r="C14" s="517"/>
      <c r="D14" s="517"/>
      <c r="E14" s="35"/>
      <c r="F14" s="31"/>
      <c r="G14" s="25"/>
      <c r="H14" s="520"/>
      <c r="I14" s="634"/>
      <c r="J14" s="634"/>
      <c r="K14" s="634"/>
      <c r="L14" s="634"/>
      <c r="M14" s="634"/>
      <c r="N14" s="634"/>
      <c r="O14" s="634"/>
      <c r="P14" s="634"/>
      <c r="V14" s="27"/>
      <c r="X14" s="103"/>
      <c r="Y14" s="103"/>
      <c r="Z14" s="103"/>
      <c r="AA14" s="103"/>
      <c r="AB14" s="103"/>
      <c r="AC14" s="557" t="s">
        <v>58</v>
      </c>
      <c r="AD14" s="561" t="s">
        <v>59</v>
      </c>
      <c r="AE14" s="559"/>
      <c r="AF14" s="559"/>
      <c r="AG14" s="559"/>
      <c r="AH14" s="559"/>
      <c r="AI14" s="559"/>
      <c r="AJ14" s="559"/>
      <c r="AK14" s="560"/>
      <c r="AL14" s="562" t="s">
        <v>481</v>
      </c>
    </row>
    <row r="15" spans="1:38" ht="18" customHeight="1">
      <c r="A15" s="109"/>
      <c r="B15" s="108"/>
      <c r="C15" s="108"/>
      <c r="D15" s="106"/>
      <c r="E15" s="107"/>
      <c r="F15" s="41"/>
      <c r="G15" s="25"/>
      <c r="H15" s="521"/>
      <c r="I15" s="518"/>
      <c r="J15" s="518"/>
      <c r="K15" s="518"/>
      <c r="L15" s="518"/>
      <c r="M15" s="518"/>
      <c r="N15" s="518"/>
      <c r="O15" s="518"/>
      <c r="P15" s="509"/>
      <c r="V15" s="27"/>
      <c r="X15" s="101"/>
      <c r="Y15" s="104"/>
      <c r="Z15" s="104"/>
      <c r="AA15" s="104"/>
      <c r="AB15" s="104"/>
      <c r="AC15" s="643" t="s">
        <v>485</v>
      </c>
      <c r="AD15" s="644"/>
      <c r="AE15" s="644"/>
      <c r="AF15" s="644"/>
      <c r="AG15" s="644"/>
      <c r="AH15" s="644"/>
      <c r="AI15" s="644"/>
      <c r="AJ15" s="644"/>
      <c r="AK15" s="644"/>
      <c r="AL15" s="645"/>
    </row>
    <row r="16" spans="1:38" ht="21.15" customHeight="1">
      <c r="A16" s="26"/>
      <c r="B16" s="27"/>
      <c r="C16" s="27"/>
      <c r="D16" s="28"/>
      <c r="E16" s="30"/>
      <c r="F16" s="29"/>
      <c r="G16" s="25"/>
      <c r="H16" s="522"/>
      <c r="P16" s="519"/>
      <c r="Q16" s="44"/>
      <c r="R16" s="44"/>
      <c r="S16" s="44"/>
      <c r="T16" s="44"/>
      <c r="U16" s="44"/>
      <c r="V16" s="27"/>
      <c r="X16" s="101"/>
      <c r="Y16" s="104"/>
      <c r="Z16" s="104"/>
      <c r="AA16" s="104"/>
      <c r="AB16" s="104"/>
      <c r="AC16" s="646"/>
      <c r="AD16" s="647"/>
      <c r="AE16" s="647"/>
      <c r="AF16" s="647"/>
      <c r="AG16" s="647"/>
      <c r="AH16" s="647"/>
      <c r="AI16" s="647"/>
      <c r="AJ16" s="647"/>
      <c r="AK16" s="647"/>
      <c r="AL16" s="648"/>
    </row>
    <row r="17" spans="1:38" ht="15" thickBot="1">
      <c r="A17" s="79"/>
      <c r="B17" s="47"/>
      <c r="C17" s="47"/>
      <c r="D17" s="42"/>
      <c r="E17" s="43"/>
      <c r="F17" s="29"/>
      <c r="G17" s="109"/>
      <c r="H17" s="108"/>
      <c r="I17" s="107"/>
      <c r="J17" s="27"/>
      <c r="K17" s="109"/>
      <c r="L17" s="108"/>
      <c r="M17" s="107"/>
      <c r="O17" s="109"/>
      <c r="P17" s="108"/>
      <c r="Q17" s="107"/>
      <c r="R17" s="109"/>
      <c r="S17" s="109"/>
      <c r="T17" s="108"/>
      <c r="U17" s="107"/>
      <c r="X17" s="101"/>
      <c r="Y17" s="101"/>
      <c r="Z17" s="101"/>
      <c r="AA17" s="101"/>
      <c r="AB17" s="101"/>
      <c r="AC17" s="649"/>
      <c r="AD17" s="650"/>
      <c r="AE17" s="650"/>
      <c r="AF17" s="650"/>
      <c r="AG17" s="650"/>
      <c r="AH17" s="650"/>
      <c r="AI17" s="650"/>
      <c r="AJ17" s="650"/>
      <c r="AK17" s="650"/>
      <c r="AL17" s="651"/>
    </row>
    <row r="18" spans="1:38" ht="42.75" customHeight="1">
      <c r="A18" s="424" t="s">
        <v>5</v>
      </c>
      <c r="B18" s="425" t="s">
        <v>6</v>
      </c>
      <c r="C18" s="425" t="s">
        <v>7</v>
      </c>
      <c r="D18" s="425" t="s">
        <v>8</v>
      </c>
      <c r="E18" s="424" t="s">
        <v>9</v>
      </c>
      <c r="F18" s="425" t="s">
        <v>10</v>
      </c>
      <c r="G18" s="425" t="s">
        <v>11</v>
      </c>
      <c r="H18" s="425" t="s">
        <v>12</v>
      </c>
      <c r="I18" s="426" t="s">
        <v>13</v>
      </c>
      <c r="J18" s="426" t="s">
        <v>34</v>
      </c>
      <c r="K18" s="427" t="s">
        <v>64</v>
      </c>
      <c r="L18" s="428" t="s">
        <v>54</v>
      </c>
      <c r="M18" s="429" t="s">
        <v>14</v>
      </c>
      <c r="N18" s="430" t="s">
        <v>55</v>
      </c>
      <c r="O18" s="431" t="s">
        <v>473</v>
      </c>
      <c r="P18" s="432" t="s">
        <v>15</v>
      </c>
      <c r="Q18" s="433" t="s">
        <v>16</v>
      </c>
      <c r="R18" s="80"/>
      <c r="S18" s="80"/>
      <c r="T18" s="635" t="s">
        <v>463</v>
      </c>
      <c r="U18" s="636"/>
      <c r="V18" s="636"/>
      <c r="W18" s="636"/>
      <c r="X18" s="637"/>
      <c r="Y18" s="539" t="s">
        <v>464</v>
      </c>
      <c r="Z18" s="540"/>
    </row>
    <row r="19" spans="1:38" ht="55.2" customHeight="1">
      <c r="A19" s="274">
        <v>11</v>
      </c>
      <c r="B19" s="272" t="s">
        <v>78</v>
      </c>
      <c r="C19" s="274" t="s">
        <v>7</v>
      </c>
      <c r="D19" s="275">
        <v>2</v>
      </c>
      <c r="E19" s="252" t="s">
        <v>454</v>
      </c>
      <c r="F19" s="196" t="s">
        <v>100</v>
      </c>
      <c r="G19" s="194" t="s">
        <v>455</v>
      </c>
      <c r="H19" s="198" t="s">
        <v>125</v>
      </c>
      <c r="I19" s="305">
        <v>6792.52</v>
      </c>
      <c r="J19" s="332">
        <f>AVERAGE(I19:I20)</f>
        <v>8637.26</v>
      </c>
      <c r="K19" s="493">
        <f>((25%*J19)+J19)</f>
        <v>10796.575000000001</v>
      </c>
      <c r="L19" s="333">
        <f>75%*J19</f>
        <v>6477.9449999999997</v>
      </c>
      <c r="M19" s="307" t="str">
        <f>IF(I19&gt;K$19,"EXCESSIVAMENTE ELEVADO",IF(I19&lt;L$19,"Inexequível","VÁLIDO"))</f>
        <v>VÁLIDO</v>
      </c>
      <c r="N19" s="339">
        <f>Tabela134[[#This Row],[VALOR
UNIT.]]/Tabela134[[#This Row],[MÉDIA
valores]]</f>
        <v>0.78642069359959066</v>
      </c>
      <c r="O19" s="358" t="s">
        <v>457</v>
      </c>
      <c r="P19" s="346">
        <f>TRUNC(MEDIAN(I19:I20),2)</f>
        <v>8637.26</v>
      </c>
      <c r="Q19" s="346">
        <f>P19*D19</f>
        <v>17274.52</v>
      </c>
      <c r="R19" s="81"/>
      <c r="S19" s="81"/>
      <c r="T19" s="494" t="s">
        <v>3</v>
      </c>
      <c r="U19" s="495" t="s">
        <v>465</v>
      </c>
      <c r="V19" s="496" t="s">
        <v>466</v>
      </c>
      <c r="W19" s="495" t="s">
        <v>467</v>
      </c>
      <c r="X19" s="497" t="s">
        <v>4</v>
      </c>
      <c r="Y19" s="498">
        <v>0.25</v>
      </c>
      <c r="Z19" s="499">
        <v>0.75</v>
      </c>
    </row>
    <row r="20" spans="1:38" ht="55.8" customHeight="1" thickBot="1">
      <c r="A20" s="55"/>
      <c r="B20" s="277" t="s">
        <v>167</v>
      </c>
      <c r="C20" s="53"/>
      <c r="D20" s="66"/>
      <c r="E20" s="273" t="s">
        <v>79</v>
      </c>
      <c r="F20" s="192" t="s">
        <v>80</v>
      </c>
      <c r="G20" s="194" t="s">
        <v>88</v>
      </c>
      <c r="H20" s="198" t="s">
        <v>125</v>
      </c>
      <c r="I20" s="305">
        <v>10482</v>
      </c>
      <c r="J20" s="337"/>
      <c r="K20" s="248"/>
      <c r="L20" s="58"/>
      <c r="M20" s="110" t="str">
        <f>IF(I20&gt;K$19,"EXCESSIVAMENTE ELEVADO",IF(I20&lt;L$19,"Inexequível","VÁLIDO"))</f>
        <v>VÁLIDO</v>
      </c>
      <c r="N20" s="341">
        <f>(I20-J19)/J19</f>
        <v>0.21357930640040937</v>
      </c>
      <c r="O20" s="358" t="s">
        <v>456</v>
      </c>
      <c r="P20" s="347"/>
      <c r="Q20" s="347"/>
      <c r="R20" s="81"/>
      <c r="S20" s="81"/>
      <c r="T20" s="500">
        <f>AVERAGE(I19:I20)</f>
        <v>8637.26</v>
      </c>
      <c r="U20" s="501">
        <f>_xlfn.STDEV.S(I19:I20)</f>
        <v>2608.8563270521399</v>
      </c>
      <c r="V20" s="502">
        <f>(U20/T20)*100</f>
        <v>30.204675175369733</v>
      </c>
      <c r="W20" s="503" t="str">
        <f>IF(V20&gt;25,"Mediana","Média")</f>
        <v>Mediana</v>
      </c>
      <c r="X20" s="504">
        <f>MIN(I19:I20)</f>
        <v>6792.52</v>
      </c>
      <c r="Y20" s="505" t="s">
        <v>468</v>
      </c>
      <c r="Z20" s="506" t="s">
        <v>469</v>
      </c>
    </row>
    <row r="21" spans="1:38" ht="57.6" customHeight="1" thickBot="1">
      <c r="A21" s="284"/>
      <c r="B21" s="272"/>
      <c r="C21" s="56"/>
      <c r="D21" s="280"/>
      <c r="E21" s="362" t="s">
        <v>454</v>
      </c>
      <c r="F21" s="196" t="s">
        <v>100</v>
      </c>
      <c r="G21" s="194" t="s">
        <v>455</v>
      </c>
      <c r="H21" s="198" t="s">
        <v>125</v>
      </c>
      <c r="I21" s="305">
        <v>8705.7199999999993</v>
      </c>
      <c r="J21" s="327"/>
      <c r="K21" s="334"/>
      <c r="L21" s="308"/>
      <c r="M21" s="110" t="str">
        <f>IF(I21&gt;K$22,"EXCESSIVAMENTE ELEVADO",IF(I21&lt;L$22,"INEXEQUÍVEL","VÁLIDO"))</f>
        <v>VÁLIDO</v>
      </c>
      <c r="N21" s="339">
        <f>Tabela134[[#This Row],[VALOR
UNIT.]]/J22</f>
        <v>0.91939339839312184</v>
      </c>
      <c r="O21" s="358" t="s">
        <v>459</v>
      </c>
      <c r="P21" s="348"/>
      <c r="Q21" s="349"/>
      <c r="R21" s="81"/>
      <c r="S21" s="81"/>
      <c r="T21" s="81"/>
    </row>
    <row r="22" spans="1:38" ht="76.2" customHeight="1">
      <c r="A22" s="288">
        <v>12</v>
      </c>
      <c r="B22" s="290" t="s">
        <v>81</v>
      </c>
      <c r="C22" s="288" t="s">
        <v>7</v>
      </c>
      <c r="D22" s="302">
        <v>4</v>
      </c>
      <c r="E22" s="362" t="s">
        <v>111</v>
      </c>
      <c r="F22" s="192" t="s">
        <v>100</v>
      </c>
      <c r="G22" s="194"/>
      <c r="H22" s="192"/>
      <c r="I22" s="305">
        <v>7923.32</v>
      </c>
      <c r="J22" s="338">
        <f>AVERAGE(I21:I24)</f>
        <v>9468.9825000000001</v>
      </c>
      <c r="K22" s="329">
        <f>((25%*J22)+J22)</f>
        <v>11836.228125</v>
      </c>
      <c r="L22" s="330">
        <f>75%*J22</f>
        <v>7101.7368750000005</v>
      </c>
      <c r="M22" s="340" t="str">
        <f>IF(I22&gt;K$22,"EXCESSIVAMENTE ELEVADO",IF(I22&lt;L$22,"Inexequível","VÁLIDO"))</f>
        <v>VÁLIDO</v>
      </c>
      <c r="N22" s="339">
        <f>Tabela134[[#This Row],[VALOR
UNIT.]]/J22</f>
        <v>0.836765724300367</v>
      </c>
      <c r="O22" s="358" t="s">
        <v>459</v>
      </c>
      <c r="P22" s="350">
        <f>TRUNC(AVERAGE(I21:I23),2)</f>
        <v>8432.64</v>
      </c>
      <c r="Q22" s="351">
        <f>P22*D22</f>
        <v>33730.559999999998</v>
      </c>
      <c r="R22" s="81"/>
      <c r="S22" s="81"/>
      <c r="T22" s="635" t="s">
        <v>463</v>
      </c>
      <c r="U22" s="636"/>
      <c r="V22" s="636"/>
      <c r="W22" s="636"/>
      <c r="X22" s="637"/>
      <c r="Y22" s="539" t="s">
        <v>464</v>
      </c>
      <c r="Z22" s="540"/>
    </row>
    <row r="23" spans="1:38" ht="65.400000000000006" customHeight="1">
      <c r="A23" s="285"/>
      <c r="B23" s="286" t="s">
        <v>166</v>
      </c>
      <c r="C23" s="53"/>
      <c r="D23" s="266"/>
      <c r="E23" s="362" t="s">
        <v>110</v>
      </c>
      <c r="F23" s="192" t="s">
        <v>100</v>
      </c>
      <c r="G23" s="194" t="s">
        <v>109</v>
      </c>
      <c r="H23" s="192"/>
      <c r="I23" s="305">
        <v>8668.89</v>
      </c>
      <c r="J23" s="325"/>
      <c r="K23" s="78"/>
      <c r="L23" s="58"/>
      <c r="M23" s="340" t="str">
        <f>IF(I23&gt;K$22,"EXCESSIVAMENTE ELEVADO",IF(I23&lt;L$22,"INEXEQUÍVEL","VÁLIDO"))</f>
        <v>VÁLIDO</v>
      </c>
      <c r="N23" s="339">
        <f>I23/J22</f>
        <v>0.91550385693499792</v>
      </c>
      <c r="O23" s="507" t="s">
        <v>480</v>
      </c>
      <c r="P23" s="348"/>
      <c r="Q23" s="349"/>
      <c r="R23" s="81"/>
      <c r="S23" s="81"/>
      <c r="T23" s="494" t="s">
        <v>3</v>
      </c>
      <c r="U23" s="495" t="s">
        <v>465</v>
      </c>
      <c r="V23" s="496" t="s">
        <v>466</v>
      </c>
      <c r="W23" s="495" t="s">
        <v>467</v>
      </c>
      <c r="X23" s="497" t="s">
        <v>4</v>
      </c>
      <c r="Y23" s="498">
        <v>0.25</v>
      </c>
      <c r="Z23" s="499">
        <v>0.75</v>
      </c>
    </row>
    <row r="24" spans="1:38" ht="57" customHeight="1" thickBot="1">
      <c r="A24" s="55"/>
      <c r="B24" s="336"/>
      <c r="C24" s="55"/>
      <c r="D24" s="283"/>
      <c r="E24" s="232" t="s">
        <v>79</v>
      </c>
      <c r="F24" s="192" t="s">
        <v>80</v>
      </c>
      <c r="G24" s="194" t="s">
        <v>88</v>
      </c>
      <c r="H24" s="198" t="s">
        <v>125</v>
      </c>
      <c r="I24" s="305">
        <v>12578</v>
      </c>
      <c r="J24" s="331"/>
      <c r="K24" s="248"/>
      <c r="L24" s="311"/>
      <c r="M24" s="110" t="str">
        <f>IF(I24&gt;K$22,"EXCESSIVAMENTE ELEVADO",IF(I24&lt;L$22,"INEXEQUÍVEL","VÁLIDO"))</f>
        <v>EXCESSIVAMENTE ELEVADO</v>
      </c>
      <c r="N24" s="342">
        <f>(I24-J22)/J22</f>
        <v>0.32833702037151297</v>
      </c>
      <c r="O24" s="360" t="s">
        <v>460</v>
      </c>
      <c r="P24" s="347"/>
      <c r="Q24" s="352"/>
      <c r="R24" s="81"/>
      <c r="S24" s="81"/>
      <c r="T24" s="500">
        <f>AVERAGE(I21:I23)</f>
        <v>8432.6433333333334</v>
      </c>
      <c r="U24" s="501">
        <f>_xlfn.STDEV.S(I21:I23)</f>
        <v>441.47118324227364</v>
      </c>
      <c r="V24" s="502">
        <f>(U24/T24)*100</f>
        <v>5.235264504751262</v>
      </c>
      <c r="W24" s="503" t="str">
        <f>IF(V24&gt;25,"Mediana","Média")</f>
        <v>Média</v>
      </c>
      <c r="X24" s="504">
        <f>MIN(I21:I24)</f>
        <v>7923.32</v>
      </c>
      <c r="Y24" s="505" t="s">
        <v>468</v>
      </c>
      <c r="Z24" s="506" t="s">
        <v>469</v>
      </c>
    </row>
    <row r="25" spans="1:38" ht="55.8" customHeight="1" thickBot="1">
      <c r="A25" s="276"/>
      <c r="B25" s="278"/>
      <c r="C25" s="53"/>
      <c r="D25" s="66"/>
      <c r="E25" s="362" t="s">
        <v>454</v>
      </c>
      <c r="F25" s="196" t="s">
        <v>100</v>
      </c>
      <c r="G25" s="194" t="s">
        <v>455</v>
      </c>
      <c r="H25" s="198" t="s">
        <v>125</v>
      </c>
      <c r="I25" s="239">
        <v>9471.84</v>
      </c>
      <c r="J25" s="335"/>
      <c r="K25" s="83"/>
      <c r="L25" s="86"/>
      <c r="M25" s="361" t="str">
        <f>IF(I25&gt;K$26,"EXCESSIVAMENTE ELEVADO",IF(I25&lt;L$26,"Inexequível","VÁLIDO"))</f>
        <v>Inexequível</v>
      </c>
      <c r="N25" s="344">
        <f>Tabela134[[#This Row],[VALOR
UNIT.]]/J26</f>
        <v>0.73852879024414431</v>
      </c>
      <c r="O25" s="359" t="s">
        <v>459</v>
      </c>
      <c r="P25" s="349"/>
      <c r="Q25" s="348"/>
      <c r="R25" s="81"/>
      <c r="S25" s="81"/>
      <c r="T25" s="81"/>
      <c r="U25" s="81"/>
    </row>
    <row r="26" spans="1:38" ht="68.400000000000006" customHeight="1">
      <c r="A26" s="259">
        <v>13</v>
      </c>
      <c r="B26" s="290" t="s">
        <v>164</v>
      </c>
      <c r="C26" s="288" t="s">
        <v>97</v>
      </c>
      <c r="D26" s="289">
        <v>4</v>
      </c>
      <c r="E26" s="260" t="s">
        <v>198</v>
      </c>
      <c r="F26" s="230" t="s">
        <v>100</v>
      </c>
      <c r="G26" s="246" t="s">
        <v>448</v>
      </c>
      <c r="H26" s="230"/>
      <c r="I26" s="239">
        <v>12403.47</v>
      </c>
      <c r="J26" s="335">
        <f>AVERAGE(I25:I29)</f>
        <v>12825.282000000001</v>
      </c>
      <c r="K26" s="329">
        <f>(25%*J26)+J26</f>
        <v>16031.602500000001</v>
      </c>
      <c r="L26" s="330">
        <f>75%*J26</f>
        <v>9618.9615000000013</v>
      </c>
      <c r="M26" s="361" t="str">
        <f t="shared" ref="M26:M28" si="0">IF(I26&gt;K$26,"EXCESSIVAMENTE ELEVADO",IF(I26&lt;L$26,"Inexequível","VÁLIDO"))</f>
        <v>VÁLIDO</v>
      </c>
      <c r="N26" s="345">
        <f>Tabela134[[#This Row],[VALOR
UNIT.]]/J26</f>
        <v>0.967110898614159</v>
      </c>
      <c r="O26" s="358" t="s">
        <v>459</v>
      </c>
      <c r="P26" s="351">
        <f>TRUNC(AVERAGE(I26:I28),2)</f>
        <v>12977.22</v>
      </c>
      <c r="Q26" s="350">
        <f>P26*D26</f>
        <v>51908.88</v>
      </c>
      <c r="R26" s="81"/>
      <c r="S26" s="81"/>
      <c r="T26" s="536" t="s">
        <v>463</v>
      </c>
      <c r="U26" s="537"/>
      <c r="V26" s="537"/>
      <c r="W26" s="537"/>
      <c r="X26" s="538"/>
      <c r="Y26" s="539" t="s">
        <v>464</v>
      </c>
      <c r="Z26" s="540"/>
    </row>
    <row r="27" spans="1:38" ht="59.7" customHeight="1">
      <c r="A27" s="52"/>
      <c r="B27" s="287" t="s">
        <v>165</v>
      </c>
      <c r="C27" s="53"/>
      <c r="D27" s="66"/>
      <c r="E27" s="255" t="s">
        <v>197</v>
      </c>
      <c r="F27" s="196" t="s">
        <v>100</v>
      </c>
      <c r="G27" s="194" t="s">
        <v>449</v>
      </c>
      <c r="H27" s="192"/>
      <c r="I27" s="305">
        <v>13455.02</v>
      </c>
      <c r="J27" s="335"/>
      <c r="K27" s="329"/>
      <c r="L27" s="330"/>
      <c r="M27" s="361" t="str">
        <f t="shared" si="0"/>
        <v>VÁLIDO</v>
      </c>
      <c r="N27" s="345">
        <f>(I27-J26)/J26</f>
        <v>4.910129851335817E-2</v>
      </c>
      <c r="O27" s="358" t="s">
        <v>492</v>
      </c>
      <c r="P27" s="351"/>
      <c r="Q27" s="350"/>
      <c r="R27" s="81"/>
      <c r="S27" s="81"/>
      <c r="T27" s="494" t="s">
        <v>3</v>
      </c>
      <c r="U27" s="495" t="s">
        <v>465</v>
      </c>
      <c r="V27" s="496" t="s">
        <v>466</v>
      </c>
      <c r="W27" s="495" t="s">
        <v>467</v>
      </c>
      <c r="X27" s="497" t="s">
        <v>4</v>
      </c>
      <c r="Y27" s="498">
        <v>0.25</v>
      </c>
      <c r="Z27" s="499">
        <v>0.75</v>
      </c>
    </row>
    <row r="28" spans="1:38" ht="63.6" customHeight="1" thickBot="1">
      <c r="A28" s="52"/>
      <c r="B28" s="287"/>
      <c r="C28" s="53"/>
      <c r="D28" s="66"/>
      <c r="E28" s="255" t="s">
        <v>196</v>
      </c>
      <c r="F28" s="192" t="s">
        <v>100</v>
      </c>
      <c r="G28" s="194" t="s">
        <v>487</v>
      </c>
      <c r="H28" s="192"/>
      <c r="I28" s="305">
        <v>13073.19</v>
      </c>
      <c r="J28" s="325"/>
      <c r="K28" s="78"/>
      <c r="L28" s="58"/>
      <c r="M28" s="361" t="str">
        <f t="shared" si="0"/>
        <v>VÁLIDO</v>
      </c>
      <c r="N28" s="345">
        <f>Tabela134[[#This Row],[VALOR
UNIT.]]/J26</f>
        <v>1.0193296334536737</v>
      </c>
      <c r="O28" s="343" t="s">
        <v>491</v>
      </c>
      <c r="P28" s="349"/>
      <c r="Q28" s="348"/>
      <c r="R28" s="81"/>
      <c r="S28" s="81"/>
      <c r="T28" s="500">
        <f>AVERAGE(I26:I28)</f>
        <v>12977.226666666667</v>
      </c>
      <c r="U28" s="501">
        <f>_xlfn.STDEV.S(I26:I28)</f>
        <v>532.30261283722245</v>
      </c>
      <c r="V28" s="502">
        <f>(U28/T28)*100</f>
        <v>4.1018210324128512</v>
      </c>
      <c r="W28" s="503" t="str">
        <f>IF(V28&gt;25,"Mediana","Média")</f>
        <v>Média</v>
      </c>
      <c r="X28" s="504">
        <f>MIN(I25:I29)</f>
        <v>9471.84</v>
      </c>
      <c r="Y28" s="505" t="s">
        <v>468</v>
      </c>
      <c r="Z28" s="506" t="s">
        <v>469</v>
      </c>
    </row>
    <row r="29" spans="1:38" ht="56.25" customHeight="1">
      <c r="A29" s="52"/>
      <c r="B29" s="278"/>
      <c r="C29" s="53"/>
      <c r="D29" s="66"/>
      <c r="E29" s="220" t="s">
        <v>79</v>
      </c>
      <c r="F29" s="227" t="s">
        <v>80</v>
      </c>
      <c r="G29" s="218" t="s">
        <v>88</v>
      </c>
      <c r="H29" s="198" t="s">
        <v>125</v>
      </c>
      <c r="I29" s="241">
        <v>15722.89</v>
      </c>
      <c r="J29" s="247"/>
      <c r="K29" s="248"/>
      <c r="L29" s="311"/>
      <c r="M29" s="361" t="str">
        <f>IF(I29&gt;K$26,"EXCESSIVAMENTE ELEVADO",IF(I29&lt;L$26,"Inexequível","VÁLIDO"))</f>
        <v>VÁLIDO</v>
      </c>
      <c r="N29" s="342">
        <f>(I29-J26)/J26</f>
        <v>0.22592937917466441</v>
      </c>
      <c r="O29" s="360" t="s">
        <v>458</v>
      </c>
      <c r="P29" s="352"/>
      <c r="Q29" s="347"/>
      <c r="R29" s="81"/>
      <c r="S29" s="81"/>
      <c r="T29" s="81"/>
      <c r="U29" s="81"/>
    </row>
    <row r="30" spans="1:38" ht="120.6" customHeight="1">
      <c r="A30" s="291">
        <v>14</v>
      </c>
      <c r="B30" s="296" t="s">
        <v>168</v>
      </c>
      <c r="C30" s="274" t="s">
        <v>7</v>
      </c>
      <c r="D30" s="293">
        <v>4</v>
      </c>
      <c r="E30" s="255" t="s">
        <v>451</v>
      </c>
      <c r="F30" s="196" t="s">
        <v>452</v>
      </c>
      <c r="G30" s="194" t="s">
        <v>453</v>
      </c>
      <c r="H30" s="192"/>
      <c r="I30" s="305">
        <v>183.15</v>
      </c>
      <c r="J30" s="328">
        <f>AVERAGE(I30:I32)</f>
        <v>348.96000000000004</v>
      </c>
      <c r="K30" s="329">
        <f>((25%*J30)+J30)</f>
        <v>436.20000000000005</v>
      </c>
      <c r="L30" s="330">
        <f>75%*J30</f>
        <v>261.72000000000003</v>
      </c>
      <c r="M30" s="361" t="str">
        <f>IF(I30&gt;K$30,"EXCESSIVAMENTE ELEVADO",IF(I30&lt;L$30,"Inexequível","VÁLIDO"))</f>
        <v>Inexequível</v>
      </c>
      <c r="N30" s="344">
        <f>I30/$J$30</f>
        <v>0.5248452544704264</v>
      </c>
      <c r="O30" s="359" t="s">
        <v>461</v>
      </c>
      <c r="P30" s="351">
        <f>ROUND(MEDIAN(I30:I32),2)</f>
        <v>339.63</v>
      </c>
      <c r="Q30" s="350">
        <f>P30*D30</f>
        <v>1358.52</v>
      </c>
      <c r="R30" s="81"/>
      <c r="S30" s="81"/>
      <c r="T30" s="494" t="s">
        <v>3</v>
      </c>
      <c r="U30" s="495" t="s">
        <v>465</v>
      </c>
      <c r="V30" s="496" t="s">
        <v>466</v>
      </c>
      <c r="W30" s="495" t="s">
        <v>467</v>
      </c>
      <c r="X30" s="542" t="s">
        <v>4</v>
      </c>
      <c r="Y30" s="543">
        <v>0.25</v>
      </c>
      <c r="Z30" s="544">
        <v>0.75</v>
      </c>
    </row>
    <row r="31" spans="1:38" ht="61.8" customHeight="1" thickBot="1">
      <c r="A31" s="281"/>
      <c r="B31" s="278" t="s">
        <v>494</v>
      </c>
      <c r="C31" s="53"/>
      <c r="D31" s="266"/>
      <c r="E31" s="362" t="s">
        <v>454</v>
      </c>
      <c r="F31" s="196" t="s">
        <v>100</v>
      </c>
      <c r="G31" s="194" t="s">
        <v>455</v>
      </c>
      <c r="H31" s="198" t="s">
        <v>125</v>
      </c>
      <c r="I31" s="305">
        <v>339.63</v>
      </c>
      <c r="J31" s="309"/>
      <c r="K31" s="78"/>
      <c r="L31" s="58"/>
      <c r="M31" s="361" t="str">
        <f>IF(I31&gt;K$30,"EXCESSIVAMENTE ELEVADO",IF(I31&lt;L$30,"Inexequível","VÁLIDO"))</f>
        <v>VÁLIDO</v>
      </c>
      <c r="N31" s="345">
        <f>I31/$J$30</f>
        <v>0.97326341127922955</v>
      </c>
      <c r="O31" s="358" t="s">
        <v>459</v>
      </c>
      <c r="P31" s="349"/>
      <c r="Q31" s="348"/>
      <c r="R31" s="81"/>
      <c r="S31" s="81"/>
      <c r="T31" s="500">
        <f>AVERAGE(I30:I32)</f>
        <v>348.96000000000004</v>
      </c>
      <c r="U31" s="501">
        <f>_xlfn.STDEV.S(I30:I32)</f>
        <v>170.66637718074398</v>
      </c>
      <c r="V31" s="502">
        <f>(U31/T31)*100</f>
        <v>48.907146143037586</v>
      </c>
      <c r="W31" s="503" t="str">
        <f>IF(V31&gt;25,"Mediana","Média")</f>
        <v>Mediana</v>
      </c>
      <c r="X31" s="545">
        <f>MIN(I30:I32)</f>
        <v>183.15</v>
      </c>
      <c r="Y31" s="546" t="s">
        <v>468</v>
      </c>
      <c r="Z31" s="547" t="s">
        <v>469</v>
      </c>
    </row>
    <row r="32" spans="1:38" ht="60.6" customHeight="1">
      <c r="A32" s="281"/>
      <c r="B32" s="374"/>
      <c r="C32" s="53"/>
      <c r="D32" s="266"/>
      <c r="E32" s="232" t="s">
        <v>79</v>
      </c>
      <c r="F32" s="196" t="s">
        <v>80</v>
      </c>
      <c r="G32" s="194" t="s">
        <v>88</v>
      </c>
      <c r="H32" s="197"/>
      <c r="I32" s="305">
        <v>524.1</v>
      </c>
      <c r="J32" s="309"/>
      <c r="K32" s="78"/>
      <c r="L32" s="58"/>
      <c r="M32" s="361" t="str">
        <f>IF(I32&gt;K$30,"EXCESSIVAMENTE ELEVADO",IF(I32&lt;L$30,"INEXEQUÍVEL","VÁLIDO"))</f>
        <v>EXCESSIVAMENTE ELEVADO</v>
      </c>
      <c r="N32" s="345">
        <f>(Tabela134[[#This Row],[VALOR
UNIT.]]-J30)/J30</f>
        <v>0.50189133425034382</v>
      </c>
      <c r="O32" s="358" t="s">
        <v>462</v>
      </c>
      <c r="P32" s="349"/>
      <c r="Q32" s="348"/>
      <c r="R32" s="81"/>
      <c r="S32" s="81"/>
      <c r="T32" s="81"/>
      <c r="U32" s="81"/>
    </row>
    <row r="33" spans="1:26" ht="48" customHeight="1">
      <c r="A33" s="291">
        <v>15</v>
      </c>
      <c r="B33" s="297" t="s">
        <v>163</v>
      </c>
      <c r="C33" s="274" t="s">
        <v>7</v>
      </c>
      <c r="D33" s="293">
        <v>2</v>
      </c>
      <c r="E33" s="362" t="s">
        <v>454</v>
      </c>
      <c r="F33" s="196" t="s">
        <v>100</v>
      </c>
      <c r="G33" s="194" t="s">
        <v>455</v>
      </c>
      <c r="H33" s="198" t="s">
        <v>125</v>
      </c>
      <c r="I33" s="305">
        <v>339.63</v>
      </c>
      <c r="J33" s="372"/>
      <c r="K33" s="244"/>
      <c r="L33" s="373"/>
      <c r="M33" s="85" t="str">
        <f>IF(I33&gt;K$35,"EXCESSIVAMENTE ELEVADO",IF(I33&lt;L$35,"Inexequível","VÁLIDO"))</f>
        <v>EXCESSIVAMENTE ELEVADO</v>
      </c>
      <c r="N33" s="344"/>
      <c r="O33" s="408"/>
      <c r="P33" s="403"/>
      <c r="Q33" s="404"/>
      <c r="R33" s="81"/>
      <c r="S33" s="81"/>
      <c r="T33" s="548" t="s">
        <v>463</v>
      </c>
      <c r="U33" s="549"/>
      <c r="V33" s="549"/>
      <c r="W33" s="549"/>
      <c r="X33" s="549"/>
      <c r="Y33" s="527" t="s">
        <v>464</v>
      </c>
      <c r="Z33" s="528"/>
    </row>
    <row r="34" spans="1:26" ht="53.4" customHeight="1">
      <c r="A34" s="282"/>
      <c r="B34" s="376"/>
      <c r="C34" s="53"/>
      <c r="D34" s="266"/>
      <c r="E34" s="375" t="s">
        <v>79</v>
      </c>
      <c r="F34" s="326" t="s">
        <v>80</v>
      </c>
      <c r="G34" s="235" t="s">
        <v>88</v>
      </c>
      <c r="H34" s="236"/>
      <c r="I34" s="225">
        <v>524.1</v>
      </c>
      <c r="J34" s="379">
        <f>AVERAGE(I33:I34)</f>
        <v>431.86500000000001</v>
      </c>
      <c r="K34" s="380">
        <f>((25%*J34)+J34)</f>
        <v>539.83124999999995</v>
      </c>
      <c r="L34" s="381">
        <f>75%*J34</f>
        <v>323.89875000000001</v>
      </c>
      <c r="M34" s="85" t="str">
        <f>IF(I34&gt;Tabela134[[#This Row],[MÉDIA
valores]],"EXCESSIVAMENTE ELEVADO",IF(I34&lt;Tabela134[[#This Row],[MÉDIA
valores]],"Inexequível","VÁLIDO"))</f>
        <v>EXCESSIVAMENTE ELEVADO</v>
      </c>
      <c r="N34" s="344"/>
      <c r="O34" s="408"/>
      <c r="P34" s="405">
        <f>TRUNC(MEDIAN(I33:I34),2)</f>
        <v>431.86</v>
      </c>
      <c r="Q34" s="406">
        <f>Tabela134[[#This Row],[MÉDIAS/MEDIANA]]*D33</f>
        <v>863.72</v>
      </c>
      <c r="R34" s="81"/>
      <c r="S34" s="81"/>
      <c r="T34" s="377" t="s">
        <v>3</v>
      </c>
      <c r="U34" s="377" t="s">
        <v>465</v>
      </c>
      <c r="V34" s="399" t="s">
        <v>466</v>
      </c>
      <c r="W34" s="377" t="s">
        <v>467</v>
      </c>
      <c r="X34" s="390" t="s">
        <v>4</v>
      </c>
      <c r="Y34" s="392">
        <v>0.25</v>
      </c>
      <c r="Z34" s="383">
        <v>0.75</v>
      </c>
    </row>
    <row r="35" spans="1:26" ht="60.6" customHeight="1">
      <c r="A35" s="301"/>
      <c r="B35" s="290"/>
      <c r="C35" s="274"/>
      <c r="D35" s="275"/>
      <c r="E35" s="255" t="s">
        <v>113</v>
      </c>
      <c r="F35" s="192" t="s">
        <v>100</v>
      </c>
      <c r="G35" s="194" t="s">
        <v>112</v>
      </c>
      <c r="H35" s="192" t="s">
        <v>107</v>
      </c>
      <c r="I35" s="305">
        <v>187</v>
      </c>
      <c r="J35" s="372"/>
      <c r="K35" s="244"/>
      <c r="L35" s="373"/>
      <c r="M35" s="407" t="str">
        <f>IF(I35&gt;K$36,"EXCESSIVAMENTE ELEVADO",IF(I35&lt;L$36,"Inexequível","VÁLIDO"))</f>
        <v>Inexequível</v>
      </c>
      <c r="N35" s="344">
        <f>I35/$J$36</f>
        <v>0.51566291639091111</v>
      </c>
      <c r="O35" s="414" t="s">
        <v>203</v>
      </c>
      <c r="P35" s="351"/>
      <c r="Q35" s="350"/>
      <c r="R35" s="81"/>
      <c r="S35" s="81"/>
      <c r="T35" s="384">
        <f>AVERAGE(I33:I34)</f>
        <v>431.86500000000001</v>
      </c>
      <c r="U35" s="385">
        <f>_xlfn.STDEV.S(I33:I34)</f>
        <v>130.43998792548226</v>
      </c>
      <c r="V35" s="386">
        <f>(U35/T35)*100</f>
        <v>30.203880362030322</v>
      </c>
      <c r="W35" s="387" t="str">
        <f>IF(V35&gt;25,"Mediana","Média")</f>
        <v>Mediana</v>
      </c>
      <c r="X35" s="391">
        <f>MIN(I33:I34)</f>
        <v>339.63</v>
      </c>
      <c r="Y35" s="393" t="s">
        <v>468</v>
      </c>
      <c r="Z35" s="389" t="s">
        <v>469</v>
      </c>
    </row>
    <row r="36" spans="1:26" ht="54" customHeight="1">
      <c r="A36" s="54"/>
      <c r="B36" s="292" t="s">
        <v>83</v>
      </c>
      <c r="C36" s="53" t="s">
        <v>7</v>
      </c>
      <c r="D36" s="66">
        <v>12</v>
      </c>
      <c r="E36" s="362" t="s">
        <v>454</v>
      </c>
      <c r="F36" s="196" t="s">
        <v>100</v>
      </c>
      <c r="G36" s="194" t="s">
        <v>455</v>
      </c>
      <c r="H36" s="198" t="s">
        <v>125</v>
      </c>
      <c r="I36" s="305">
        <v>292.08</v>
      </c>
      <c r="J36" s="309">
        <f>AVERAGE(I35:I38)</f>
        <v>362.64</v>
      </c>
      <c r="K36" s="83">
        <f>((25%*J36)+J36)</f>
        <v>453.29999999999995</v>
      </c>
      <c r="L36" s="86">
        <f>75%*J36</f>
        <v>271.98</v>
      </c>
      <c r="M36" s="411" t="str">
        <f t="shared" ref="M36:M38" si="1">IF(I36&gt;K$36,"EXCESSIVAMENTE ELEVADO",IF(I36&lt;L$36,"Inexequível","VÁLIDO"))</f>
        <v>VÁLIDO</v>
      </c>
      <c r="N36" s="412">
        <f>I36/$J$36</f>
        <v>0.80542686962276633</v>
      </c>
      <c r="O36" s="413" t="s">
        <v>61</v>
      </c>
      <c r="P36" s="349">
        <f>TRUNC(MEDIAN(I35:I37),2)</f>
        <v>292.08</v>
      </c>
      <c r="Q36" s="348">
        <f>P36*D36</f>
        <v>3504.96</v>
      </c>
      <c r="R36" s="81"/>
      <c r="S36" s="81"/>
      <c r="T36" s="550"/>
      <c r="U36" s="550"/>
      <c r="V36" s="550"/>
      <c r="W36" s="550"/>
      <c r="X36" s="550"/>
      <c r="Y36" s="551"/>
      <c r="Z36" s="551"/>
    </row>
    <row r="37" spans="1:26" ht="51.6" customHeight="1">
      <c r="A37" s="281">
        <v>16</v>
      </c>
      <c r="B37" s="287" t="s">
        <v>495</v>
      </c>
      <c r="C37" s="294"/>
      <c r="D37" s="378"/>
      <c r="E37" s="273" t="s">
        <v>162</v>
      </c>
      <c r="F37" s="196" t="s">
        <v>80</v>
      </c>
      <c r="G37" s="194" t="s">
        <v>161</v>
      </c>
      <c r="H37" s="192"/>
      <c r="I37" s="305">
        <v>447.38</v>
      </c>
      <c r="J37" s="309"/>
      <c r="K37" s="83"/>
      <c r="L37" s="86"/>
      <c r="M37" s="411" t="str">
        <f t="shared" si="1"/>
        <v>VÁLIDO</v>
      </c>
      <c r="N37" s="412">
        <f>(I37-J36)/$J$36</f>
        <v>0.23367527024045889</v>
      </c>
      <c r="O37" s="413" t="s">
        <v>456</v>
      </c>
      <c r="P37" s="349"/>
      <c r="Q37" s="348"/>
      <c r="R37" s="81"/>
      <c r="S37" s="81"/>
      <c r="T37" s="415" t="s">
        <v>3</v>
      </c>
      <c r="U37" s="415" t="s">
        <v>465</v>
      </c>
      <c r="V37" s="418" t="s">
        <v>466</v>
      </c>
      <c r="W37" s="415" t="s">
        <v>467</v>
      </c>
      <c r="X37" s="419" t="s">
        <v>4</v>
      </c>
      <c r="Y37" s="394">
        <v>0.25</v>
      </c>
      <c r="Z37" s="395">
        <v>0.75</v>
      </c>
    </row>
    <row r="38" spans="1:26" ht="44.25" customHeight="1">
      <c r="A38" s="282"/>
      <c r="B38" s="287"/>
      <c r="C38" s="53"/>
      <c r="D38" s="66"/>
      <c r="E38" s="232" t="s">
        <v>79</v>
      </c>
      <c r="F38" s="196" t="s">
        <v>80</v>
      </c>
      <c r="G38" s="194" t="s">
        <v>88</v>
      </c>
      <c r="H38" s="198" t="s">
        <v>125</v>
      </c>
      <c r="I38" s="305">
        <v>524.1</v>
      </c>
      <c r="J38" s="310"/>
      <c r="K38" s="248"/>
      <c r="L38" s="311"/>
      <c r="M38" s="407" t="str">
        <f t="shared" si="1"/>
        <v>EXCESSIVAMENTE ELEVADO</v>
      </c>
      <c r="N38" s="344">
        <f>(I38-J36)/J36</f>
        <v>0.44523494374586381</v>
      </c>
      <c r="O38" s="400" t="s">
        <v>470</v>
      </c>
      <c r="P38" s="352"/>
      <c r="Q38" s="347"/>
      <c r="R38" s="81"/>
      <c r="S38" s="81"/>
      <c r="T38" s="384">
        <f>AVERAGE(I35:I37)</f>
        <v>308.82</v>
      </c>
      <c r="U38" s="385">
        <f>_xlfn.STDEV.S(I35:I37)</f>
        <v>130.99468233481838</v>
      </c>
      <c r="V38" s="386">
        <f>(U38/T38)*100</f>
        <v>42.417810483394334</v>
      </c>
      <c r="W38" s="387" t="str">
        <f>IF(V38&gt;25,"Mediana","Média")</f>
        <v>Mediana</v>
      </c>
      <c r="X38" s="388">
        <f>MIN(I35:I38)</f>
        <v>187</v>
      </c>
      <c r="Y38" s="396" t="s">
        <v>468</v>
      </c>
      <c r="Z38" s="397" t="s">
        <v>469</v>
      </c>
    </row>
    <row r="39" spans="1:26" ht="60" customHeight="1">
      <c r="A39" s="303"/>
      <c r="B39" s="296"/>
      <c r="C39" s="274"/>
      <c r="D39" s="293"/>
      <c r="E39" s="362" t="s">
        <v>454</v>
      </c>
      <c r="F39" s="196" t="s">
        <v>100</v>
      </c>
      <c r="G39" s="194" t="s">
        <v>455</v>
      </c>
      <c r="H39" s="198" t="s">
        <v>125</v>
      </c>
      <c r="I39" s="239">
        <v>839.36</v>
      </c>
      <c r="J39" s="328"/>
      <c r="K39" s="329"/>
      <c r="L39" s="330"/>
      <c r="M39" s="85" t="str">
        <f>IF(I39&gt;K$40,"EXCESSIVAMENTE ELEVADO",IF(I39&lt;L$40,"Inexequível","VÁLIDO"))</f>
        <v>Inexequível</v>
      </c>
      <c r="N39" s="344">
        <f>I39/$J$40</f>
        <v>0.5569473266879994</v>
      </c>
      <c r="O39" s="723" t="s">
        <v>160</v>
      </c>
      <c r="P39" s="351"/>
      <c r="Q39" s="351"/>
      <c r="R39" s="81"/>
      <c r="S39" s="81"/>
      <c r="T39" s="81"/>
      <c r="U39" s="81"/>
    </row>
    <row r="40" spans="1:26" ht="51" customHeight="1">
      <c r="A40" s="52">
        <v>17</v>
      </c>
      <c r="B40" s="374" t="s">
        <v>84</v>
      </c>
      <c r="C40" s="288" t="s">
        <v>69</v>
      </c>
      <c r="D40" s="302">
        <v>0.75</v>
      </c>
      <c r="E40" s="216" t="s">
        <v>79</v>
      </c>
      <c r="F40" s="230" t="s">
        <v>80</v>
      </c>
      <c r="G40" s="246" t="s">
        <v>88</v>
      </c>
      <c r="H40" s="198" t="s">
        <v>125</v>
      </c>
      <c r="I40" s="239">
        <v>1257.83</v>
      </c>
      <c r="J40" s="328">
        <f>AVERAGE(I39:I42)</f>
        <v>1507.0725000000002</v>
      </c>
      <c r="K40" s="439">
        <f>((25%*J40)+J40)</f>
        <v>1883.8406250000003</v>
      </c>
      <c r="L40" s="330">
        <f>75%*J40</f>
        <v>1130.3043750000002</v>
      </c>
      <c r="M40" s="306" t="str">
        <f t="shared" ref="M40:M42" si="2">IF(I40&gt;K$40,"EXCESSIVAMENTE ELEVADO",IF(I40&lt;L$40,"Inexequível","VÁLIDO"))</f>
        <v>VÁLIDO</v>
      </c>
      <c r="N40" s="412">
        <f>I40/$J$40</f>
        <v>0.83461810894963562</v>
      </c>
      <c r="O40" s="413" t="s">
        <v>457</v>
      </c>
      <c r="P40" s="351">
        <f>TRUNC(AVERAGE(I39:I41),2)</f>
        <v>1143.29</v>
      </c>
      <c r="Q40" s="351">
        <f>Tabela134[[#This Row],[MÉDIAS/MEDIANA]]*Tabela134[[#This Row],[QTD.]]</f>
        <v>857.46749999999997</v>
      </c>
      <c r="R40" s="81"/>
      <c r="S40" s="81"/>
      <c r="T40" s="659" t="s">
        <v>463</v>
      </c>
      <c r="U40" s="660"/>
      <c r="V40" s="660"/>
      <c r="W40" s="660"/>
      <c r="X40" s="661"/>
      <c r="Y40" s="527" t="s">
        <v>464</v>
      </c>
      <c r="Z40" s="528"/>
    </row>
    <row r="41" spans="1:26" ht="48.6" customHeight="1">
      <c r="A41" s="304"/>
      <c r="B41" s="287" t="s">
        <v>169</v>
      </c>
      <c r="C41" s="53"/>
      <c r="D41" s="266"/>
      <c r="E41" s="295" t="s">
        <v>199</v>
      </c>
      <c r="F41" s="196" t="s">
        <v>100</v>
      </c>
      <c r="G41" s="194" t="s">
        <v>200</v>
      </c>
      <c r="H41" s="192" t="s">
        <v>201</v>
      </c>
      <c r="I41" s="305">
        <v>1332.7</v>
      </c>
      <c r="J41" s="309"/>
      <c r="K41" s="78"/>
      <c r="L41" s="58"/>
      <c r="M41" s="306" t="str">
        <f t="shared" si="2"/>
        <v>VÁLIDO</v>
      </c>
      <c r="N41" s="412">
        <f>(I41/$J$40)</f>
        <v>0.88429720534347211</v>
      </c>
      <c r="O41" s="413" t="s">
        <v>457</v>
      </c>
      <c r="P41" s="349"/>
      <c r="Q41" s="349"/>
      <c r="R41" s="81"/>
      <c r="S41" s="81"/>
      <c r="T41" s="415" t="s">
        <v>3</v>
      </c>
      <c r="U41" s="415" t="s">
        <v>465</v>
      </c>
      <c r="V41" s="416" t="s">
        <v>466</v>
      </c>
      <c r="W41" s="415" t="s">
        <v>467</v>
      </c>
      <c r="X41" s="417" t="s">
        <v>4</v>
      </c>
      <c r="Y41" s="392">
        <v>0.25</v>
      </c>
      <c r="Z41" s="383">
        <v>0.75</v>
      </c>
    </row>
    <row r="42" spans="1:26" ht="61.95" customHeight="1">
      <c r="A42" s="304"/>
      <c r="B42" s="410"/>
      <c r="C42" s="55"/>
      <c r="D42" s="283"/>
      <c r="E42" s="233" t="s">
        <v>450</v>
      </c>
      <c r="F42" s="243" t="s">
        <v>100</v>
      </c>
      <c r="G42" s="218" t="s">
        <v>202</v>
      </c>
      <c r="H42" s="227"/>
      <c r="I42" s="241">
        <v>2598.4</v>
      </c>
      <c r="J42" s="309"/>
      <c r="K42" s="78"/>
      <c r="L42" s="58"/>
      <c r="M42" s="85" t="str">
        <f t="shared" si="2"/>
        <v>EXCESSIVAMENTE ELEVADO</v>
      </c>
      <c r="N42" s="371">
        <f>(I42-J40)/J40</f>
        <v>0.72413735901889242</v>
      </c>
      <c r="O42" s="414" t="s">
        <v>471</v>
      </c>
      <c r="P42" s="349"/>
      <c r="Q42" s="349"/>
      <c r="R42" s="81"/>
      <c r="S42" s="81"/>
      <c r="T42" s="384">
        <f>AVERAGE(I39:I41)</f>
        <v>1143.2966666666669</v>
      </c>
      <c r="U42" s="385">
        <f>_xlfn.STDEV.S(I39:I41)</f>
        <v>265.86557173378611</v>
      </c>
      <c r="V42" s="386">
        <f>(U42/T42)*100</f>
        <v>23.254294312685193</v>
      </c>
      <c r="W42" s="387" t="str">
        <f>IF(V42&gt;25,"Mediana","Média")</f>
        <v>Média</v>
      </c>
      <c r="X42" s="391">
        <f>MIN(I39:I42)</f>
        <v>839.36</v>
      </c>
      <c r="Y42" s="393" t="s">
        <v>468</v>
      </c>
      <c r="Z42" s="389" t="s">
        <v>469</v>
      </c>
    </row>
    <row r="43" spans="1:26" ht="70.95" customHeight="1">
      <c r="A43" s="274"/>
      <c r="B43" s="420"/>
      <c r="C43" s="288"/>
      <c r="D43" s="302"/>
      <c r="E43" s="362" t="s">
        <v>454</v>
      </c>
      <c r="F43" s="196" t="s">
        <v>100</v>
      </c>
      <c r="G43" s="194" t="s">
        <v>455</v>
      </c>
      <c r="H43" s="198" t="s">
        <v>125</v>
      </c>
      <c r="I43" s="305">
        <v>8.5</v>
      </c>
      <c r="J43" s="372"/>
      <c r="K43" s="244"/>
      <c r="L43" s="373"/>
      <c r="M43" s="367" t="str">
        <f>IF(I43&gt;K$44,"EXCESSIVAMENTE ELEVADO",IF(I43&lt;L$44,"Inexequível","VÁLIDO"))</f>
        <v>Inexequível</v>
      </c>
      <c r="N43" s="412">
        <f>Tabela134[[#This Row],[VALOR
UNIT.]]/J44</f>
        <v>0.72836332476435295</v>
      </c>
      <c r="O43" s="723" t="s">
        <v>160</v>
      </c>
      <c r="P43" s="354"/>
      <c r="Q43" s="346"/>
      <c r="R43" s="81"/>
      <c r="S43" s="81"/>
      <c r="T43" s="81"/>
      <c r="U43" s="81"/>
    </row>
    <row r="44" spans="1:26" ht="70.95" customHeight="1">
      <c r="A44" s="288">
        <v>18</v>
      </c>
      <c r="B44" s="422" t="s">
        <v>85</v>
      </c>
      <c r="C44" s="53" t="s">
        <v>82</v>
      </c>
      <c r="D44" s="266">
        <v>36</v>
      </c>
      <c r="E44" s="717" t="s">
        <v>172</v>
      </c>
      <c r="F44" s="200" t="s">
        <v>100</v>
      </c>
      <c r="G44" s="201" t="s">
        <v>171</v>
      </c>
      <c r="H44" s="192" t="s">
        <v>107</v>
      </c>
      <c r="I44" s="305">
        <v>9.7100000000000009</v>
      </c>
      <c r="J44" s="309">
        <f>AVERAGE(I43:I45)</f>
        <v>11.670000000000002</v>
      </c>
      <c r="K44" s="78">
        <f>((25%*J44)+J44)</f>
        <v>14.587500000000002</v>
      </c>
      <c r="L44" s="58">
        <f>75%*J44</f>
        <v>8.7525000000000013</v>
      </c>
      <c r="M44" s="367" t="str">
        <f t="shared" ref="M44:M45" si="3">IF(I44&gt;K$44,"EXCESSIVAMENTE ELEVADO",IF(I44&lt;L$44,"Inexequível","VÁLIDO"))</f>
        <v>VÁLIDO</v>
      </c>
      <c r="N44" s="412">
        <f>(I44/$J$44)</f>
        <v>0.8320479862896315</v>
      </c>
      <c r="O44" s="413" t="s">
        <v>474</v>
      </c>
      <c r="P44" s="349">
        <f>TRUNC(MEDIAN(I43:I45),2)</f>
        <v>9.7100000000000009</v>
      </c>
      <c r="Q44" s="348">
        <f>Tabela134[[#This Row],[MÉDIAS/MEDIANA]]*Tabela134[[#This Row],[QTD.]]</f>
        <v>349.56000000000006</v>
      </c>
      <c r="R44" s="81"/>
      <c r="S44" s="81"/>
      <c r="T44" s="415" t="s">
        <v>3</v>
      </c>
      <c r="U44" s="415" t="s">
        <v>465</v>
      </c>
      <c r="V44" s="416" t="s">
        <v>466</v>
      </c>
      <c r="W44" s="415" t="s">
        <v>467</v>
      </c>
      <c r="X44" s="417" t="s">
        <v>4</v>
      </c>
      <c r="Y44" s="392">
        <v>0.25</v>
      </c>
      <c r="Z44" s="383">
        <v>0.75</v>
      </c>
    </row>
    <row r="45" spans="1:26" ht="63.15" customHeight="1">
      <c r="A45" s="55"/>
      <c r="B45" s="421" t="s">
        <v>170</v>
      </c>
      <c r="C45" s="55"/>
      <c r="D45" s="283"/>
      <c r="E45" s="295" t="s">
        <v>79</v>
      </c>
      <c r="F45" s="200" t="s">
        <v>80</v>
      </c>
      <c r="G45" s="201" t="s">
        <v>88</v>
      </c>
      <c r="H45" s="198" t="s">
        <v>125</v>
      </c>
      <c r="I45" s="305">
        <v>16.8</v>
      </c>
      <c r="J45" s="309"/>
      <c r="K45" s="368"/>
      <c r="L45" s="86"/>
      <c r="M45" s="367" t="str">
        <f t="shared" si="3"/>
        <v>EXCESSIVAMENTE ELEVADO</v>
      </c>
      <c r="N45" s="371">
        <f>((I45-J$44)/J$44)</f>
        <v>0.43958868894601527</v>
      </c>
      <c r="O45" s="523" t="s">
        <v>472</v>
      </c>
      <c r="P45" s="349"/>
      <c r="Q45" s="348"/>
      <c r="R45" s="81"/>
      <c r="S45" s="81"/>
      <c r="T45" s="529">
        <f>AVERAGE(I43:I45)</f>
        <v>11.670000000000002</v>
      </c>
      <c r="U45" s="530">
        <f>_xlfn.STDEV.S(I43:I45)</f>
        <v>4.4837149775604574</v>
      </c>
      <c r="V45" s="531">
        <f>(U45/T45)*100</f>
        <v>38.420865274725422</v>
      </c>
      <c r="W45" s="532" t="str">
        <f>IF(V45&gt;25,"Mediana","Média")</f>
        <v>Mediana</v>
      </c>
      <c r="X45" s="533">
        <f>MIN(I42:I45)</f>
        <v>8.5</v>
      </c>
      <c r="Y45" s="534" t="s">
        <v>468</v>
      </c>
      <c r="Z45" s="535" t="s">
        <v>469</v>
      </c>
    </row>
    <row r="46" spans="1:26" ht="41.7" customHeight="1">
      <c r="A46" s="288">
        <v>19</v>
      </c>
      <c r="B46" s="297" t="s">
        <v>174</v>
      </c>
      <c r="C46" s="274" t="s">
        <v>86</v>
      </c>
      <c r="D46" s="293">
        <v>1</v>
      </c>
      <c r="E46" s="362" t="s">
        <v>454</v>
      </c>
      <c r="F46" s="196" t="s">
        <v>100</v>
      </c>
      <c r="G46" s="194" t="s">
        <v>455</v>
      </c>
      <c r="H46" s="198" t="s">
        <v>125</v>
      </c>
      <c r="I46" s="305">
        <v>17</v>
      </c>
      <c r="J46" s="312">
        <f>AVERAGE(I46:I47)</f>
        <v>21.6</v>
      </c>
      <c r="K46" s="434">
        <f>((25%*J46)+J46)</f>
        <v>27</v>
      </c>
      <c r="L46" s="435">
        <f>75%*J46</f>
        <v>16.200000000000003</v>
      </c>
      <c r="M46" s="85" t="str">
        <f>IF(I46&gt;K$46,"EXCESSIVAMENTE ELEVADO",IF(I46&lt;L$46,"INEXEQUÍVEL","VÁLIDO"))</f>
        <v>VÁLIDO</v>
      </c>
      <c r="N46" s="412">
        <f>I46/J46</f>
        <v>0.78703703703703698</v>
      </c>
      <c r="O46" s="437" t="s">
        <v>474</v>
      </c>
      <c r="P46" s="354">
        <f>ROUND(MEDIAN(I46:I47),2)</f>
        <v>21.6</v>
      </c>
      <c r="Q46" s="346">
        <f>Tabela134[[#This Row],[MÉDIAS/MEDIANA]]*Tabela134[[#This Row],[QTD.]]</f>
        <v>21.6</v>
      </c>
      <c r="R46" s="81"/>
      <c r="S46" s="81"/>
      <c r="T46" s="415" t="s">
        <v>3</v>
      </c>
      <c r="U46" s="415" t="s">
        <v>465</v>
      </c>
      <c r="V46" s="416" t="s">
        <v>466</v>
      </c>
      <c r="W46" s="415" t="s">
        <v>467</v>
      </c>
      <c r="X46" s="417" t="s">
        <v>4</v>
      </c>
      <c r="Y46" s="392">
        <v>0.25</v>
      </c>
      <c r="Z46" s="383">
        <v>0.75</v>
      </c>
    </row>
    <row r="47" spans="1:26" ht="41.7" customHeight="1">
      <c r="A47" s="53"/>
      <c r="B47" s="443" t="s">
        <v>173</v>
      </c>
      <c r="C47" s="53"/>
      <c r="D47" s="266"/>
      <c r="E47" s="193" t="s">
        <v>79</v>
      </c>
      <c r="F47" s="196" t="s">
        <v>80</v>
      </c>
      <c r="G47" s="194" t="s">
        <v>88</v>
      </c>
      <c r="H47" s="197"/>
      <c r="I47" s="305">
        <v>26.2</v>
      </c>
      <c r="J47" s="309"/>
      <c r="K47" s="78"/>
      <c r="L47" s="58"/>
      <c r="M47" s="85" t="str">
        <f>IF(I47&gt;K$46,"EXCESSIVAMENTE ELEVADO",IF(I47&lt;L$46,"INEXEQUÍVEL","VÁLIDO"))</f>
        <v>VÁLIDO</v>
      </c>
      <c r="N47" s="412">
        <f>(I47-J46)/J$46</f>
        <v>0.21296296296296285</v>
      </c>
      <c r="O47" s="438" t="s">
        <v>475</v>
      </c>
      <c r="P47" s="349"/>
      <c r="Q47" s="348"/>
      <c r="R47" s="81"/>
      <c r="S47" s="81"/>
      <c r="T47" s="384">
        <f>AVERAGE(I46:I47)</f>
        <v>21.6</v>
      </c>
      <c r="U47" s="385">
        <f>_xlfn.STDEV.S(I46:I47)</f>
        <v>6.5053823869162235</v>
      </c>
      <c r="V47" s="386">
        <f>(U47/T47)*100</f>
        <v>30.11751105053807</v>
      </c>
      <c r="W47" s="387" t="str">
        <f>IF(V47&gt;25,"Mediana","Média")</f>
        <v>Mediana</v>
      </c>
      <c r="X47" s="391">
        <f>MIN(I44:I47)</f>
        <v>9.7100000000000009</v>
      </c>
      <c r="Y47" s="393" t="s">
        <v>468</v>
      </c>
      <c r="Z47" s="389" t="s">
        <v>469</v>
      </c>
    </row>
    <row r="48" spans="1:26" ht="64.2" customHeight="1">
      <c r="A48" s="291"/>
      <c r="B48" s="297"/>
      <c r="C48" s="274"/>
      <c r="D48" s="293"/>
      <c r="E48" s="362" t="s">
        <v>454</v>
      </c>
      <c r="F48" s="196" t="s">
        <v>100</v>
      </c>
      <c r="G48" s="194" t="s">
        <v>455</v>
      </c>
      <c r="H48" s="198" t="s">
        <v>125</v>
      </c>
      <c r="I48" s="305">
        <v>136</v>
      </c>
      <c r="J48" s="312"/>
      <c r="K48" s="434"/>
      <c r="L48" s="435"/>
      <c r="M48" s="85" t="str">
        <f>IF(I48&gt;K$49,"EXCESSIVAMENTE ELEVADO",IF(I48&lt;L$49,"INEXEQUÍVEL","VÁLIDO"))</f>
        <v>INEXEQUÍVEL</v>
      </c>
      <c r="N48" s="447">
        <f>I48/J49</f>
        <v>0.7342091056325355</v>
      </c>
      <c r="O48" s="723" t="s">
        <v>160</v>
      </c>
      <c r="P48" s="401"/>
      <c r="Q48" s="346"/>
      <c r="R48" s="81"/>
      <c r="S48" s="81"/>
      <c r="T48" s="81"/>
      <c r="U48" s="81"/>
    </row>
    <row r="49" spans="1:26" ht="45.6" customHeight="1">
      <c r="A49" s="301">
        <v>20</v>
      </c>
      <c r="B49" s="409" t="s">
        <v>87</v>
      </c>
      <c r="C49" s="288" t="s">
        <v>77</v>
      </c>
      <c r="D49" s="302">
        <v>68</v>
      </c>
      <c r="E49" s="442" t="s">
        <v>177</v>
      </c>
      <c r="F49" s="243" t="s">
        <v>100</v>
      </c>
      <c r="G49" s="440" t="s">
        <v>176</v>
      </c>
      <c r="H49" s="227" t="s">
        <v>107</v>
      </c>
      <c r="I49" s="241">
        <v>157.69999999999999</v>
      </c>
      <c r="J49" s="328">
        <f>AVERAGE(I48:I50)</f>
        <v>185.23333333333335</v>
      </c>
      <c r="K49" s="439">
        <f>((25%*J49)+J49)</f>
        <v>231.54166666666669</v>
      </c>
      <c r="L49" s="441">
        <f>75%*J49</f>
        <v>138.92500000000001</v>
      </c>
      <c r="M49" s="85" t="str">
        <f>IF(I49&gt;K$49,"EXCESSIVAMENTE ELEVADO",IF(I49&lt;L$49,"INEXEQUÍVEL","VÁLIDO"))</f>
        <v>VÁLIDO</v>
      </c>
      <c r="N49" s="412">
        <f>(I49/J$49)</f>
        <v>0.85135864675184436</v>
      </c>
      <c r="O49" s="438" t="s">
        <v>475</v>
      </c>
      <c r="P49" s="423">
        <f>TRUNC(MEDIAN(I48:I50),2)</f>
        <v>157.69999999999999</v>
      </c>
      <c r="Q49" s="350">
        <f>Tabela134[[#This Row],[MÉDIAS/MEDIANA]]*Tabela134[[#This Row],[QTD.]]</f>
        <v>10723.599999999999</v>
      </c>
      <c r="R49" s="81"/>
      <c r="S49" s="81"/>
      <c r="T49" s="415" t="s">
        <v>3</v>
      </c>
      <c r="U49" s="415" t="s">
        <v>465</v>
      </c>
      <c r="V49" s="416" t="s">
        <v>466</v>
      </c>
      <c r="W49" s="415" t="s">
        <v>467</v>
      </c>
      <c r="X49" s="417" t="s">
        <v>4</v>
      </c>
      <c r="Y49" s="392">
        <v>0.25</v>
      </c>
      <c r="Z49" s="383">
        <v>0.75</v>
      </c>
    </row>
    <row r="50" spans="1:26" ht="66" customHeight="1">
      <c r="A50" s="282"/>
      <c r="B50" s="443" t="s">
        <v>175</v>
      </c>
      <c r="C50" s="53"/>
      <c r="D50" s="266"/>
      <c r="E50" s="220" t="s">
        <v>79</v>
      </c>
      <c r="F50" s="243" t="s">
        <v>80</v>
      </c>
      <c r="G50" s="218" t="s">
        <v>88</v>
      </c>
      <c r="H50" s="456" t="s">
        <v>125</v>
      </c>
      <c r="I50" s="241">
        <v>262</v>
      </c>
      <c r="J50" s="309"/>
      <c r="K50" s="78"/>
      <c r="L50" s="58"/>
      <c r="M50" s="444" t="str">
        <f>IF(I50&gt;K$49,"EXCESSIVAMENTE ELEVADO",IF(I50&lt;L$49,"Inexequível","VÁLIDO"))</f>
        <v>EXCESSIVAMENTE ELEVADO</v>
      </c>
      <c r="N50" s="445">
        <f>((I50-J$49)/J$49)</f>
        <v>0.41443224761561981</v>
      </c>
      <c r="O50" s="448" t="s">
        <v>472</v>
      </c>
      <c r="P50" s="402"/>
      <c r="Q50" s="347"/>
      <c r="R50" s="81"/>
      <c r="S50" s="81"/>
      <c r="T50" s="384">
        <f>AVERAGE(I48:I50)</f>
        <v>185.23333333333335</v>
      </c>
      <c r="U50" s="385">
        <f>_xlfn.STDEV.S(I48:I50)</f>
        <v>67.361438028988999</v>
      </c>
      <c r="V50" s="386">
        <f>(U50/T50)*100</f>
        <v>36.365721448077558</v>
      </c>
      <c r="W50" s="387" t="str">
        <f>IF(V50&gt;25,"Mediana","Média")</f>
        <v>Mediana</v>
      </c>
      <c r="X50" s="391">
        <f>MIN(I47:I50)</f>
        <v>26.2</v>
      </c>
      <c r="Y50" s="393" t="s">
        <v>468</v>
      </c>
      <c r="Z50" s="389" t="s">
        <v>469</v>
      </c>
    </row>
    <row r="51" spans="1:26" ht="45.6" customHeight="1">
      <c r="A51" s="259">
        <v>21</v>
      </c>
      <c r="B51" s="454" t="s">
        <v>89</v>
      </c>
      <c r="C51" s="274" t="s">
        <v>86</v>
      </c>
      <c r="D51" s="293">
        <v>5</v>
      </c>
      <c r="E51" s="449" t="s">
        <v>454</v>
      </c>
      <c r="F51" s="450" t="s">
        <v>100</v>
      </c>
      <c r="G51" s="451" t="s">
        <v>455</v>
      </c>
      <c r="H51" s="452" t="s">
        <v>125</v>
      </c>
      <c r="I51" s="305">
        <v>47.55</v>
      </c>
      <c r="J51" s="457">
        <f>AVERAGE(I51:I52)</f>
        <v>60.46</v>
      </c>
      <c r="K51" s="460">
        <f>((25%*J51)+J51)</f>
        <v>75.575000000000003</v>
      </c>
      <c r="L51" s="458">
        <f>75%*J51</f>
        <v>45.344999999999999</v>
      </c>
      <c r="M51" s="459" t="str">
        <f>IF(I51&gt;K$51,"EXCESSIVAMENTE ELEVADO",IF(I51&lt;L$51,"INEXEQUÍVEL","VÁLIDO"))</f>
        <v>VÁLIDO</v>
      </c>
      <c r="N51" s="412">
        <f>I51/J51</f>
        <v>0.78647039364869331</v>
      </c>
      <c r="O51" s="437" t="s">
        <v>474</v>
      </c>
      <c r="P51" s="354">
        <f>TRUNC(MEDIAN(I51:I52),2)</f>
        <v>60.46</v>
      </c>
      <c r="Q51" s="577">
        <f>P51*D51</f>
        <v>302.3</v>
      </c>
      <c r="R51" s="81"/>
      <c r="S51" s="81"/>
      <c r="T51" s="415" t="s">
        <v>3</v>
      </c>
      <c r="U51" s="415" t="s">
        <v>465</v>
      </c>
      <c r="V51" s="416" t="s">
        <v>466</v>
      </c>
      <c r="W51" s="415" t="s">
        <v>467</v>
      </c>
      <c r="X51" s="417" t="s">
        <v>4</v>
      </c>
      <c r="Y51" s="392">
        <v>0.25</v>
      </c>
      <c r="Z51" s="383">
        <v>0.75</v>
      </c>
    </row>
    <row r="52" spans="1:26" ht="45.6" customHeight="1">
      <c r="A52" s="52"/>
      <c r="B52" s="455" t="s">
        <v>182</v>
      </c>
      <c r="C52" s="55"/>
      <c r="D52" s="283"/>
      <c r="E52" s="453" t="s">
        <v>79</v>
      </c>
      <c r="F52" s="230" t="s">
        <v>80</v>
      </c>
      <c r="G52" s="246" t="s">
        <v>88</v>
      </c>
      <c r="H52" s="230"/>
      <c r="I52" s="239">
        <v>73.37</v>
      </c>
      <c r="J52" s="325"/>
      <c r="K52" s="173"/>
      <c r="L52" s="248"/>
      <c r="M52" s="459" t="str">
        <f>IF(I52&gt;K$51,"EXCESSIVAMENTE ELEVADO",IF(I52&lt;L$51,"INEXEQUÍVEL","VÁLIDO"))</f>
        <v>VÁLIDO</v>
      </c>
      <c r="N52" s="412">
        <f>(I52-J51)/J$46</f>
        <v>0.59768518518518532</v>
      </c>
      <c r="O52" s="438" t="s">
        <v>475</v>
      </c>
      <c r="P52" s="578"/>
      <c r="Q52" s="577"/>
      <c r="R52" s="81"/>
      <c r="S52" s="81"/>
      <c r="T52" s="384">
        <f>AVERAGE(I51:I52)</f>
        <v>60.46</v>
      </c>
      <c r="U52" s="385">
        <f>_xlfn.STDEV.S(I51:I52)</f>
        <v>18.257497090236676</v>
      </c>
      <c r="V52" s="386">
        <f>(U52/T52)*100</f>
        <v>30.197646527020634</v>
      </c>
      <c r="W52" s="387" t="str">
        <f>IF(V52&gt;25,"Mediana","Média")</f>
        <v>Mediana</v>
      </c>
      <c r="X52" s="391">
        <f>MIN(I49:I52)</f>
        <v>47.55</v>
      </c>
      <c r="Y52" s="393" t="s">
        <v>468</v>
      </c>
      <c r="Z52" s="389" t="s">
        <v>469</v>
      </c>
    </row>
    <row r="53" spans="1:26" ht="52.2" customHeight="1">
      <c r="A53" s="279"/>
      <c r="B53" s="300"/>
      <c r="C53" s="53"/>
      <c r="D53" s="266"/>
      <c r="E53" s="449" t="s">
        <v>454</v>
      </c>
      <c r="F53" s="450" t="s">
        <v>100</v>
      </c>
      <c r="G53" s="451" t="s">
        <v>455</v>
      </c>
      <c r="H53" s="452" t="s">
        <v>125</v>
      </c>
      <c r="I53" s="305">
        <v>1.4</v>
      </c>
      <c r="J53" s="372"/>
      <c r="K53" s="244"/>
      <c r="L53" s="373"/>
      <c r="M53" s="459" t="str">
        <f>IF(I53&gt;K$55,"EXCESSIVAMENTE ELEVADO",IF(I53&lt;L$55,"INEXEQUÍVEL","VÁLIDO"))</f>
        <v>INEXEQUÍVEL</v>
      </c>
      <c r="N53" s="471">
        <f>I53/J55</f>
        <v>0.68965517241379293</v>
      </c>
      <c r="O53" s="400" t="s">
        <v>474</v>
      </c>
      <c r="P53" s="353"/>
      <c r="Q53" s="382"/>
      <c r="R53" s="81"/>
      <c r="S53" s="81"/>
      <c r="T53" s="81"/>
      <c r="U53" s="81"/>
    </row>
    <row r="54" spans="1:26" ht="52.2" customHeight="1">
      <c r="A54" s="281"/>
      <c r="B54" s="300"/>
      <c r="C54" s="53"/>
      <c r="D54" s="266"/>
      <c r="E54" s="255" t="s">
        <v>105</v>
      </c>
      <c r="F54" s="192" t="s">
        <v>100</v>
      </c>
      <c r="G54" s="194" t="s">
        <v>106</v>
      </c>
      <c r="H54" s="192" t="s">
        <v>107</v>
      </c>
      <c r="I54" s="305">
        <v>1.55</v>
      </c>
      <c r="J54" s="309"/>
      <c r="K54" s="78"/>
      <c r="L54" s="58"/>
      <c r="M54" s="459" t="str">
        <f t="shared" ref="M54:M58" si="4">IF(I54&gt;K$55,"EXCESSIVAMENTE ELEVADO",IF(I54&lt;L$55,"INEXEQUÍVEL","VÁLIDO"))</f>
        <v>VÁLIDO</v>
      </c>
      <c r="N54" s="412">
        <f>I54/J$55</f>
        <v>0.76354679802955661</v>
      </c>
      <c r="O54" s="437" t="s">
        <v>474</v>
      </c>
      <c r="P54" s="349"/>
      <c r="Q54" s="348"/>
      <c r="R54" s="81"/>
      <c r="S54" s="81"/>
      <c r="T54" s="524" t="s">
        <v>463</v>
      </c>
      <c r="U54" s="525"/>
      <c r="V54" s="525"/>
      <c r="W54" s="525"/>
      <c r="X54" s="525"/>
      <c r="Y54" s="527" t="s">
        <v>464</v>
      </c>
      <c r="Z54" s="528"/>
    </row>
    <row r="55" spans="1:26" ht="57.6" customHeight="1">
      <c r="A55" s="301">
        <v>22</v>
      </c>
      <c r="B55" s="299" t="s">
        <v>90</v>
      </c>
      <c r="C55" s="288" t="s">
        <v>75</v>
      </c>
      <c r="D55" s="302">
        <v>100</v>
      </c>
      <c r="E55" s="255" t="s">
        <v>101</v>
      </c>
      <c r="F55" s="192" t="s">
        <v>100</v>
      </c>
      <c r="G55" s="194" t="s">
        <v>102</v>
      </c>
      <c r="H55" s="192"/>
      <c r="I55" s="305">
        <v>1.83</v>
      </c>
      <c r="J55" s="309">
        <f>AVERAGE(I53:I58)</f>
        <v>2.0300000000000002</v>
      </c>
      <c r="K55" s="83">
        <f>((25%*J55)+J55)</f>
        <v>2.5375000000000005</v>
      </c>
      <c r="L55" s="86">
        <f>75%*J55</f>
        <v>1.5225000000000002</v>
      </c>
      <c r="M55" s="459" t="str">
        <f t="shared" si="4"/>
        <v>VÁLIDO</v>
      </c>
      <c r="N55" s="412">
        <f>I55/J55</f>
        <v>0.90147783251231517</v>
      </c>
      <c r="O55" s="437" t="s">
        <v>474</v>
      </c>
      <c r="P55" s="349">
        <f>TRUNC(AVERAGE(I54:I57),2)</f>
        <v>1.95</v>
      </c>
      <c r="Q55" s="348">
        <f>P55*D55</f>
        <v>195</v>
      </c>
      <c r="R55" s="81"/>
      <c r="S55" s="81"/>
      <c r="T55" s="415" t="s">
        <v>3</v>
      </c>
      <c r="U55" s="415" t="s">
        <v>465</v>
      </c>
      <c r="V55" s="416" t="s">
        <v>466</v>
      </c>
      <c r="W55" s="415" t="s">
        <v>467</v>
      </c>
      <c r="X55" s="417" t="s">
        <v>4</v>
      </c>
      <c r="Y55" s="392">
        <v>0.25</v>
      </c>
      <c r="Z55" s="383">
        <v>0.75</v>
      </c>
    </row>
    <row r="56" spans="1:26" ht="54.6" customHeight="1">
      <c r="A56" s="281"/>
      <c r="B56" s="300" t="s">
        <v>420</v>
      </c>
      <c r="C56" s="53"/>
      <c r="D56" s="266"/>
      <c r="E56" s="252" t="s">
        <v>79</v>
      </c>
      <c r="F56" s="192" t="s">
        <v>80</v>
      </c>
      <c r="G56" s="194" t="s">
        <v>88</v>
      </c>
      <c r="H56" s="452" t="s">
        <v>125</v>
      </c>
      <c r="I56" s="305">
        <v>2.1</v>
      </c>
      <c r="J56" s="309"/>
      <c r="K56" s="78"/>
      <c r="L56" s="58"/>
      <c r="M56" s="459" t="str">
        <f t="shared" si="4"/>
        <v>VÁLIDO</v>
      </c>
      <c r="N56" s="412">
        <f>(I56-J55)/J$46</f>
        <v>3.2407407407407333E-3</v>
      </c>
      <c r="O56" s="438" t="s">
        <v>475</v>
      </c>
      <c r="P56" s="349"/>
      <c r="Q56" s="348"/>
      <c r="R56" s="81"/>
      <c r="S56" s="81"/>
      <c r="T56" s="384">
        <f>AVERAGE(I54:I57)</f>
        <v>1.9525000000000001</v>
      </c>
      <c r="U56" s="385">
        <f>_xlfn.STDEV.S(I54:I57)</f>
        <v>0.33728079300982022</v>
      </c>
      <c r="V56" s="386">
        <f>(U56/T56)*100</f>
        <v>17.274304379504237</v>
      </c>
      <c r="W56" s="387" t="str">
        <f>IF(V56&gt;25,"Mediana","Média")</f>
        <v>Média</v>
      </c>
      <c r="X56" s="391">
        <f>MIN(I53:I56)</f>
        <v>1.4</v>
      </c>
      <c r="Y56" s="393" t="s">
        <v>468</v>
      </c>
      <c r="Z56" s="389" t="s">
        <v>469</v>
      </c>
    </row>
    <row r="57" spans="1:26" ht="54.6" customHeight="1">
      <c r="A57" s="281"/>
      <c r="B57" s="300"/>
      <c r="C57" s="53"/>
      <c r="D57" s="266"/>
      <c r="E57" s="255" t="s">
        <v>104</v>
      </c>
      <c r="F57" s="192" t="s">
        <v>100</v>
      </c>
      <c r="G57" s="194" t="s">
        <v>103</v>
      </c>
      <c r="H57" s="192"/>
      <c r="I57" s="305">
        <v>2.33</v>
      </c>
      <c r="J57" s="309"/>
      <c r="K57" s="78"/>
      <c r="L57" s="58"/>
      <c r="M57" s="459" t="str">
        <f t="shared" si="4"/>
        <v>VÁLIDO</v>
      </c>
      <c r="N57" s="412">
        <f>(I57-J56)/J$46</f>
        <v>0.10787037037037037</v>
      </c>
      <c r="O57" s="438" t="s">
        <v>475</v>
      </c>
      <c r="P57" s="349"/>
      <c r="Q57" s="348"/>
      <c r="R57" s="81"/>
      <c r="S57" s="81"/>
      <c r="T57" s="81"/>
      <c r="U57" s="81"/>
    </row>
    <row r="58" spans="1:26" ht="54.6" customHeight="1">
      <c r="A58" s="282"/>
      <c r="B58" s="249"/>
      <c r="C58" s="55"/>
      <c r="D58" s="283"/>
      <c r="E58" s="255" t="s">
        <v>178</v>
      </c>
      <c r="F58" s="192" t="s">
        <v>100</v>
      </c>
      <c r="G58" s="194" t="s">
        <v>179</v>
      </c>
      <c r="H58" s="198" t="s">
        <v>125</v>
      </c>
      <c r="I58" s="305">
        <v>2.97</v>
      </c>
      <c r="J58" s="309"/>
      <c r="K58" s="78"/>
      <c r="L58" s="58"/>
      <c r="M58" s="459" t="str">
        <f t="shared" si="4"/>
        <v>EXCESSIVAMENTE ELEVADO</v>
      </c>
      <c r="N58" s="445">
        <f>(I58-J55)/J55</f>
        <v>0.46305418719211816</v>
      </c>
      <c r="O58" s="448" t="s">
        <v>476</v>
      </c>
      <c r="P58" s="352"/>
      <c r="Q58" s="347"/>
      <c r="R58" s="81"/>
      <c r="S58" s="81"/>
      <c r="T58" s="81"/>
      <c r="U58" s="81"/>
    </row>
    <row r="59" spans="1:26" ht="51.6" customHeight="1">
      <c r="A59" s="53"/>
      <c r="B59" s="298"/>
      <c r="C59" s="56"/>
      <c r="D59" s="280"/>
      <c r="E59" s="449" t="s">
        <v>454</v>
      </c>
      <c r="F59" s="450" t="s">
        <v>100</v>
      </c>
      <c r="G59" s="451" t="s">
        <v>455</v>
      </c>
      <c r="H59" s="452" t="s">
        <v>125</v>
      </c>
      <c r="I59" s="305">
        <v>1.4</v>
      </c>
      <c r="J59" s="372"/>
      <c r="K59" s="244"/>
      <c r="L59" s="373"/>
      <c r="M59" s="459" t="str">
        <f>IF(I59&gt;K$55,"EXCESSIVAMENTE ELEVADO",IF(I59&lt;L$55,"INEXEQUÍVEL","VÁLIDO"))</f>
        <v>INEXEQUÍVEL</v>
      </c>
      <c r="N59" s="471">
        <f>I59/J61</f>
        <v>0.68965517241379293</v>
      </c>
      <c r="O59" s="400" t="s">
        <v>474</v>
      </c>
      <c r="P59" s="353"/>
      <c r="Q59" s="382"/>
      <c r="R59" s="81"/>
      <c r="S59" s="81"/>
      <c r="T59" s="541"/>
      <c r="U59" s="541"/>
    </row>
    <row r="60" spans="1:26" ht="51.6" customHeight="1">
      <c r="A60" s="53"/>
      <c r="B60" s="300"/>
      <c r="C60" s="53"/>
      <c r="D60" s="266"/>
      <c r="E60" s="363" t="s">
        <v>105</v>
      </c>
      <c r="F60" s="230" t="s">
        <v>100</v>
      </c>
      <c r="G60" s="246" t="s">
        <v>106</v>
      </c>
      <c r="H60" s="230" t="s">
        <v>107</v>
      </c>
      <c r="I60" s="239">
        <v>1.55</v>
      </c>
      <c r="J60" s="309"/>
      <c r="K60" s="78"/>
      <c r="L60" s="58"/>
      <c r="M60" s="459" t="str">
        <f t="shared" ref="M60:M64" si="5">IF(I60&gt;K$55,"EXCESSIVAMENTE ELEVADO",IF(I60&lt;L$55,"INEXEQUÍVEL","VÁLIDO"))</f>
        <v>VÁLIDO</v>
      </c>
      <c r="N60" s="412">
        <f>I60/J$61</f>
        <v>0.76354679802955661</v>
      </c>
      <c r="O60" s="437" t="s">
        <v>474</v>
      </c>
      <c r="P60" s="349"/>
      <c r="Q60" s="348"/>
      <c r="R60" s="81"/>
      <c r="S60" s="81"/>
      <c r="T60" s="524" t="s">
        <v>463</v>
      </c>
      <c r="U60" s="525"/>
      <c r="V60" s="525"/>
      <c r="W60" s="525"/>
      <c r="X60" s="525"/>
      <c r="Y60" s="527" t="s">
        <v>464</v>
      </c>
      <c r="Z60" s="528"/>
    </row>
    <row r="61" spans="1:26" ht="55.2" customHeight="1">
      <c r="A61" s="53">
        <v>23</v>
      </c>
      <c r="B61" s="299" t="s">
        <v>91</v>
      </c>
      <c r="C61" s="288" t="s">
        <v>75</v>
      </c>
      <c r="D61" s="302">
        <v>100</v>
      </c>
      <c r="E61" s="364" t="s">
        <v>101</v>
      </c>
      <c r="F61" s="192" t="s">
        <v>100</v>
      </c>
      <c r="G61" s="194" t="s">
        <v>102</v>
      </c>
      <c r="H61" s="192"/>
      <c r="I61" s="305">
        <v>1.83</v>
      </c>
      <c r="J61" s="309">
        <f>AVERAGE(I59:I64)</f>
        <v>2.0300000000000002</v>
      </c>
      <c r="K61" s="83">
        <f>((25%*J61)+J61)</f>
        <v>2.5375000000000005</v>
      </c>
      <c r="L61" s="86">
        <f>75%*J61</f>
        <v>1.5225000000000002</v>
      </c>
      <c r="M61" s="459" t="str">
        <f t="shared" si="5"/>
        <v>VÁLIDO</v>
      </c>
      <c r="N61" s="412">
        <f t="shared" ref="N61" si="6">I61/J$61</f>
        <v>0.90147783251231517</v>
      </c>
      <c r="O61" s="437" t="s">
        <v>474</v>
      </c>
      <c r="P61" s="349">
        <f>TRUNC(AVERAGE(I60:I63),2)</f>
        <v>1.95</v>
      </c>
      <c r="Q61" s="348">
        <f>P61*D61</f>
        <v>195</v>
      </c>
      <c r="R61" s="81"/>
      <c r="S61" s="81"/>
      <c r="T61" s="415" t="s">
        <v>3</v>
      </c>
      <c r="U61" s="415" t="s">
        <v>465</v>
      </c>
      <c r="V61" s="416" t="s">
        <v>466</v>
      </c>
      <c r="W61" s="415" t="s">
        <v>467</v>
      </c>
      <c r="X61" s="417" t="s">
        <v>4</v>
      </c>
      <c r="Y61" s="392">
        <v>0.25</v>
      </c>
      <c r="Z61" s="383">
        <v>0.75</v>
      </c>
    </row>
    <row r="62" spans="1:26" ht="45.6" customHeight="1">
      <c r="A62" s="53"/>
      <c r="B62" s="300" t="s">
        <v>419</v>
      </c>
      <c r="C62" s="53"/>
      <c r="D62" s="266"/>
      <c r="E62" s="192" t="s">
        <v>79</v>
      </c>
      <c r="F62" s="192" t="s">
        <v>80</v>
      </c>
      <c r="G62" s="194" t="s">
        <v>88</v>
      </c>
      <c r="H62" s="192"/>
      <c r="I62" s="305">
        <v>2.1</v>
      </c>
      <c r="J62" s="309"/>
      <c r="K62" s="78"/>
      <c r="L62" s="58"/>
      <c r="M62" s="459" t="str">
        <f t="shared" si="5"/>
        <v>VÁLIDO</v>
      </c>
      <c r="N62" s="412">
        <f>(I62-J61)/J$61</f>
        <v>3.4482758620689571E-2</v>
      </c>
      <c r="O62" s="438" t="s">
        <v>475</v>
      </c>
      <c r="P62" s="349"/>
      <c r="Q62" s="348"/>
      <c r="R62" s="81"/>
      <c r="S62" s="81"/>
      <c r="T62" s="384">
        <f>AVERAGE(I60:I63)</f>
        <v>1.9525000000000001</v>
      </c>
      <c r="U62" s="385">
        <f>_xlfn.STDEV.S(I60:I63)</f>
        <v>0.33728079300982022</v>
      </c>
      <c r="V62" s="386">
        <f>(U62/T62)*100</f>
        <v>17.274304379504237</v>
      </c>
      <c r="W62" s="387" t="str">
        <f>IF(V62&gt;25,"Mediana","Média")</f>
        <v>Média</v>
      </c>
      <c r="X62" s="533">
        <f>MIN(I59:I62)</f>
        <v>1.4</v>
      </c>
      <c r="Y62" s="534" t="s">
        <v>468</v>
      </c>
      <c r="Z62" s="389" t="s">
        <v>469</v>
      </c>
    </row>
    <row r="63" spans="1:26" ht="56.4" customHeight="1">
      <c r="A63" s="53"/>
      <c r="B63" s="300"/>
      <c r="C63" s="53"/>
      <c r="D63" s="266"/>
      <c r="E63" s="364" t="s">
        <v>104</v>
      </c>
      <c r="F63" s="192" t="s">
        <v>100</v>
      </c>
      <c r="G63" s="194" t="s">
        <v>103</v>
      </c>
      <c r="H63" s="192"/>
      <c r="I63" s="305">
        <v>2.33</v>
      </c>
      <c r="J63" s="309"/>
      <c r="K63" s="78"/>
      <c r="L63" s="58"/>
      <c r="M63" s="459" t="str">
        <f t="shared" si="5"/>
        <v>VÁLIDO</v>
      </c>
      <c r="N63" s="412">
        <f>(I63-J61)/J$61</f>
        <v>0.147783251231527</v>
      </c>
      <c r="O63" s="438" t="s">
        <v>475</v>
      </c>
      <c r="P63" s="349"/>
      <c r="Q63" s="348"/>
      <c r="R63" s="81"/>
      <c r="S63" s="81"/>
      <c r="T63" s="81"/>
      <c r="U63" s="81"/>
    </row>
    <row r="64" spans="1:26" ht="51.6" customHeight="1">
      <c r="A64" s="53"/>
      <c r="B64" s="254"/>
      <c r="C64" s="53"/>
      <c r="D64" s="266"/>
      <c r="E64" s="251" t="s">
        <v>178</v>
      </c>
      <c r="F64" s="227" t="s">
        <v>100</v>
      </c>
      <c r="G64" s="218" t="s">
        <v>179</v>
      </c>
      <c r="H64" s="219" t="s">
        <v>125</v>
      </c>
      <c r="I64" s="241">
        <v>2.97</v>
      </c>
      <c r="J64" s="309"/>
      <c r="K64" s="78"/>
      <c r="L64" s="58"/>
      <c r="M64" s="465" t="str">
        <f t="shared" si="5"/>
        <v>EXCESSIVAMENTE ELEVADO</v>
      </c>
      <c r="N64" s="466">
        <f>(I64-J61)/J61</f>
        <v>0.46305418719211816</v>
      </c>
      <c r="O64" s="467" t="s">
        <v>476</v>
      </c>
      <c r="P64" s="349"/>
      <c r="Q64" s="348"/>
      <c r="R64" s="81"/>
      <c r="S64" s="81"/>
      <c r="T64" s="81"/>
      <c r="U64" s="81"/>
    </row>
    <row r="65" spans="1:26" ht="47.4" customHeight="1">
      <c r="A65" s="56"/>
      <c r="B65" s="250"/>
      <c r="C65" s="56"/>
      <c r="D65" s="242"/>
      <c r="E65" s="461" t="s">
        <v>454</v>
      </c>
      <c r="F65" s="462" t="s">
        <v>100</v>
      </c>
      <c r="G65" s="463" t="s">
        <v>455</v>
      </c>
      <c r="H65" s="464" t="s">
        <v>125</v>
      </c>
      <c r="I65" s="241">
        <v>1.4</v>
      </c>
      <c r="J65" s="372"/>
      <c r="K65" s="244"/>
      <c r="L65" s="373"/>
      <c r="M65" s="459" t="str">
        <f>IF(I65&gt;K$67,"EXCESSIVAMENTE ELEVADO",IF(I65&lt;L$67,"INEXEQUÍVEL","VÁLIDO"))</f>
        <v>INEXEQUÍVEL</v>
      </c>
      <c r="N65" s="471">
        <f>I65/J67</f>
        <v>0.68965517241379293</v>
      </c>
      <c r="O65" s="472" t="s">
        <v>474</v>
      </c>
      <c r="P65" s="353"/>
      <c r="Q65" s="382"/>
      <c r="R65" s="81"/>
      <c r="S65" s="81"/>
      <c r="T65" s="81"/>
      <c r="U65" s="81"/>
    </row>
    <row r="66" spans="1:26" ht="47.4" customHeight="1">
      <c r="A66" s="53"/>
      <c r="B66" s="254"/>
      <c r="C66" s="53"/>
      <c r="D66" s="66"/>
      <c r="E66" s="364" t="s">
        <v>105</v>
      </c>
      <c r="F66" s="192" t="s">
        <v>100</v>
      </c>
      <c r="G66" s="194" t="s">
        <v>106</v>
      </c>
      <c r="H66" s="192" t="s">
        <v>107</v>
      </c>
      <c r="I66" s="195">
        <v>1.55</v>
      </c>
      <c r="J66" s="309"/>
      <c r="K66" s="83"/>
      <c r="L66" s="86"/>
      <c r="M66" s="459" t="str">
        <f>IF(I66&gt;K$67,"EXCESSIVAMENTE ELEVADO",IF(I66&lt;L$67,"INEXEQUÍVEL","VÁLIDO"))</f>
        <v>VÁLIDO</v>
      </c>
      <c r="N66" s="412">
        <f>I66/J$67</f>
        <v>0.76354679802955661</v>
      </c>
      <c r="O66" s="413" t="s">
        <v>474</v>
      </c>
      <c r="P66" s="349"/>
      <c r="Q66" s="348"/>
      <c r="R66" s="81"/>
      <c r="S66" s="81"/>
      <c r="T66" s="524" t="s">
        <v>463</v>
      </c>
      <c r="U66" s="525"/>
      <c r="V66" s="525"/>
      <c r="W66" s="525"/>
      <c r="X66" s="525"/>
      <c r="Y66" s="527" t="s">
        <v>464</v>
      </c>
      <c r="Z66" s="528"/>
    </row>
    <row r="67" spans="1:26" ht="67.2" customHeight="1">
      <c r="A67" s="53">
        <v>24</v>
      </c>
      <c r="B67" s="253" t="s">
        <v>92</v>
      </c>
      <c r="C67" s="53" t="s">
        <v>75</v>
      </c>
      <c r="D67" s="66">
        <v>150</v>
      </c>
      <c r="E67" s="362" t="s">
        <v>101</v>
      </c>
      <c r="F67" s="192" t="s">
        <v>100</v>
      </c>
      <c r="G67" s="194" t="s">
        <v>102</v>
      </c>
      <c r="H67" s="192"/>
      <c r="I67" s="305">
        <v>1.83</v>
      </c>
      <c r="J67" s="309">
        <f>AVERAGE(I65:I70)</f>
        <v>2.0300000000000002</v>
      </c>
      <c r="K67" s="78">
        <f>((25%*J67)+J67)</f>
        <v>2.5375000000000005</v>
      </c>
      <c r="L67" s="58">
        <f>75%*J67</f>
        <v>1.5225000000000002</v>
      </c>
      <c r="M67" s="459" t="str">
        <f t="shared" ref="M67" si="7">IF(I67&gt;K$55,"EXCESSIVAMENTE ELEVADO",IF(I67&lt;L$55,"INEXEQUÍVEL","VÁLIDO"))</f>
        <v>VÁLIDO</v>
      </c>
      <c r="N67" s="412">
        <f t="shared" ref="N67" si="8">I67/J$67</f>
        <v>0.90147783251231517</v>
      </c>
      <c r="O67" s="413" t="s">
        <v>474</v>
      </c>
      <c r="P67" s="349">
        <f>TRUNC(AVERAGE(I66:I69),2)</f>
        <v>1.95</v>
      </c>
      <c r="Q67" s="348">
        <f>P67*D67</f>
        <v>292.5</v>
      </c>
      <c r="R67" s="81"/>
      <c r="S67" s="81"/>
      <c r="T67" s="415" t="s">
        <v>3</v>
      </c>
      <c r="U67" s="415" t="s">
        <v>465</v>
      </c>
      <c r="V67" s="416" t="s">
        <v>466</v>
      </c>
      <c r="W67" s="415" t="s">
        <v>467</v>
      </c>
      <c r="X67" s="417" t="s">
        <v>4</v>
      </c>
      <c r="Y67" s="392">
        <v>0.25</v>
      </c>
      <c r="Z67" s="383">
        <v>0.75</v>
      </c>
    </row>
    <row r="68" spans="1:26" ht="45.6" customHeight="1">
      <c r="A68" s="53"/>
      <c r="B68" s="254" t="s">
        <v>181</v>
      </c>
      <c r="C68" s="53"/>
      <c r="D68" s="66"/>
      <c r="E68" s="252" t="s">
        <v>79</v>
      </c>
      <c r="F68" s="192" t="s">
        <v>80</v>
      </c>
      <c r="G68" s="194" t="s">
        <v>88</v>
      </c>
      <c r="H68" s="192"/>
      <c r="I68" s="305">
        <v>2.1</v>
      </c>
      <c r="J68" s="309"/>
      <c r="K68" s="78"/>
      <c r="L68" s="58"/>
      <c r="M68" s="459" t="str">
        <f>IF(I68&gt;K$67,"EXCESSIVAMENTE ELEVADO",IF(I68&lt;L$67,"INEXEQUÍVEL","VÁLIDO"))</f>
        <v>VÁLIDO</v>
      </c>
      <c r="N68" s="412">
        <f>(I68-J67)/J$67</f>
        <v>3.4482758620689571E-2</v>
      </c>
      <c r="O68" s="436" t="s">
        <v>475</v>
      </c>
      <c r="P68" s="349"/>
      <c r="Q68" s="348"/>
      <c r="R68" s="81"/>
      <c r="S68" s="81"/>
      <c r="T68" s="384">
        <f>AVERAGE(I66:I69)</f>
        <v>1.9525000000000001</v>
      </c>
      <c r="U68" s="385">
        <f>_xlfn.STDEV.S(I66:I69)</f>
        <v>0.33728079300982022</v>
      </c>
      <c r="V68" s="386">
        <f>(U68/T68)*100</f>
        <v>17.274304379504237</v>
      </c>
      <c r="W68" s="387" t="str">
        <f>IF(V68&gt;25,"Mediana","Média")</f>
        <v>Média</v>
      </c>
      <c r="X68" s="391">
        <f>MIN(I65:I68)</f>
        <v>1.4</v>
      </c>
      <c r="Y68" s="393" t="s">
        <v>468</v>
      </c>
      <c r="Z68" s="389" t="s">
        <v>469</v>
      </c>
    </row>
    <row r="69" spans="1:26" ht="53.7" customHeight="1">
      <c r="A69" s="53"/>
      <c r="B69" s="254"/>
      <c r="C69" s="53"/>
      <c r="D69" s="66"/>
      <c r="E69" s="255" t="s">
        <v>104</v>
      </c>
      <c r="F69" s="192" t="s">
        <v>100</v>
      </c>
      <c r="G69" s="194" t="s">
        <v>103</v>
      </c>
      <c r="H69" s="192"/>
      <c r="I69" s="305">
        <v>2.33</v>
      </c>
      <c r="J69" s="309"/>
      <c r="K69" s="78"/>
      <c r="L69" s="58"/>
      <c r="M69" s="459" t="str">
        <f>IF(I69&gt;K$67,"EXCESSIVAMENTE ELEVADO",IF(I69&lt;L$67,"INEXEQUÍVEL","VÁLIDO"))</f>
        <v>VÁLIDO</v>
      </c>
      <c r="N69" s="412">
        <f>(I69-J67)/J$67</f>
        <v>0.147783251231527</v>
      </c>
      <c r="O69" s="436" t="s">
        <v>475</v>
      </c>
      <c r="P69" s="349"/>
      <c r="Q69" s="348"/>
      <c r="R69" s="81"/>
      <c r="S69" s="81"/>
      <c r="T69" s="81"/>
      <c r="U69" s="81"/>
    </row>
    <row r="70" spans="1:26" ht="63.15" customHeight="1">
      <c r="A70" s="55"/>
      <c r="B70" s="249"/>
      <c r="C70" s="55"/>
      <c r="D70" s="245"/>
      <c r="E70" s="468" t="s">
        <v>178</v>
      </c>
      <c r="F70" s="192" t="s">
        <v>100</v>
      </c>
      <c r="G70" s="194" t="s">
        <v>179</v>
      </c>
      <c r="H70" s="198" t="s">
        <v>125</v>
      </c>
      <c r="I70" s="305">
        <v>2.97</v>
      </c>
      <c r="J70" s="310"/>
      <c r="K70" s="248"/>
      <c r="L70" s="311"/>
      <c r="M70" s="459" t="str">
        <f>IF(I70&gt;K$67,"EXCESSIVAMENTE ELEVADO",IF(I70&lt;L$67,"INEXEQUÍVEL","VÁLIDO"))</f>
        <v>EXCESSIVAMENTE ELEVADO</v>
      </c>
      <c r="N70" s="445">
        <f>(I70-J67)/J67</f>
        <v>0.46305418719211816</v>
      </c>
      <c r="O70" s="446" t="s">
        <v>476</v>
      </c>
      <c r="P70" s="352"/>
      <c r="Q70" s="347"/>
      <c r="R70" s="81"/>
      <c r="S70" s="81"/>
      <c r="T70" s="81"/>
      <c r="U70" s="81"/>
    </row>
    <row r="71" spans="1:26" ht="51.6" customHeight="1">
      <c r="A71" s="279"/>
      <c r="B71" s="250"/>
      <c r="C71" s="56"/>
      <c r="D71" s="242"/>
      <c r="E71" s="461" t="s">
        <v>454</v>
      </c>
      <c r="F71" s="462" t="s">
        <v>100</v>
      </c>
      <c r="G71" s="463" t="s">
        <v>455</v>
      </c>
      <c r="H71" s="464" t="s">
        <v>125</v>
      </c>
      <c r="I71" s="222">
        <v>2.1</v>
      </c>
      <c r="J71" s="372"/>
      <c r="K71" s="244"/>
      <c r="L71" s="373"/>
      <c r="M71" s="459" t="str">
        <f>IF(I71&gt;K$73,"EXCESSIVAMENTE ELEVADO",IF(I71&lt;L$73,"INEXEQUÍVEL","VÁLIDO"))</f>
        <v>INEXEQUÍVEL</v>
      </c>
      <c r="N71" s="471">
        <f>I71/J73</f>
        <v>0.67271756540309668</v>
      </c>
      <c r="O71" s="400" t="s">
        <v>180</v>
      </c>
      <c r="P71" s="353"/>
      <c r="Q71" s="353"/>
      <c r="R71" s="81"/>
      <c r="S71" s="81"/>
      <c r="T71" s="81"/>
      <c r="U71" s="81"/>
    </row>
    <row r="72" spans="1:26" ht="51.6" customHeight="1">
      <c r="A72" s="281"/>
      <c r="B72" s="254"/>
      <c r="C72" s="53"/>
      <c r="D72" s="66"/>
      <c r="E72" s="364" t="s">
        <v>104</v>
      </c>
      <c r="F72" s="192" t="s">
        <v>100</v>
      </c>
      <c r="G72" s="194" t="s">
        <v>103</v>
      </c>
      <c r="H72" s="192"/>
      <c r="I72" s="195">
        <v>2.33</v>
      </c>
      <c r="J72" s="309"/>
      <c r="K72" s="83"/>
      <c r="L72" s="86"/>
      <c r="M72" s="459" t="str">
        <f>IF(I72&gt;K$73,"EXCESSIVAMENTE ELEVADO",IF(I72&lt;L$73,"INEXEQUÍVEL","VÁLIDO"))</f>
        <v>INEXEQUÍVEL</v>
      </c>
      <c r="N72" s="471">
        <f>I72/J73</f>
        <v>0.74639615589962627</v>
      </c>
      <c r="O72" s="473" t="s">
        <v>180</v>
      </c>
      <c r="P72" s="349"/>
      <c r="Q72" s="349"/>
      <c r="R72" s="81"/>
      <c r="S72" s="81"/>
      <c r="T72" s="524" t="s">
        <v>463</v>
      </c>
      <c r="U72" s="525"/>
      <c r="V72" s="525"/>
      <c r="W72" s="525"/>
      <c r="X72" s="525"/>
      <c r="Y72" s="527" t="s">
        <v>464</v>
      </c>
      <c r="Z72" s="528"/>
    </row>
    <row r="73" spans="1:26" ht="58.8" customHeight="1">
      <c r="A73" s="281">
        <v>25</v>
      </c>
      <c r="B73" s="253" t="s">
        <v>93</v>
      </c>
      <c r="C73" s="53" t="s">
        <v>75</v>
      </c>
      <c r="D73" s="66">
        <v>100</v>
      </c>
      <c r="E73" s="255" t="s">
        <v>101</v>
      </c>
      <c r="F73" s="192" t="s">
        <v>100</v>
      </c>
      <c r="G73" s="194" t="s">
        <v>102</v>
      </c>
      <c r="H73" s="192"/>
      <c r="I73" s="195">
        <v>2.9</v>
      </c>
      <c r="J73" s="309">
        <f>AVERAGE(I71:I76)</f>
        <v>3.1216666666666666</v>
      </c>
      <c r="K73" s="78">
        <f>((25%*J73)+J73)</f>
        <v>3.9020833333333331</v>
      </c>
      <c r="L73" s="58">
        <f>75%*J73</f>
        <v>2.3412500000000001</v>
      </c>
      <c r="M73" s="202" t="str">
        <f t="shared" ref="M73:M76" si="9">IF(I73&gt;K$73,"EXCESSIVAMENTE ELEVADO",IF(I73&lt;L$73,"Inexequível","VÁLIDO"))</f>
        <v>VÁLIDO</v>
      </c>
      <c r="N73" s="412">
        <f>I73/J$73</f>
        <v>0.92899092365189539</v>
      </c>
      <c r="O73" s="437" t="s">
        <v>474</v>
      </c>
      <c r="P73" s="356">
        <f>TRUNC(AVERAGE(I73:I75),2)</f>
        <v>3.23</v>
      </c>
      <c r="Q73" s="356">
        <f>P73*D73</f>
        <v>323</v>
      </c>
      <c r="R73" s="81"/>
      <c r="S73" s="81"/>
      <c r="T73" s="415" t="s">
        <v>3</v>
      </c>
      <c r="U73" s="415" t="s">
        <v>465</v>
      </c>
      <c r="V73" s="416" t="s">
        <v>466</v>
      </c>
      <c r="W73" s="415" t="s">
        <v>467</v>
      </c>
      <c r="X73" s="417" t="s">
        <v>4</v>
      </c>
      <c r="Y73" s="392">
        <v>0.25</v>
      </c>
      <c r="Z73" s="383">
        <v>0.75</v>
      </c>
    </row>
    <row r="74" spans="1:26" ht="51.6" customHeight="1">
      <c r="A74" s="281"/>
      <c r="B74" s="254" t="s">
        <v>183</v>
      </c>
      <c r="C74" s="53"/>
      <c r="D74" s="66"/>
      <c r="E74" s="252" t="s">
        <v>79</v>
      </c>
      <c r="F74" s="192" t="s">
        <v>80</v>
      </c>
      <c r="G74" s="194" t="s">
        <v>88</v>
      </c>
      <c r="H74" s="192"/>
      <c r="I74" s="195">
        <v>3.14</v>
      </c>
      <c r="J74" s="309"/>
      <c r="K74" s="78"/>
      <c r="L74" s="58"/>
      <c r="M74" s="202" t="str">
        <f t="shared" si="9"/>
        <v>VÁLIDO</v>
      </c>
      <c r="N74" s="412">
        <f>I74/J$73</f>
        <v>1.0058729311265351</v>
      </c>
      <c r="O74" s="437" t="s">
        <v>474</v>
      </c>
      <c r="P74" s="349"/>
      <c r="Q74" s="349"/>
      <c r="R74" s="81"/>
      <c r="S74" s="81"/>
      <c r="T74" s="384">
        <f>AVERAGE(I73:I75)</f>
        <v>3.2333333333333329</v>
      </c>
      <c r="U74" s="385">
        <f>_xlfn.STDEV.S(I73:I75)</f>
        <v>0.38850139424889252</v>
      </c>
      <c r="V74" s="386">
        <f>(U74/T74)*100</f>
        <v>12.015507038625543</v>
      </c>
      <c r="W74" s="387" t="str">
        <f>IF(V74&gt;25,"Mediana","Média")</f>
        <v>Média</v>
      </c>
      <c r="X74" s="391">
        <f>MIN(I71:I74)</f>
        <v>2.1</v>
      </c>
      <c r="Y74" s="393" t="s">
        <v>468</v>
      </c>
      <c r="Z74" s="389" t="s">
        <v>469</v>
      </c>
    </row>
    <row r="75" spans="1:26" ht="45.6" customHeight="1">
      <c r="A75" s="281"/>
      <c r="B75" s="254"/>
      <c r="C75" s="53"/>
      <c r="D75" s="66"/>
      <c r="E75" s="255" t="s">
        <v>105</v>
      </c>
      <c r="F75" s="192" t="s">
        <v>100</v>
      </c>
      <c r="G75" s="194" t="s">
        <v>108</v>
      </c>
      <c r="H75" s="192" t="s">
        <v>107</v>
      </c>
      <c r="I75" s="195">
        <v>3.66</v>
      </c>
      <c r="J75" s="309"/>
      <c r="K75" s="78"/>
      <c r="L75" s="58"/>
      <c r="M75" s="202" t="str">
        <f t="shared" si="9"/>
        <v>VÁLIDO</v>
      </c>
      <c r="N75" s="412">
        <f>(I75-J73)/J$73</f>
        <v>0.1724506139882542</v>
      </c>
      <c r="O75" s="438" t="s">
        <v>475</v>
      </c>
      <c r="P75" s="349"/>
      <c r="Q75" s="349"/>
      <c r="R75" s="81"/>
      <c r="S75" s="81"/>
      <c r="T75" s="81"/>
      <c r="U75" s="81"/>
    </row>
    <row r="76" spans="1:26" ht="85.8" customHeight="1">
      <c r="A76" s="282"/>
      <c r="B76" s="249"/>
      <c r="C76" s="55"/>
      <c r="D76" s="245"/>
      <c r="E76" s="468" t="s">
        <v>488</v>
      </c>
      <c r="F76" s="192" t="s">
        <v>100</v>
      </c>
      <c r="G76" s="194" t="s">
        <v>489</v>
      </c>
      <c r="H76" s="192" t="s">
        <v>201</v>
      </c>
      <c r="I76" s="195">
        <v>4.5999999999999996</v>
      </c>
      <c r="J76" s="310"/>
      <c r="K76" s="248"/>
      <c r="L76" s="311"/>
      <c r="M76" s="459" t="str">
        <f t="shared" si="9"/>
        <v>EXCESSIVAMENTE ELEVADO</v>
      </c>
      <c r="N76" s="445">
        <f>(I76-J73)/J73</f>
        <v>0.47357180993059256</v>
      </c>
      <c r="O76" s="448" t="s">
        <v>476</v>
      </c>
      <c r="P76" s="352"/>
      <c r="Q76" s="352"/>
      <c r="R76" s="81"/>
      <c r="S76" s="81"/>
      <c r="T76" s="81"/>
      <c r="U76" s="81"/>
    </row>
    <row r="77" spans="1:26" ht="52.2" customHeight="1">
      <c r="A77" s="281"/>
      <c r="B77" s="469"/>
      <c r="C77" s="56"/>
      <c r="D77" s="280"/>
      <c r="E77" s="461" t="s">
        <v>454</v>
      </c>
      <c r="F77" s="462" t="s">
        <v>100</v>
      </c>
      <c r="G77" s="463" t="s">
        <v>455</v>
      </c>
      <c r="H77" s="464" t="s">
        <v>125</v>
      </c>
      <c r="I77" s="222">
        <v>2.1</v>
      </c>
      <c r="J77" s="372"/>
      <c r="K77" s="244"/>
      <c r="L77" s="373"/>
      <c r="M77" s="459" t="str">
        <f>IF(I77&gt;K$73,"EXCESSIVAMENTE ELEVADO",IF(I77&lt;L$73,"INEXEQUÍVEL","VÁLIDO"))</f>
        <v>INEXEQUÍVEL</v>
      </c>
      <c r="N77" s="471">
        <f>I77/J79</f>
        <v>0.67271756540309668</v>
      </c>
      <c r="O77" s="473" t="s">
        <v>180</v>
      </c>
      <c r="P77" s="353"/>
      <c r="Q77" s="382"/>
      <c r="R77" s="81"/>
      <c r="S77" s="81"/>
      <c r="T77" s="81"/>
      <c r="U77" s="81"/>
    </row>
    <row r="78" spans="1:26" ht="45.6" customHeight="1">
      <c r="B78" s="267"/>
      <c r="C78" s="53"/>
      <c r="D78" s="266"/>
      <c r="E78" s="192" t="s">
        <v>104</v>
      </c>
      <c r="F78" s="192" t="s">
        <v>100</v>
      </c>
      <c r="G78" s="194" t="s">
        <v>103</v>
      </c>
      <c r="H78" s="192"/>
      <c r="I78" s="195">
        <v>2.33</v>
      </c>
      <c r="J78" s="309"/>
      <c r="K78" s="83"/>
      <c r="L78" s="86"/>
      <c r="M78" s="459" t="str">
        <f>IF(I78&gt;K$73,"EXCESSIVAMENTE ELEVADO",IF(I78&lt;L$73,"INEXEQUÍVEL","VÁLIDO"))</f>
        <v>INEXEQUÍVEL</v>
      </c>
      <c r="N78" s="471">
        <f>I78/J79</f>
        <v>0.74639615589962627</v>
      </c>
      <c r="O78" s="473" t="s">
        <v>180</v>
      </c>
      <c r="P78" s="349"/>
      <c r="Q78" s="348"/>
      <c r="R78" s="81"/>
      <c r="S78" s="81"/>
      <c r="T78" s="659" t="s">
        <v>463</v>
      </c>
      <c r="U78" s="660"/>
      <c r="V78" s="660"/>
      <c r="W78" s="660"/>
      <c r="X78" s="661"/>
      <c r="Y78" s="662" t="s">
        <v>464</v>
      </c>
      <c r="Z78" s="663"/>
    </row>
    <row r="79" spans="1:26" ht="53.4" customHeight="1">
      <c r="A79" s="281">
        <v>26</v>
      </c>
      <c r="B79" s="265" t="s">
        <v>94</v>
      </c>
      <c r="C79" s="53" t="s">
        <v>75</v>
      </c>
      <c r="D79" s="266">
        <v>100</v>
      </c>
      <c r="E79" s="255" t="s">
        <v>101</v>
      </c>
      <c r="F79" s="192" t="s">
        <v>100</v>
      </c>
      <c r="G79" s="194" t="s">
        <v>102</v>
      </c>
      <c r="H79" s="192"/>
      <c r="I79" s="195">
        <v>2.9</v>
      </c>
      <c r="J79" s="309">
        <f>AVERAGE(I77:I82)</f>
        <v>3.1216666666666666</v>
      </c>
      <c r="K79" s="78">
        <f>((25 %*J79)+J79)</f>
        <v>3.9020833333333331</v>
      </c>
      <c r="L79" s="58">
        <f>75%*J79</f>
        <v>2.3412500000000001</v>
      </c>
      <c r="M79" s="202" t="str">
        <f t="shared" ref="M79:M82" si="10">IF(I79&gt;K$73,"EXCESSIVAMENTE ELEVADO",IF(I79&lt;L$73,"Inexequível","VÁLIDO"))</f>
        <v>VÁLIDO</v>
      </c>
      <c r="N79" s="412">
        <f>I79/J$79</f>
        <v>0.92899092365189539</v>
      </c>
      <c r="O79" s="437" t="s">
        <v>474</v>
      </c>
      <c r="P79" s="351">
        <f>TRUNC(AVERAGE(I79:I81),2)</f>
        <v>3.23</v>
      </c>
      <c r="Q79" s="350">
        <f>P79*D79</f>
        <v>323</v>
      </c>
      <c r="R79" s="81"/>
      <c r="S79" s="81"/>
      <c r="T79" s="415" t="s">
        <v>3</v>
      </c>
      <c r="U79" s="415" t="s">
        <v>465</v>
      </c>
      <c r="V79" s="416" t="s">
        <v>466</v>
      </c>
      <c r="W79" s="415" t="s">
        <v>467</v>
      </c>
      <c r="X79" s="417" t="s">
        <v>4</v>
      </c>
      <c r="Y79" s="392">
        <v>0.25</v>
      </c>
      <c r="Z79" s="383">
        <v>0.75</v>
      </c>
    </row>
    <row r="80" spans="1:26" ht="45.6" customHeight="1">
      <c r="A80" s="281"/>
      <c r="B80" s="267" t="s">
        <v>184</v>
      </c>
      <c r="C80" s="53"/>
      <c r="D80" s="266"/>
      <c r="E80" s="252" t="s">
        <v>79</v>
      </c>
      <c r="F80" s="192" t="s">
        <v>80</v>
      </c>
      <c r="G80" s="194" t="s">
        <v>88</v>
      </c>
      <c r="H80" s="192"/>
      <c r="I80" s="195">
        <v>3.14</v>
      </c>
      <c r="J80" s="309"/>
      <c r="K80" s="78"/>
      <c r="L80" s="58"/>
      <c r="M80" s="202" t="str">
        <f t="shared" si="10"/>
        <v>VÁLIDO</v>
      </c>
      <c r="N80" s="412">
        <f>I80/J$79</f>
        <v>1.0058729311265351</v>
      </c>
      <c r="O80" s="437" t="s">
        <v>474</v>
      </c>
      <c r="P80" s="349"/>
      <c r="Q80" s="348"/>
      <c r="R80" s="81"/>
      <c r="S80" s="81"/>
      <c r="T80" s="384">
        <f>AVERAGE(I79:I81)</f>
        <v>3.2333333333333329</v>
      </c>
      <c r="U80" s="385">
        <f>_xlfn.STDEV.S(I79:I81)</f>
        <v>0.38850139424889252</v>
      </c>
      <c r="V80" s="386">
        <f>(U80/T80)*100</f>
        <v>12.015507038625543</v>
      </c>
      <c r="W80" s="387" t="str">
        <f>IF(V80&gt;25,"Mediana","Média")</f>
        <v>Média</v>
      </c>
      <c r="X80" s="391">
        <f>MIN(I77:I80)</f>
        <v>2.1</v>
      </c>
      <c r="Y80" s="393" t="s">
        <v>468</v>
      </c>
      <c r="Z80" s="389" t="s">
        <v>469</v>
      </c>
    </row>
    <row r="81" spans="1:26" ht="45.6" customHeight="1">
      <c r="A81" s="281"/>
      <c r="B81" s="267"/>
      <c r="C81" s="53"/>
      <c r="D81" s="266"/>
      <c r="E81" s="255" t="s">
        <v>105</v>
      </c>
      <c r="F81" s="192" t="s">
        <v>100</v>
      </c>
      <c r="G81" s="194" t="s">
        <v>108</v>
      </c>
      <c r="H81" s="192" t="s">
        <v>107</v>
      </c>
      <c r="I81" s="195">
        <v>3.66</v>
      </c>
      <c r="J81" s="309"/>
      <c r="K81" s="78"/>
      <c r="L81" s="58"/>
      <c r="M81" s="202" t="str">
        <f t="shared" si="10"/>
        <v>VÁLIDO</v>
      </c>
      <c r="N81" s="412">
        <f>(I81-J79)/J$79</f>
        <v>0.1724506139882542</v>
      </c>
      <c r="O81" s="438" t="s">
        <v>475</v>
      </c>
      <c r="P81" s="349"/>
      <c r="Q81" s="348"/>
      <c r="R81" s="81"/>
      <c r="S81" s="81"/>
      <c r="T81" s="81"/>
      <c r="U81" s="81"/>
    </row>
    <row r="82" spans="1:26" ht="64.2" customHeight="1">
      <c r="A82" s="282"/>
      <c r="B82" s="470"/>
      <c r="C82" s="55"/>
      <c r="D82" s="283"/>
      <c r="E82" s="252" t="s">
        <v>105</v>
      </c>
      <c r="F82" s="192" t="s">
        <v>100</v>
      </c>
      <c r="G82" s="194" t="s">
        <v>108</v>
      </c>
      <c r="H82" s="192" t="s">
        <v>107</v>
      </c>
      <c r="I82" s="195">
        <v>4.5999999999999996</v>
      </c>
      <c r="J82" s="310"/>
      <c r="K82" s="248"/>
      <c r="L82" s="311"/>
      <c r="M82" s="459" t="str">
        <f t="shared" si="10"/>
        <v>EXCESSIVAMENTE ELEVADO</v>
      </c>
      <c r="N82" s="445">
        <f>(I82-J79)/J79</f>
        <v>0.47357180993059256</v>
      </c>
      <c r="O82" s="448" t="s">
        <v>476</v>
      </c>
      <c r="P82" s="352"/>
      <c r="Q82" s="347"/>
      <c r="R82" s="81"/>
      <c r="S82" s="81"/>
      <c r="T82" s="81"/>
      <c r="U82" s="81"/>
    </row>
    <row r="83" spans="1:26" ht="48" customHeight="1">
      <c r="A83" s="52"/>
      <c r="B83" s="257"/>
      <c r="C83" s="53"/>
      <c r="D83" s="66"/>
      <c r="E83" s="461" t="s">
        <v>454</v>
      </c>
      <c r="F83" s="462" t="s">
        <v>100</v>
      </c>
      <c r="G83" s="463" t="s">
        <v>455</v>
      </c>
      <c r="H83" s="464" t="s">
        <v>125</v>
      </c>
      <c r="I83" s="222">
        <v>2.1</v>
      </c>
      <c r="J83" s="372"/>
      <c r="K83" s="244"/>
      <c r="L83" s="373"/>
      <c r="M83" s="459" t="str">
        <f>IF(I83&gt;K$85,"EXCESSIVAMENTE ELEVADO",IF(I83&lt;L$85,"INEXEQUÍVEL","VÁLIDO"))</f>
        <v>INEXEQUÍVEL</v>
      </c>
      <c r="N83" s="471">
        <f>I83/J85</f>
        <v>0.67271756540309668</v>
      </c>
      <c r="O83" s="473" t="s">
        <v>180</v>
      </c>
      <c r="P83" s="349"/>
      <c r="Q83" s="355"/>
      <c r="R83" s="81"/>
      <c r="S83" s="81"/>
      <c r="T83" s="81"/>
      <c r="U83" s="81"/>
    </row>
    <row r="84" spans="1:26" ht="51" customHeight="1">
      <c r="A84" s="52"/>
      <c r="B84" s="257"/>
      <c r="C84" s="53"/>
      <c r="D84" s="66"/>
      <c r="E84" s="364" t="s">
        <v>104</v>
      </c>
      <c r="F84" s="192" t="s">
        <v>100</v>
      </c>
      <c r="G84" s="194" t="s">
        <v>103</v>
      </c>
      <c r="H84" s="192"/>
      <c r="I84" s="195">
        <v>2.33</v>
      </c>
      <c r="J84" s="309"/>
      <c r="K84" s="83"/>
      <c r="L84" s="86"/>
      <c r="M84" s="459" t="str">
        <f>IF(I84&gt;K$85,"EXCESSIVAMENTE ELEVADO",IF(I84&lt;L$85,"INEXEQUÍVEL","VÁLIDO"))</f>
        <v>INEXEQUÍVEL</v>
      </c>
      <c r="N84" s="471">
        <f>I84/J85</f>
        <v>0.74639615589962627</v>
      </c>
      <c r="O84" s="473" t="s">
        <v>180</v>
      </c>
      <c r="P84" s="349"/>
      <c r="Q84" s="355"/>
      <c r="R84" s="81"/>
      <c r="S84" s="81"/>
      <c r="T84" s="524" t="s">
        <v>463</v>
      </c>
      <c r="U84" s="525"/>
      <c r="V84" s="525"/>
      <c r="W84" s="525"/>
      <c r="X84" s="525"/>
      <c r="Y84" s="527" t="s">
        <v>464</v>
      </c>
      <c r="Z84" s="528"/>
    </row>
    <row r="85" spans="1:26" ht="58.8" customHeight="1">
      <c r="A85" s="52">
        <v>27</v>
      </c>
      <c r="B85" s="256" t="s">
        <v>95</v>
      </c>
      <c r="C85" s="53" t="s">
        <v>75</v>
      </c>
      <c r="D85" s="66">
        <v>100</v>
      </c>
      <c r="E85" s="255" t="s">
        <v>101</v>
      </c>
      <c r="F85" s="192" t="s">
        <v>100</v>
      </c>
      <c r="G85" s="194" t="s">
        <v>102</v>
      </c>
      <c r="H85" s="192"/>
      <c r="I85" s="195">
        <v>2.9</v>
      </c>
      <c r="J85" s="309">
        <f>AVERAGE(I83:I88)</f>
        <v>3.1216666666666666</v>
      </c>
      <c r="K85" s="78">
        <f>((25%*J85)+J85)</f>
        <v>3.9020833333333331</v>
      </c>
      <c r="L85" s="58">
        <f>75%*J85</f>
        <v>2.3412500000000001</v>
      </c>
      <c r="M85" s="459" t="str">
        <f t="shared" ref="M85:M88" si="11">IF(I85&gt;K$85,"EXCESSIVAMENTE ELEVADO",IF(I85&lt;L$85,"INEXEQUÍVEL","VÁLIDO"))</f>
        <v>VÁLIDO</v>
      </c>
      <c r="N85" s="412">
        <f>I85/J$85</f>
        <v>0.92899092365189539</v>
      </c>
      <c r="O85" s="437" t="s">
        <v>474</v>
      </c>
      <c r="P85" s="351">
        <f>TRUNC(AVERAGE(I85:I87),2)</f>
        <v>3.23</v>
      </c>
      <c r="Q85" s="357">
        <f>P85*D85</f>
        <v>323</v>
      </c>
      <c r="R85" s="81"/>
      <c r="S85" s="81"/>
      <c r="T85" s="415" t="s">
        <v>3</v>
      </c>
      <c r="U85" s="415" t="s">
        <v>465</v>
      </c>
      <c r="V85" s="416" t="s">
        <v>466</v>
      </c>
      <c r="W85" s="415" t="s">
        <v>467</v>
      </c>
      <c r="X85" s="417" t="s">
        <v>4</v>
      </c>
      <c r="Y85" s="392">
        <v>0.25</v>
      </c>
      <c r="Z85" s="383">
        <v>0.75</v>
      </c>
    </row>
    <row r="86" spans="1:26" ht="51.6" customHeight="1">
      <c r="A86" s="52"/>
      <c r="B86" s="257" t="s">
        <v>185</v>
      </c>
      <c r="C86" s="53"/>
      <c r="D86" s="66"/>
      <c r="E86" s="252" t="s">
        <v>79</v>
      </c>
      <c r="F86" s="192" t="s">
        <v>80</v>
      </c>
      <c r="G86" s="194" t="s">
        <v>88</v>
      </c>
      <c r="H86" s="192"/>
      <c r="I86" s="195">
        <v>3.14</v>
      </c>
      <c r="J86" s="309"/>
      <c r="K86" s="78"/>
      <c r="L86" s="58"/>
      <c r="M86" s="459" t="str">
        <f t="shared" si="11"/>
        <v>VÁLIDO</v>
      </c>
      <c r="N86" s="412">
        <f>I86/J$85</f>
        <v>1.0058729311265351</v>
      </c>
      <c r="O86" s="437" t="s">
        <v>474</v>
      </c>
      <c r="P86" s="349"/>
      <c r="Q86" s="355"/>
      <c r="R86" s="81"/>
      <c r="S86" s="81"/>
      <c r="T86" s="384">
        <f>AVERAGE(I85:I87)</f>
        <v>3.2333333333333329</v>
      </c>
      <c r="U86" s="385">
        <f>_xlfn.STDEV.S(I85:I87)</f>
        <v>0.38850139424889252</v>
      </c>
      <c r="V86" s="386">
        <f>(U86/T86)*100</f>
        <v>12.015507038625543</v>
      </c>
      <c r="W86" s="387" t="str">
        <f>IF(V86&gt;25,"Mediana","Média")</f>
        <v>Média</v>
      </c>
      <c r="X86" s="391">
        <f>MIN(I83:I86)</f>
        <v>2.1</v>
      </c>
      <c r="Y86" s="393" t="s">
        <v>468</v>
      </c>
      <c r="Z86" s="389" t="s">
        <v>469</v>
      </c>
    </row>
    <row r="87" spans="1:26" ht="45.6" customHeight="1">
      <c r="A87" s="52"/>
      <c r="B87" s="257"/>
      <c r="C87" s="53"/>
      <c r="D87" s="66"/>
      <c r="E87" s="255" t="s">
        <v>105</v>
      </c>
      <c r="F87" s="192" t="s">
        <v>100</v>
      </c>
      <c r="G87" s="194" t="s">
        <v>108</v>
      </c>
      <c r="H87" s="192" t="s">
        <v>107</v>
      </c>
      <c r="I87" s="195">
        <v>3.66</v>
      </c>
      <c r="J87" s="309"/>
      <c r="K87" s="78"/>
      <c r="L87" s="58"/>
      <c r="M87" s="459" t="str">
        <f t="shared" si="11"/>
        <v>VÁLIDO</v>
      </c>
      <c r="N87" s="412">
        <f>(I87-J85)/J$85</f>
        <v>0.1724506139882542</v>
      </c>
      <c r="O87" s="438" t="s">
        <v>475</v>
      </c>
      <c r="P87" s="349"/>
      <c r="Q87" s="355"/>
      <c r="R87" s="81"/>
      <c r="S87" s="81"/>
      <c r="T87" s="81"/>
      <c r="U87" s="81"/>
    </row>
    <row r="88" spans="1:26" ht="45.6" customHeight="1">
      <c r="A88" s="52"/>
      <c r="B88" s="254"/>
      <c r="C88" s="53"/>
      <c r="D88" s="66"/>
      <c r="E88" s="258" t="s">
        <v>105</v>
      </c>
      <c r="F88" s="227" t="s">
        <v>100</v>
      </c>
      <c r="G88" s="218" t="s">
        <v>108</v>
      </c>
      <c r="H88" s="227" t="s">
        <v>107</v>
      </c>
      <c r="I88" s="222">
        <v>4.5999999999999996</v>
      </c>
      <c r="J88" s="309"/>
      <c r="K88" s="78"/>
      <c r="L88" s="58"/>
      <c r="M88" s="465" t="str">
        <f t="shared" si="11"/>
        <v>EXCESSIVAMENTE ELEVADO</v>
      </c>
      <c r="N88" s="466">
        <f>(I88-J85)/J85</f>
        <v>0.47357180993059256</v>
      </c>
      <c r="O88" s="467" t="s">
        <v>476</v>
      </c>
      <c r="P88" s="349"/>
      <c r="Q88" s="355"/>
      <c r="R88" s="81"/>
      <c r="S88" s="81"/>
      <c r="T88" s="81"/>
      <c r="U88" s="81"/>
    </row>
    <row r="89" spans="1:26" ht="49.2" customHeight="1">
      <c r="A89" s="291">
        <v>28</v>
      </c>
      <c r="B89" s="474" t="s">
        <v>96</v>
      </c>
      <c r="C89" s="274" t="s">
        <v>97</v>
      </c>
      <c r="D89" s="275">
        <v>8</v>
      </c>
      <c r="E89" s="461" t="s">
        <v>454</v>
      </c>
      <c r="F89" s="462" t="s">
        <v>100</v>
      </c>
      <c r="G89" s="463" t="s">
        <v>455</v>
      </c>
      <c r="H89" s="464" t="s">
        <v>125</v>
      </c>
      <c r="I89" s="222">
        <v>6.8</v>
      </c>
      <c r="J89" s="312">
        <f>AVERAGE(I87:I93)</f>
        <v>7.0742857142857138</v>
      </c>
      <c r="K89" s="313">
        <f>((25%*J89)+J89)</f>
        <v>8.8428571428571416</v>
      </c>
      <c r="L89" s="314">
        <f>75%*J89</f>
        <v>5.3057142857142852</v>
      </c>
      <c r="M89" s="459" t="str">
        <f>IF(I89&gt;K$89,"EXCESSIVAMENTE ELEVADO",IF(I89&lt;L$89,"INEXEQUÍVEL","VÁLIDO"))</f>
        <v>VÁLIDO</v>
      </c>
      <c r="N89" s="447">
        <f>I89/J$89</f>
        <v>0.96122778675282716</v>
      </c>
      <c r="O89" s="438" t="s">
        <v>474</v>
      </c>
      <c r="P89" s="354">
        <f>TRUNC(MEDIAN(I89:I90),2)</f>
        <v>8.65</v>
      </c>
      <c r="Q89" s="354">
        <f>P89*D89</f>
        <v>69.2</v>
      </c>
      <c r="R89" s="81"/>
      <c r="S89" s="81"/>
      <c r="T89" s="415" t="s">
        <v>3</v>
      </c>
      <c r="U89" s="415" t="s">
        <v>465</v>
      </c>
      <c r="V89" s="416" t="s">
        <v>466</v>
      </c>
      <c r="W89" s="415" t="s">
        <v>467</v>
      </c>
      <c r="X89" s="417" t="s">
        <v>4</v>
      </c>
      <c r="Y89" s="476">
        <v>0.25</v>
      </c>
      <c r="Z89" s="395">
        <v>0.75</v>
      </c>
    </row>
    <row r="90" spans="1:26" ht="61.8" customHeight="1">
      <c r="A90" s="282"/>
      <c r="B90" s="475" t="s">
        <v>186</v>
      </c>
      <c r="C90" s="55"/>
      <c r="D90" s="245"/>
      <c r="E90" s="192" t="s">
        <v>79</v>
      </c>
      <c r="F90" s="192" t="s">
        <v>80</v>
      </c>
      <c r="G90" s="194" t="s">
        <v>88</v>
      </c>
      <c r="H90" s="192"/>
      <c r="I90" s="195">
        <v>10.5</v>
      </c>
      <c r="J90" s="309"/>
      <c r="K90" s="78"/>
      <c r="L90" s="58"/>
      <c r="M90" s="459" t="str">
        <f>IF(I90&gt;K$89,"EXCESSIVAMENTE ELEVADO",IF(I90&lt;L$89,"INEXEQUÍVEL","VÁLIDO"))</f>
        <v>EXCESSIVAMENTE ELEVADO</v>
      </c>
      <c r="N90" s="412">
        <f>(I90-J89)/J$89</f>
        <v>0.48424878836833612</v>
      </c>
      <c r="O90" s="477" t="s">
        <v>477</v>
      </c>
      <c r="P90" s="352"/>
      <c r="Q90" s="352"/>
      <c r="R90" s="81"/>
      <c r="S90" s="81"/>
      <c r="T90" s="384">
        <f>AVERAGE(I89:I90)</f>
        <v>8.65</v>
      </c>
      <c r="U90" s="385">
        <f>_xlfn.STDEV.S(I89:I90)</f>
        <v>2.6162950903902256</v>
      </c>
      <c r="V90" s="386">
        <f>(U90/T90)*100</f>
        <v>30.24618601607197</v>
      </c>
      <c r="W90" s="387" t="str">
        <f>IF(V90&gt;25,"Mediana","Média")</f>
        <v>Mediana</v>
      </c>
      <c r="X90" s="391">
        <f>MIN(I87:I90)</f>
        <v>3.66</v>
      </c>
      <c r="Y90" s="393" t="s">
        <v>468</v>
      </c>
      <c r="Z90" s="389" t="s">
        <v>469</v>
      </c>
    </row>
    <row r="91" spans="1:26" ht="58.8" customHeight="1">
      <c r="A91" s="52"/>
      <c r="B91" s="254"/>
      <c r="C91" s="53"/>
      <c r="D91" s="66"/>
      <c r="E91" s="461" t="s">
        <v>454</v>
      </c>
      <c r="F91" s="462" t="s">
        <v>100</v>
      </c>
      <c r="G91" s="463" t="s">
        <v>455</v>
      </c>
      <c r="H91" s="464" t="s">
        <v>125</v>
      </c>
      <c r="I91" s="225">
        <v>6.6</v>
      </c>
      <c r="J91" s="372"/>
      <c r="K91" s="244"/>
      <c r="L91" s="373"/>
      <c r="M91" s="444" t="str">
        <f>IF(I91&gt;K$93,"EXCESSIVAMENTE ELEVADO",IF(I91&lt;L$93,"INEXEQUÍVEL","VÁLIDO"))</f>
        <v>INEXEQUÍVEL</v>
      </c>
      <c r="N91" s="471">
        <f>I91/J93</f>
        <v>0.71182053494391706</v>
      </c>
      <c r="O91" s="473" t="s">
        <v>180</v>
      </c>
      <c r="P91" s="349"/>
      <c r="Q91" s="349"/>
      <c r="R91" s="81"/>
      <c r="S91" s="81"/>
      <c r="T91" s="81"/>
      <c r="U91" s="81"/>
    </row>
    <row r="92" spans="1:26" ht="95.4" customHeight="1">
      <c r="A92" s="52"/>
      <c r="B92" s="478" t="s">
        <v>98</v>
      </c>
      <c r="C92" s="53"/>
      <c r="D92" s="66"/>
      <c r="E92" s="718" t="s">
        <v>190</v>
      </c>
      <c r="F92" s="192" t="s">
        <v>188</v>
      </c>
      <c r="G92" s="194" t="s">
        <v>192</v>
      </c>
      <c r="H92" s="192" t="s">
        <v>107</v>
      </c>
      <c r="I92" s="305">
        <v>8.1</v>
      </c>
      <c r="J92" s="309"/>
      <c r="K92" s="78"/>
      <c r="L92" s="58"/>
      <c r="M92" s="444" t="str">
        <f t="shared" ref="M92:M95" si="12">IF(I92&gt;K$93,"EXCESSIVAMENTE ELEVADO",IF(I92&lt;L$93,"INEXEQUÍVEL","VÁLIDO"))</f>
        <v>VÁLIDO</v>
      </c>
      <c r="N92" s="412">
        <f>I92/J93</f>
        <v>0.87359792924935287</v>
      </c>
      <c r="O92" s="437" t="s">
        <v>180</v>
      </c>
      <c r="P92" s="349"/>
      <c r="Q92" s="349"/>
      <c r="R92" s="81"/>
      <c r="S92" s="81"/>
      <c r="T92" s="524" t="s">
        <v>463</v>
      </c>
      <c r="U92" s="525"/>
      <c r="V92" s="525"/>
      <c r="W92" s="525"/>
      <c r="X92" s="526"/>
      <c r="Y92" s="527" t="s">
        <v>464</v>
      </c>
      <c r="Z92" s="528"/>
    </row>
    <row r="93" spans="1:26" ht="56.4" customHeight="1">
      <c r="A93" s="259">
        <v>29</v>
      </c>
      <c r="B93" s="254" t="s">
        <v>187</v>
      </c>
      <c r="C93" s="53" t="s">
        <v>97</v>
      </c>
      <c r="D93" s="66">
        <v>39</v>
      </c>
      <c r="E93" s="255" t="s">
        <v>191</v>
      </c>
      <c r="F93" s="192" t="s">
        <v>188</v>
      </c>
      <c r="G93" s="194" t="s">
        <v>189</v>
      </c>
      <c r="H93" s="192" t="s">
        <v>107</v>
      </c>
      <c r="I93" s="305">
        <v>9.26</v>
      </c>
      <c r="J93" s="379">
        <f>AVERAGE(I91:I95)</f>
        <v>9.2720000000000002</v>
      </c>
      <c r="K93" s="480">
        <f>(25%*J93)+J93</f>
        <v>11.59</v>
      </c>
      <c r="L93" s="479">
        <f>75%*J93</f>
        <v>6.9540000000000006</v>
      </c>
      <c r="M93" s="444" t="str">
        <f t="shared" si="12"/>
        <v>VÁLIDO</v>
      </c>
      <c r="N93" s="412">
        <f>I93/J$93</f>
        <v>0.9987057808455565</v>
      </c>
      <c r="O93" s="437" t="s">
        <v>474</v>
      </c>
      <c r="P93" s="349">
        <f>TRUNC(AVERAGE(I92:I94),2)</f>
        <v>9.2799999999999994</v>
      </c>
      <c r="Q93" s="349">
        <f>P93*D93</f>
        <v>361.91999999999996</v>
      </c>
      <c r="R93" s="81"/>
      <c r="S93" s="81"/>
      <c r="T93" s="415" t="s">
        <v>3</v>
      </c>
      <c r="U93" s="415" t="s">
        <v>465</v>
      </c>
      <c r="V93" s="416" t="s">
        <v>466</v>
      </c>
      <c r="W93" s="415" t="s">
        <v>467</v>
      </c>
      <c r="X93" s="417" t="s">
        <v>4</v>
      </c>
      <c r="Y93" s="392">
        <v>0.25</v>
      </c>
      <c r="Z93" s="383">
        <v>0.75</v>
      </c>
    </row>
    <row r="94" spans="1:26" ht="50.4" customHeight="1">
      <c r="A94" s="52"/>
      <c r="B94" s="254"/>
      <c r="C94" s="53"/>
      <c r="D94" s="66"/>
      <c r="E94" s="252" t="s">
        <v>79</v>
      </c>
      <c r="F94" s="192" t="s">
        <v>80</v>
      </c>
      <c r="G94" s="194" t="s">
        <v>88</v>
      </c>
      <c r="H94" s="198" t="s">
        <v>195</v>
      </c>
      <c r="I94" s="305">
        <v>10.5</v>
      </c>
      <c r="J94" s="309"/>
      <c r="K94" s="78"/>
      <c r="L94" s="58"/>
      <c r="M94" s="444" t="str">
        <f t="shared" si="12"/>
        <v>VÁLIDO</v>
      </c>
      <c r="N94" s="412">
        <f>(I94-J$93)/J$93</f>
        <v>0.13244176013805001</v>
      </c>
      <c r="O94" s="437" t="s">
        <v>479</v>
      </c>
      <c r="P94" s="349"/>
      <c r="Q94" s="349"/>
      <c r="R94" s="81"/>
      <c r="S94" s="81"/>
      <c r="T94" s="384">
        <f>AVERAGE(I92:I94)</f>
        <v>9.2866666666666671</v>
      </c>
      <c r="U94" s="385">
        <f>_xlfn.STDEV.S(I92:I94)</f>
        <v>1.2002222016499065</v>
      </c>
      <c r="V94" s="386">
        <f>(U94/T94)*100</f>
        <v>12.924144310659438</v>
      </c>
      <c r="W94" s="387" t="str">
        <f>IF(V94&gt;25,"Mediana","Média")</f>
        <v>Média</v>
      </c>
      <c r="X94" s="391">
        <f>MIN(I91:I94)</f>
        <v>6.6</v>
      </c>
      <c r="Y94" s="393" t="s">
        <v>468</v>
      </c>
      <c r="Z94" s="389" t="s">
        <v>469</v>
      </c>
    </row>
    <row r="95" spans="1:26" ht="70.2" customHeight="1">
      <c r="A95" s="52"/>
      <c r="B95" s="254"/>
      <c r="C95" s="53"/>
      <c r="D95" s="66"/>
      <c r="E95" s="264" t="s">
        <v>193</v>
      </c>
      <c r="F95" s="227" t="s">
        <v>188</v>
      </c>
      <c r="G95" s="218" t="s">
        <v>194</v>
      </c>
      <c r="H95" s="227" t="s">
        <v>107</v>
      </c>
      <c r="I95" s="241">
        <v>11.9</v>
      </c>
      <c r="J95" s="309"/>
      <c r="K95" s="78"/>
      <c r="L95" s="58"/>
      <c r="M95" s="481" t="str">
        <f t="shared" si="12"/>
        <v>EXCESSIVAMENTE ELEVADO</v>
      </c>
      <c r="N95" s="466">
        <f>(I95-J93)/J$93</f>
        <v>0.28343399482312337</v>
      </c>
      <c r="O95" s="467" t="s">
        <v>475</v>
      </c>
      <c r="P95" s="349"/>
      <c r="Q95" s="349"/>
      <c r="R95" s="82"/>
      <c r="S95" s="82"/>
    </row>
    <row r="96" spans="1:26" ht="63.6" customHeight="1">
      <c r="A96" s="482"/>
      <c r="B96" s="483"/>
      <c r="C96" s="484"/>
      <c r="D96" s="484"/>
      <c r="E96" s="461" t="s">
        <v>454</v>
      </c>
      <c r="F96" s="462" t="s">
        <v>100</v>
      </c>
      <c r="G96" s="463" t="s">
        <v>455</v>
      </c>
      <c r="H96" s="464" t="s">
        <v>125</v>
      </c>
      <c r="I96" s="241">
        <v>6.6</v>
      </c>
      <c r="J96" s="372"/>
      <c r="K96" s="244"/>
      <c r="L96" s="373"/>
      <c r="M96" s="459" t="str">
        <f>IF(I96&gt;K$98,"EXCESSIVAMENTE ELEVADO",IF(I96&lt;L$98,"INEXEQUÍVEL","VÁLIDO"))</f>
        <v>INEXEQUÍVEL</v>
      </c>
      <c r="N96" s="471">
        <f>I96/J98</f>
        <v>0.71182053494391706</v>
      </c>
      <c r="O96" s="359" t="s">
        <v>180</v>
      </c>
      <c r="P96" s="353"/>
      <c r="Q96" s="382"/>
      <c r="R96" s="82"/>
      <c r="S96" s="82"/>
      <c r="T96" s="82"/>
      <c r="U96" s="82"/>
    </row>
    <row r="97" spans="1:26" ht="118.8" customHeight="1">
      <c r="A97" s="485"/>
      <c r="B97" s="263"/>
      <c r="C97" s="64"/>
      <c r="D97" s="64"/>
      <c r="E97" s="364" t="s">
        <v>190</v>
      </c>
      <c r="F97" s="192" t="s">
        <v>188</v>
      </c>
      <c r="G97" s="194" t="s">
        <v>192</v>
      </c>
      <c r="H97" s="192" t="s">
        <v>107</v>
      </c>
      <c r="I97" s="195">
        <v>8.1</v>
      </c>
      <c r="J97" s="309"/>
      <c r="K97" s="78"/>
      <c r="L97" s="58"/>
      <c r="M97" s="459" t="str">
        <f t="shared" ref="M97:M100" si="13">IF(I97&gt;K$98,"EXCESSIVAMENTE ELEVADO",IF(I97&lt;L$98,"INEXEQUÍVEL","VÁLIDO"))</f>
        <v>VÁLIDO</v>
      </c>
      <c r="N97" s="412">
        <f>I97/J98</f>
        <v>0.87359792924935287</v>
      </c>
      <c r="O97" s="413" t="s">
        <v>180</v>
      </c>
      <c r="P97" s="349"/>
      <c r="Q97" s="348"/>
      <c r="R97" s="82"/>
      <c r="S97" s="82"/>
      <c r="T97" s="524" t="s">
        <v>463</v>
      </c>
      <c r="U97" s="525"/>
      <c r="V97" s="525"/>
      <c r="W97" s="525"/>
      <c r="X97" s="526"/>
      <c r="Y97" s="527" t="s">
        <v>464</v>
      </c>
      <c r="Z97" s="528"/>
    </row>
    <row r="98" spans="1:26" ht="60" customHeight="1">
      <c r="A98" s="281">
        <v>30</v>
      </c>
      <c r="B98" s="262" t="s">
        <v>99</v>
      </c>
      <c r="C98" s="64" t="s">
        <v>82</v>
      </c>
      <c r="D98" s="66">
        <v>4</v>
      </c>
      <c r="E98" s="255" t="s">
        <v>191</v>
      </c>
      <c r="F98" s="192" t="s">
        <v>188</v>
      </c>
      <c r="G98" s="194" t="s">
        <v>189</v>
      </c>
      <c r="H98" s="192" t="s">
        <v>107</v>
      </c>
      <c r="I98" s="195">
        <v>9.26</v>
      </c>
      <c r="J98" s="379">
        <f>AVERAGE(I96:I100)</f>
        <v>9.2720000000000002</v>
      </c>
      <c r="K98" s="480">
        <f>((25%*J98)+J98)</f>
        <v>11.59</v>
      </c>
      <c r="L98" s="479">
        <f>75%*J98</f>
        <v>6.9540000000000006</v>
      </c>
      <c r="M98" s="459" t="str">
        <f t="shared" si="13"/>
        <v>VÁLIDO</v>
      </c>
      <c r="N98" s="412">
        <f>I98/J$98</f>
        <v>0.9987057808455565</v>
      </c>
      <c r="O98" s="413" t="s">
        <v>474</v>
      </c>
      <c r="P98" s="349">
        <f>TRUNC(AVERAGE(I97:I99),2)</f>
        <v>9.2799999999999994</v>
      </c>
      <c r="Q98" s="348">
        <f>P98*D98</f>
        <v>37.119999999999997</v>
      </c>
      <c r="R98" s="82"/>
      <c r="S98" s="82"/>
      <c r="T98" s="415" t="s">
        <v>3</v>
      </c>
      <c r="U98" s="415" t="s">
        <v>465</v>
      </c>
      <c r="V98" s="416" t="s">
        <v>466</v>
      </c>
      <c r="W98" s="415" t="s">
        <v>467</v>
      </c>
      <c r="X98" s="417" t="s">
        <v>4</v>
      </c>
      <c r="Y98" s="392">
        <v>0.25</v>
      </c>
      <c r="Z98" s="383">
        <v>0.75</v>
      </c>
    </row>
    <row r="99" spans="1:26" ht="53.7" customHeight="1">
      <c r="A99" s="485"/>
      <c r="B99" s="263" t="s">
        <v>421</v>
      </c>
      <c r="C99" s="64"/>
      <c r="D99" s="64"/>
      <c r="E99" s="252" t="s">
        <v>79</v>
      </c>
      <c r="F99" s="192" t="s">
        <v>80</v>
      </c>
      <c r="G99" s="194" t="s">
        <v>88</v>
      </c>
      <c r="H99" s="198" t="s">
        <v>195</v>
      </c>
      <c r="I99" s="195">
        <v>10.5</v>
      </c>
      <c r="J99" s="309"/>
      <c r="K99" s="78"/>
      <c r="L99" s="58"/>
      <c r="M99" s="459" t="str">
        <f t="shared" si="13"/>
        <v>VÁLIDO</v>
      </c>
      <c r="N99" s="412">
        <f>(I99-J$98)/J$98</f>
        <v>0.13244176013805001</v>
      </c>
      <c r="O99" s="413" t="s">
        <v>478</v>
      </c>
      <c r="P99" s="349"/>
      <c r="Q99" s="348"/>
      <c r="R99" s="82"/>
      <c r="S99" s="82"/>
      <c r="T99" s="384">
        <f>AVERAGE(I97:I99)</f>
        <v>9.2866666666666671</v>
      </c>
      <c r="U99" s="385">
        <f>_xlfn.STDEV.S(I97:I99)</f>
        <v>1.2002222016499065</v>
      </c>
      <c r="V99" s="386">
        <f>(U99/T99)*100</f>
        <v>12.924144310659438</v>
      </c>
      <c r="W99" s="387" t="str">
        <f>IF(V99&gt;25,"Mediana","Média")</f>
        <v>Média</v>
      </c>
      <c r="X99" s="391">
        <f>MIN(I96:I99)</f>
        <v>6.6</v>
      </c>
      <c r="Y99" s="393" t="s">
        <v>468</v>
      </c>
      <c r="Z99" s="389" t="s">
        <v>469</v>
      </c>
    </row>
    <row r="100" spans="1:26" ht="69">
      <c r="A100" s="486"/>
      <c r="B100" s="487"/>
      <c r="C100" s="261"/>
      <c r="D100" s="261"/>
      <c r="E100" s="255" t="s">
        <v>193</v>
      </c>
      <c r="F100" s="192" t="s">
        <v>188</v>
      </c>
      <c r="G100" s="194" t="s">
        <v>194</v>
      </c>
      <c r="H100" s="192" t="s">
        <v>107</v>
      </c>
      <c r="I100" s="195">
        <v>11.9</v>
      </c>
      <c r="J100" s="310"/>
      <c r="K100" s="248"/>
      <c r="L100" s="311"/>
      <c r="M100" s="459" t="str">
        <f t="shared" si="13"/>
        <v>EXCESSIVAMENTE ELEVADO</v>
      </c>
      <c r="N100" s="445">
        <f>(I100-J98)/J$93</f>
        <v>0.28343399482312337</v>
      </c>
      <c r="O100" s="446" t="s">
        <v>475</v>
      </c>
      <c r="P100" s="352"/>
      <c r="Q100" s="347"/>
      <c r="R100" s="82"/>
      <c r="S100" s="82"/>
      <c r="T100" s="82"/>
      <c r="U100" s="82"/>
    </row>
    <row r="101" spans="1:26" ht="55.2">
      <c r="A101" s="281">
        <v>31</v>
      </c>
      <c r="B101" s="492" t="s">
        <v>422</v>
      </c>
      <c r="C101" s="53" t="s">
        <v>82</v>
      </c>
      <c r="D101" s="53">
        <v>2</v>
      </c>
      <c r="E101" s="461" t="s">
        <v>454</v>
      </c>
      <c r="F101" s="462" t="s">
        <v>100</v>
      </c>
      <c r="G101" s="463" t="s">
        <v>455</v>
      </c>
      <c r="H101" s="464" t="s">
        <v>125</v>
      </c>
      <c r="I101" s="241">
        <v>20.399999999999999</v>
      </c>
      <c r="J101" s="328">
        <f>AVERAGE(I101:I102)</f>
        <v>25.95</v>
      </c>
      <c r="K101" s="329">
        <f>((25%*J101)+J101)</f>
        <v>32.4375</v>
      </c>
      <c r="L101" s="330">
        <f>75%*J101</f>
        <v>19.462499999999999</v>
      </c>
      <c r="M101" s="459" t="str">
        <f>IF(I101&gt;K$101,"EXCESSIVAMENTE ELEVADO",IF(I101&lt;L$101,"INEXEQUÍVEL","VÁLIDO"))</f>
        <v>VÁLIDO</v>
      </c>
      <c r="N101" s="412">
        <f>I101/J101</f>
        <v>0.78612716763005774</v>
      </c>
      <c r="O101" s="413" t="s">
        <v>180</v>
      </c>
      <c r="P101" s="351">
        <f>TRUNC(MEDIAN(I101:I102),2)</f>
        <v>25.95</v>
      </c>
      <c r="Q101" s="350">
        <f>P101*D101</f>
        <v>51.9</v>
      </c>
      <c r="R101" s="82"/>
      <c r="S101" s="82"/>
      <c r="T101" s="415" t="s">
        <v>3</v>
      </c>
      <c r="U101" s="415" t="s">
        <v>465</v>
      </c>
      <c r="V101" s="416" t="s">
        <v>466</v>
      </c>
      <c r="W101" s="415" t="s">
        <v>467</v>
      </c>
      <c r="X101" s="417" t="s">
        <v>4</v>
      </c>
      <c r="Y101" s="392">
        <v>0.25</v>
      </c>
      <c r="Z101" s="383">
        <v>0.75</v>
      </c>
    </row>
    <row r="102" spans="1:26" ht="48" customHeight="1">
      <c r="A102" s="485"/>
      <c r="B102" s="491"/>
      <c r="C102" s="64"/>
      <c r="D102" s="64"/>
      <c r="E102" s="192" t="s">
        <v>79</v>
      </c>
      <c r="F102" s="192" t="s">
        <v>80</v>
      </c>
      <c r="G102" s="194" t="s">
        <v>88</v>
      </c>
      <c r="H102" s="198" t="s">
        <v>195</v>
      </c>
      <c r="I102" s="195">
        <v>31.5</v>
      </c>
      <c r="J102" s="325"/>
      <c r="K102" s="83"/>
      <c r="L102" s="83"/>
      <c r="M102" s="465" t="str">
        <f>IF(I102&gt;K$101,"EXCESSIVAMENTE ELEVADO",IF(I102&lt;L$101,"INEXEQUÍVEL","VÁLIDO"))</f>
        <v>VÁLIDO</v>
      </c>
      <c r="N102" s="488">
        <f>(I102-J$101)/J$101</f>
        <v>0.21387283236994223</v>
      </c>
      <c r="O102" s="489" t="s">
        <v>478</v>
      </c>
      <c r="P102" s="349"/>
      <c r="Q102" s="348"/>
      <c r="R102" s="82"/>
      <c r="S102" s="82"/>
      <c r="T102" s="384">
        <f>AVERAGE(I101:I102)</f>
        <v>25.95</v>
      </c>
      <c r="U102" s="385">
        <f>_xlfn.STDEV.S(I101:I102)</f>
        <v>7.8488852711706789</v>
      </c>
      <c r="V102" s="398">
        <f>(U102/T102)*100</f>
        <v>30.246186016071981</v>
      </c>
      <c r="W102" s="387" t="str">
        <f>IF(V102&gt;25,"Mediana","Média")</f>
        <v>Mediana</v>
      </c>
      <c r="X102" s="391">
        <f>MIN(I99:I102)</f>
        <v>10.5</v>
      </c>
      <c r="Y102" s="393" t="s">
        <v>468</v>
      </c>
      <c r="Z102" s="389" t="s">
        <v>469</v>
      </c>
    </row>
    <row r="103" spans="1:26" ht="24" customHeight="1">
      <c r="A103" s="652" t="s">
        <v>17</v>
      </c>
      <c r="B103" s="653"/>
      <c r="C103" s="653"/>
      <c r="D103" s="653"/>
      <c r="E103" s="653"/>
      <c r="F103" s="653"/>
      <c r="G103" s="653"/>
      <c r="H103" s="653"/>
      <c r="I103" s="653"/>
      <c r="J103" s="653"/>
      <c r="K103" s="653"/>
      <c r="L103" s="653"/>
      <c r="M103" s="653"/>
      <c r="N103" s="653"/>
      <c r="O103" s="653"/>
      <c r="P103" s="653"/>
      <c r="Q103" s="490">
        <f>SUM(Q19:Q102)</f>
        <v>123067.3275</v>
      </c>
      <c r="R103" s="22"/>
      <c r="S103" s="22"/>
      <c r="T103" s="22"/>
      <c r="U103" s="22"/>
    </row>
    <row r="104" spans="1:26">
      <c r="Q104" s="22"/>
      <c r="R104" s="22"/>
      <c r="S104" s="22"/>
      <c r="T104" s="22"/>
      <c r="U104" s="22"/>
    </row>
    <row r="105" spans="1:26">
      <c r="Q105" s="22"/>
      <c r="R105" s="22"/>
      <c r="S105" s="22"/>
      <c r="T105" s="22"/>
      <c r="U105" s="22"/>
    </row>
    <row r="106" spans="1:26">
      <c r="A106" s="51"/>
      <c r="Q106" s="22"/>
      <c r="R106" s="22"/>
      <c r="S106" s="22"/>
      <c r="T106" s="22"/>
      <c r="U106" s="22"/>
    </row>
    <row r="107" spans="1:26">
      <c r="A107" s="63"/>
      <c r="Q107" s="22"/>
      <c r="R107" s="22"/>
      <c r="S107" s="22"/>
      <c r="T107" s="22"/>
      <c r="U107" s="22"/>
    </row>
    <row r="108" spans="1:26">
      <c r="Q108" s="22"/>
      <c r="R108" s="22"/>
      <c r="S108" s="22"/>
      <c r="T108" s="22"/>
      <c r="U108" s="22"/>
    </row>
    <row r="109" spans="1:26">
      <c r="Q109" s="22"/>
      <c r="R109" s="22"/>
      <c r="S109" s="22"/>
      <c r="T109" s="22"/>
      <c r="U109" s="22"/>
    </row>
    <row r="110" spans="1:26">
      <c r="Q110" s="22"/>
      <c r="R110" s="22"/>
      <c r="S110" s="22"/>
      <c r="T110" s="22"/>
      <c r="U110" s="22"/>
    </row>
    <row r="111" spans="1:26">
      <c r="Q111" s="22"/>
      <c r="R111" s="22"/>
      <c r="S111" s="22"/>
      <c r="T111" s="22"/>
      <c r="U111" s="22"/>
    </row>
    <row r="112" spans="1:26">
      <c r="Q112" s="22"/>
      <c r="R112" s="22"/>
      <c r="S112" s="22"/>
      <c r="T112" s="22"/>
      <c r="U112" s="22"/>
    </row>
    <row r="113" spans="17:27">
      <c r="Q113" s="22"/>
      <c r="R113" s="22"/>
      <c r="S113" s="22"/>
      <c r="T113" s="22"/>
      <c r="U113" s="22"/>
    </row>
    <row r="114" spans="17:27">
      <c r="Q114" s="22"/>
      <c r="R114" s="22"/>
      <c r="S114" s="22"/>
      <c r="T114" s="22"/>
      <c r="U114" s="22"/>
    </row>
    <row r="115" spans="17:27">
      <c r="Q115" s="22"/>
      <c r="R115" s="22"/>
      <c r="S115" s="22"/>
      <c r="T115" s="22"/>
      <c r="U115" s="22"/>
    </row>
    <row r="116" spans="17:27">
      <c r="Q116" s="22"/>
      <c r="R116" s="22"/>
      <c r="S116" s="22"/>
      <c r="T116" s="22"/>
      <c r="U116" s="22"/>
    </row>
    <row r="117" spans="17:27">
      <c r="Q117" s="22"/>
      <c r="R117" s="22"/>
      <c r="S117" s="22"/>
      <c r="T117" s="22"/>
      <c r="U117" s="22"/>
    </row>
    <row r="118" spans="17:27">
      <c r="Q118" s="22"/>
      <c r="R118" s="22"/>
      <c r="S118" s="22"/>
      <c r="T118" s="22"/>
      <c r="U118" s="22"/>
    </row>
    <row r="119" spans="17:27">
      <c r="Q119" s="22"/>
      <c r="AA119" s="22"/>
    </row>
  </sheetData>
  <mergeCells count="9">
    <mergeCell ref="AC3:AK3"/>
    <mergeCell ref="AC15:AL17"/>
    <mergeCell ref="T18:X18"/>
    <mergeCell ref="T22:X22"/>
    <mergeCell ref="A103:P103"/>
    <mergeCell ref="A10:Q10"/>
    <mergeCell ref="I14:P14"/>
    <mergeCell ref="T78:X78"/>
    <mergeCell ref="T40:X40"/>
  </mergeCells>
  <conditionalFormatting sqref="M19:M23 M24:N24 N25 N29:N30 N33:N34 M35:N35 M38 N39">
    <cfRule type="cellIs" dxfId="331" priority="788" operator="lessThan">
      <formula>"K$25"</formula>
    </cfRule>
  </conditionalFormatting>
  <conditionalFormatting sqref="M19:M24">
    <cfRule type="aboveAverage" dxfId="330" priority="7879" aboveAverage="0"/>
  </conditionalFormatting>
  <conditionalFormatting sqref="M19:M32">
    <cfRule type="containsText" dxfId="329" priority="7636" operator="containsText" text="Válido">
      <formula>NOT(ISERROR(SEARCH("Válido",M19)))</formula>
    </cfRule>
    <cfRule type="containsText" dxfId="328" priority="7637" operator="containsText" text="Inexequível">
      <formula>NOT(ISERROR(SEARCH("Inexequível",M19)))</formula>
    </cfRule>
  </conditionalFormatting>
  <conditionalFormatting sqref="M19:M49">
    <cfRule type="containsText" priority="245" operator="containsText" text="Excessivamente elevado">
      <formula>NOT(ISERROR(SEARCH("Excessivamente elevado",M19)))</formula>
    </cfRule>
  </conditionalFormatting>
  <conditionalFormatting sqref="M25:M32">
    <cfRule type="aboveAverage" dxfId="327" priority="7638" aboveAverage="0"/>
  </conditionalFormatting>
  <conditionalFormatting sqref="M25:M34">
    <cfRule type="containsText" dxfId="326" priority="332" operator="containsText" text="Excessivamente elevado">
      <formula>NOT(ISERROR(SEARCH("Excessivamente elevado",M25)))</formula>
    </cfRule>
    <cfRule type="cellIs" dxfId="325" priority="333" operator="lessThan">
      <formula>"K$25"</formula>
    </cfRule>
    <cfRule type="cellIs" dxfId="324" priority="335" operator="greaterThan">
      <formula>"J$25"</formula>
    </cfRule>
  </conditionalFormatting>
  <conditionalFormatting sqref="M25:M49">
    <cfRule type="cellIs" dxfId="323" priority="243" operator="greaterThan">
      <formula>"J&amp;25"</formula>
    </cfRule>
  </conditionalFormatting>
  <conditionalFormatting sqref="M33:M34">
    <cfRule type="containsText" dxfId="322" priority="337" operator="containsText" text="Válido">
      <formula>NOT(ISERROR(SEARCH("Válido",M33)))</formula>
    </cfRule>
    <cfRule type="containsText" dxfId="321" priority="338" operator="containsText" text="Inexequível">
      <formula>NOT(ISERROR(SEARCH("Inexequível",M33)))</formula>
    </cfRule>
    <cfRule type="aboveAverage" dxfId="320" priority="339" aboveAverage="0"/>
  </conditionalFormatting>
  <conditionalFormatting sqref="M35 M38">
    <cfRule type="aboveAverage" dxfId="319" priority="423" aboveAverage="0"/>
  </conditionalFormatting>
  <conditionalFormatting sqref="M35">
    <cfRule type="cellIs" dxfId="318" priority="790" operator="lessThan">
      <formula>"K$25"</formula>
    </cfRule>
  </conditionalFormatting>
  <conditionalFormatting sqref="M35:M38">
    <cfRule type="containsText" dxfId="317" priority="345" operator="containsText" text="Válido">
      <formula>NOT(ISERROR(SEARCH("Válido",M35)))</formula>
    </cfRule>
    <cfRule type="containsText" dxfId="316" priority="346" operator="containsText" text="Inexequível">
      <formula>NOT(ISERROR(SEARCH("Inexequível",M35)))</formula>
    </cfRule>
  </conditionalFormatting>
  <conditionalFormatting sqref="M36:M37">
    <cfRule type="containsText" dxfId="315" priority="340" operator="containsText" text="Excessivamente elevado">
      <formula>NOT(ISERROR(SEARCH("Excessivamente elevado",M36)))</formula>
    </cfRule>
    <cfRule type="cellIs" dxfId="314" priority="341" operator="lessThan">
      <formula>"K$25"</formula>
    </cfRule>
    <cfRule type="cellIs" dxfId="313" priority="343" operator="greaterThan">
      <formula>"J$25"</formula>
    </cfRule>
    <cfRule type="aboveAverage" dxfId="312" priority="347" aboveAverage="0"/>
  </conditionalFormatting>
  <conditionalFormatting sqref="M39">
    <cfRule type="aboveAverage" dxfId="311" priority="310" aboveAverage="0"/>
  </conditionalFormatting>
  <conditionalFormatting sqref="M39:M49">
    <cfRule type="containsText" dxfId="310" priority="241" operator="containsText" text="Excessivamente elevado">
      <formula>NOT(ISERROR(SEARCH("Excessivamente elevado",M39)))</formula>
    </cfRule>
    <cfRule type="cellIs" dxfId="309" priority="242" operator="lessThan">
      <formula>"K$25"</formula>
    </cfRule>
    <cfRule type="cellIs" dxfId="308" priority="244" operator="greaterThan">
      <formula>"J$25"</formula>
    </cfRule>
    <cfRule type="containsText" dxfId="307" priority="246" operator="containsText" text="Válido">
      <formula>NOT(ISERROR(SEARCH("Válido",M39)))</formula>
    </cfRule>
    <cfRule type="containsText" dxfId="306" priority="247" operator="containsText" text="Inexequível">
      <formula>NOT(ISERROR(SEARCH("Inexequível",M39)))</formula>
    </cfRule>
  </conditionalFormatting>
  <conditionalFormatting sqref="M40:M41">
    <cfRule type="aboveAverage" dxfId="305" priority="7818" aboveAverage="0"/>
  </conditionalFormatting>
  <conditionalFormatting sqref="M42">
    <cfRule type="aboveAverage" dxfId="304" priority="284" aboveAverage="0"/>
  </conditionalFormatting>
  <conditionalFormatting sqref="M43:M45">
    <cfRule type="aboveAverage" dxfId="303" priority="302" aboveAverage="0"/>
  </conditionalFormatting>
  <conditionalFormatting sqref="M46:M49">
    <cfRule type="aboveAverage" dxfId="302" priority="248" aboveAverage="0"/>
  </conditionalFormatting>
  <conditionalFormatting sqref="M50">
    <cfRule type="aboveAverage" dxfId="301" priority="230" aboveAverage="0"/>
  </conditionalFormatting>
  <conditionalFormatting sqref="M50:M102">
    <cfRule type="containsText" priority="68" operator="containsText" text="Excessivamente elevado">
      <formula>NOT(ISERROR(SEARCH("Excessivamente elevado",M50)))</formula>
    </cfRule>
  </conditionalFormatting>
  <conditionalFormatting sqref="M51:M72">
    <cfRule type="aboveAverage" dxfId="300" priority="202" aboveAverage="0"/>
  </conditionalFormatting>
  <conditionalFormatting sqref="M51:M102">
    <cfRule type="containsText" dxfId="299" priority="64" operator="containsText" text="Excessivamente elevado">
      <formula>NOT(ISERROR(SEARCH("Excessivamente elevado",M51)))</formula>
    </cfRule>
    <cfRule type="cellIs" dxfId="298" priority="65" operator="lessThan">
      <formula>"K$25"</formula>
    </cfRule>
    <cfRule type="cellIs" dxfId="297" priority="66" operator="greaterThan">
      <formula>"J&amp;25"</formula>
    </cfRule>
    <cfRule type="cellIs" dxfId="296" priority="67" operator="greaterThan">
      <formula>"J$25"</formula>
    </cfRule>
    <cfRule type="containsText" dxfId="295" priority="69" operator="containsText" text="Válido">
      <formula>NOT(ISERROR(SEARCH("Válido",M51)))</formula>
    </cfRule>
    <cfRule type="containsText" dxfId="294" priority="70" operator="containsText" text="Inexequível">
      <formula>NOT(ISERROR(SEARCH("Inexequível",M51)))</formula>
    </cfRule>
  </conditionalFormatting>
  <conditionalFormatting sqref="M73:M75 M79:M81">
    <cfRule type="aboveAverage" dxfId="293" priority="591" aboveAverage="0"/>
  </conditionalFormatting>
  <conditionalFormatting sqref="M76">
    <cfRule type="aboveAverage" dxfId="292" priority="113" aboveAverage="0"/>
  </conditionalFormatting>
  <conditionalFormatting sqref="M77:M78">
    <cfRule type="aboveAverage" dxfId="291" priority="105" aboveAverage="0"/>
  </conditionalFormatting>
  <conditionalFormatting sqref="M82">
    <cfRule type="aboveAverage" dxfId="290" priority="79" aboveAverage="0"/>
  </conditionalFormatting>
  <conditionalFormatting sqref="M83:M102">
    <cfRule type="aboveAverage" dxfId="289" priority="71" aboveAverage="0"/>
  </conditionalFormatting>
  <conditionalFormatting sqref="M24:N24 M35:N35 M38 N33:N34 N25 N29:N30 M6:O9 M11:O13 M18:M23 M103:O1048576">
    <cfRule type="containsText" dxfId="288" priority="787" operator="containsText" text="Excessivamente elevado">
      <formula>NOT(ISERROR(SEARCH("Excessivamente elevado",M6)))</formula>
    </cfRule>
  </conditionalFormatting>
  <conditionalFormatting sqref="M24:N24 N29:N30 M19:M23 N25">
    <cfRule type="cellIs" dxfId="287" priority="789" operator="greaterThan">
      <formula>"J&amp;25"</formula>
    </cfRule>
  </conditionalFormatting>
  <conditionalFormatting sqref="M35:N35 M19:M23 M24:N24 N25 N29:N30 N33:N34 M38 N39">
    <cfRule type="cellIs" dxfId="286" priority="791" operator="greaterThan">
      <formula>"J$25"</formula>
    </cfRule>
  </conditionalFormatting>
  <conditionalFormatting sqref="M50:O50">
    <cfRule type="containsText" dxfId="285" priority="204" operator="containsText" text="Excessivamente elevado">
      <formula>NOT(ISERROR(SEARCH("Excessivamente elevado",M50)))</formula>
    </cfRule>
    <cfRule type="cellIs" dxfId="284" priority="205" operator="lessThan">
      <formula>"K$25"</formula>
    </cfRule>
    <cfRule type="cellIs" dxfId="283" priority="206" operator="greaterThan">
      <formula>"J&amp;25"</formula>
    </cfRule>
    <cfRule type="cellIs" dxfId="282" priority="207" operator="greaterThan">
      <formula>"J$25"</formula>
    </cfRule>
    <cfRule type="containsText" dxfId="281" priority="209" operator="containsText" text="Válido">
      <formula>NOT(ISERROR(SEARCH("Válido",M50)))</formula>
    </cfRule>
    <cfRule type="containsText" dxfId="280" priority="210" operator="containsText" text="Inexequível">
      <formula>NOT(ISERROR(SEARCH("Inexequível",M50)))</formula>
    </cfRule>
  </conditionalFormatting>
  <conditionalFormatting sqref="N17:N18">
    <cfRule type="containsText" dxfId="279" priority="772" operator="containsText" text="Excessivamente elevado">
      <formula>NOT(ISERROR(SEARCH("Excessivamente elevado",N17)))</formula>
    </cfRule>
  </conditionalFormatting>
  <conditionalFormatting sqref="N24">
    <cfRule type="cellIs" dxfId="278" priority="434" operator="lessThan">
      <formula>"K$25"</formula>
    </cfRule>
    <cfRule type="cellIs" dxfId="277" priority="435" operator="greaterThan">
      <formula>"J$25"</formula>
    </cfRule>
    <cfRule type="aboveAverage" dxfId="276" priority="7624" aboveAverage="0"/>
  </conditionalFormatting>
  <conditionalFormatting sqref="N24:N25 N29:N30 N33:N35 N38:N39">
    <cfRule type="containsText" priority="416" operator="containsText" text="Excessivamente elevado">
      <formula>NOT(ISERROR(SEARCH("Excessivamente elevado",N24)))</formula>
    </cfRule>
  </conditionalFormatting>
  <conditionalFormatting sqref="N24:N25 N29:N30">
    <cfRule type="containsText" dxfId="275" priority="805" operator="containsText" text="Válido">
      <formula>NOT(ISERROR(SEARCH("Válido",N24)))</formula>
    </cfRule>
    <cfRule type="containsText" dxfId="274" priority="806" operator="containsText" text="Inexequível">
      <formula>NOT(ISERROR(SEARCH("Inexequível",N24)))</formula>
    </cfRule>
  </conditionalFormatting>
  <conditionalFormatting sqref="N25">
    <cfRule type="aboveAverage" dxfId="273" priority="363" aboveAverage="0"/>
  </conditionalFormatting>
  <conditionalFormatting sqref="N29">
    <cfRule type="cellIs" dxfId="272" priority="357" operator="lessThan">
      <formula>"K$25"</formula>
    </cfRule>
    <cfRule type="cellIs" dxfId="271" priority="358" operator="greaterThan">
      <formula>"J$25"</formula>
    </cfRule>
    <cfRule type="aboveAverage" dxfId="270" priority="360" aboveAverage="0"/>
  </conditionalFormatting>
  <conditionalFormatting sqref="N30">
    <cfRule type="aboveAverage" dxfId="269" priority="1" aboveAverage="0"/>
  </conditionalFormatting>
  <conditionalFormatting sqref="N33:N35 N38:N39">
    <cfRule type="cellIs" dxfId="268" priority="593" operator="greaterThan">
      <formula>"J&amp;25"</formula>
    </cfRule>
  </conditionalFormatting>
  <conditionalFormatting sqref="N33:N35">
    <cfRule type="containsText" dxfId="267" priority="417" operator="containsText" text="Válido">
      <formula>NOT(ISERROR(SEARCH("Válido",N33)))</formula>
    </cfRule>
    <cfRule type="containsText" dxfId="266" priority="418" operator="containsText" text="Inexequível">
      <formula>NOT(ISERROR(SEARCH("Inexequível",N33)))</formula>
    </cfRule>
    <cfRule type="aboveAverage" dxfId="265" priority="419" aboveAverage="0"/>
  </conditionalFormatting>
  <conditionalFormatting sqref="N38">
    <cfRule type="cellIs" dxfId="264" priority="592" operator="lessThan">
      <formula>"K$25"</formula>
    </cfRule>
    <cfRule type="cellIs" dxfId="263" priority="595" operator="greaterThan">
      <formula>"J$25"</formula>
    </cfRule>
    <cfRule type="containsText" dxfId="262" priority="598" operator="containsText" text="Válido">
      <formula>NOT(ISERROR(SEARCH("Válido",N38)))</formula>
    </cfRule>
    <cfRule type="containsText" dxfId="261" priority="599" operator="containsText" text="Inexequível">
      <formula>NOT(ISERROR(SEARCH("Inexequível",N38)))</formula>
    </cfRule>
    <cfRule type="aboveAverage" dxfId="260" priority="600" aboveAverage="0"/>
  </conditionalFormatting>
  <conditionalFormatting sqref="N38:N39">
    <cfRule type="containsText" dxfId="259" priority="596" operator="containsText" text="Excessivamente elevado">
      <formula>NOT(ISERROR(SEARCH("Excessivamente elevado",N38)))</formula>
    </cfRule>
  </conditionalFormatting>
  <conditionalFormatting sqref="N39">
    <cfRule type="containsText" dxfId="258" priority="320" operator="containsText" text="Válido">
      <formula>NOT(ISERROR(SEARCH("Válido",N39)))</formula>
    </cfRule>
    <cfRule type="containsText" dxfId="257" priority="321" operator="containsText" text="Inexequível">
      <formula>NOT(ISERROR(SEARCH("Inexequível",N39)))</formula>
    </cfRule>
    <cfRule type="aboveAverage" dxfId="256" priority="322" aboveAverage="0"/>
  </conditionalFormatting>
  <conditionalFormatting sqref="N42">
    <cfRule type="aboveAverage" dxfId="255" priority="294" aboveAverage="0"/>
  </conditionalFormatting>
  <conditionalFormatting sqref="N45">
    <cfRule type="aboveAverage" dxfId="254" priority="258" aboveAverage="0"/>
  </conditionalFormatting>
  <conditionalFormatting sqref="N50">
    <cfRule type="aboveAverage" dxfId="253" priority="212" aboveAverage="0"/>
  </conditionalFormatting>
  <conditionalFormatting sqref="N53">
    <cfRule type="containsText" priority="138" operator="containsText" text="Excessivamente elevado">
      <formula>NOT(ISERROR(SEARCH("Excessivamente elevado",N53)))</formula>
    </cfRule>
    <cfRule type="cellIs" dxfId="252" priority="139" operator="lessThan">
      <formula>"K$25"</formula>
    </cfRule>
    <cfRule type="cellIs" dxfId="251" priority="140" operator="greaterThan">
      <formula>"J&amp;25"</formula>
    </cfRule>
    <cfRule type="cellIs" dxfId="250" priority="141" operator="greaterThan">
      <formula>"J$25"</formula>
    </cfRule>
    <cfRule type="containsText" dxfId="249" priority="142" operator="containsText" text="Excessivamente elevado">
      <formula>NOT(ISERROR(SEARCH("Excessivamente elevado",N53)))</formula>
    </cfRule>
    <cfRule type="containsText" dxfId="248" priority="143" operator="containsText" text="Válido">
      <formula>NOT(ISERROR(SEARCH("Válido",N53)))</formula>
    </cfRule>
    <cfRule type="containsText" dxfId="247" priority="144" operator="containsText" text="Inexequível">
      <formula>NOT(ISERROR(SEARCH("Inexequível",N53)))</formula>
    </cfRule>
    <cfRule type="aboveAverage" dxfId="246" priority="145" aboveAverage="0"/>
  </conditionalFormatting>
  <conditionalFormatting sqref="N58">
    <cfRule type="aboveAverage" dxfId="245" priority="194" aboveAverage="0"/>
  </conditionalFormatting>
  <conditionalFormatting sqref="N59">
    <cfRule type="containsText" priority="130" operator="containsText" text="Excessivamente elevado">
      <formula>NOT(ISERROR(SEARCH("Excessivamente elevado",N59)))</formula>
    </cfRule>
    <cfRule type="cellIs" dxfId="244" priority="131" operator="lessThan">
      <formula>"K$25"</formula>
    </cfRule>
    <cfRule type="cellIs" dxfId="243" priority="132" operator="greaterThan">
      <formula>"J&amp;25"</formula>
    </cfRule>
    <cfRule type="cellIs" dxfId="242" priority="133" operator="greaterThan">
      <formula>"J$25"</formula>
    </cfRule>
    <cfRule type="containsText" dxfId="241" priority="134" operator="containsText" text="Excessivamente elevado">
      <formula>NOT(ISERROR(SEARCH("Excessivamente elevado",N59)))</formula>
    </cfRule>
    <cfRule type="containsText" dxfId="240" priority="135" operator="containsText" text="Válido">
      <formula>NOT(ISERROR(SEARCH("Válido",N59)))</formula>
    </cfRule>
    <cfRule type="containsText" dxfId="239" priority="136" operator="containsText" text="Inexequível">
      <formula>NOT(ISERROR(SEARCH("Inexequível",N59)))</formula>
    </cfRule>
    <cfRule type="aboveAverage" dxfId="238" priority="137" aboveAverage="0"/>
  </conditionalFormatting>
  <conditionalFormatting sqref="N64">
    <cfRule type="aboveAverage" dxfId="237" priority="184" aboveAverage="0"/>
  </conditionalFormatting>
  <conditionalFormatting sqref="N65">
    <cfRule type="containsText" priority="122" operator="containsText" text="Excessivamente elevado">
      <formula>NOT(ISERROR(SEARCH("Excessivamente elevado",N65)))</formula>
    </cfRule>
    <cfRule type="cellIs" dxfId="236" priority="123" operator="lessThan">
      <formula>"K$25"</formula>
    </cfRule>
    <cfRule type="cellIs" dxfId="235" priority="124" operator="greaterThan">
      <formula>"J&amp;25"</formula>
    </cfRule>
    <cfRule type="cellIs" dxfId="234" priority="125" operator="greaterThan">
      <formula>"J$25"</formula>
    </cfRule>
    <cfRule type="containsText" dxfId="233" priority="126" operator="containsText" text="Excessivamente elevado">
      <formula>NOT(ISERROR(SEARCH("Excessivamente elevado",N65)))</formula>
    </cfRule>
    <cfRule type="containsText" dxfId="232" priority="127" operator="containsText" text="Válido">
      <formula>NOT(ISERROR(SEARCH("Válido",N65)))</formula>
    </cfRule>
    <cfRule type="containsText" dxfId="231" priority="128" operator="containsText" text="Inexequível">
      <formula>NOT(ISERROR(SEARCH("Inexequível",N65)))</formula>
    </cfRule>
    <cfRule type="aboveAverage" dxfId="230" priority="129" aboveAverage="0"/>
  </conditionalFormatting>
  <conditionalFormatting sqref="N70">
    <cfRule type="aboveAverage" dxfId="229" priority="174" aboveAverage="0"/>
  </conditionalFormatting>
  <conditionalFormatting sqref="N71:N72">
    <cfRule type="containsText" priority="114" operator="containsText" text="Excessivamente elevado">
      <formula>NOT(ISERROR(SEARCH("Excessivamente elevado",N71)))</formula>
    </cfRule>
    <cfRule type="cellIs" dxfId="228" priority="115" operator="lessThan">
      <formula>"K$25"</formula>
    </cfRule>
    <cfRule type="cellIs" dxfId="227" priority="116" operator="greaterThan">
      <formula>"J&amp;25"</formula>
    </cfRule>
    <cfRule type="cellIs" dxfId="226" priority="117" operator="greaterThan">
      <formula>"J$25"</formula>
    </cfRule>
    <cfRule type="containsText" dxfId="225" priority="118" operator="containsText" text="Excessivamente elevado">
      <formula>NOT(ISERROR(SEARCH("Excessivamente elevado",N71)))</formula>
    </cfRule>
    <cfRule type="containsText" dxfId="224" priority="119" operator="containsText" text="Válido">
      <formula>NOT(ISERROR(SEARCH("Válido",N71)))</formula>
    </cfRule>
    <cfRule type="containsText" dxfId="223" priority="120" operator="containsText" text="Inexequível">
      <formula>NOT(ISERROR(SEARCH("Inexequível",N71)))</formula>
    </cfRule>
    <cfRule type="aboveAverage" dxfId="222" priority="121" aboveAverage="0"/>
  </conditionalFormatting>
  <conditionalFormatting sqref="N76">
    <cfRule type="aboveAverage" dxfId="221" priority="155" aboveAverage="0"/>
  </conditionalFormatting>
  <conditionalFormatting sqref="N77:N78">
    <cfRule type="containsText" priority="80" operator="containsText" text="Excessivamente elevado">
      <formula>NOT(ISERROR(SEARCH("Excessivamente elevado",N77)))</formula>
    </cfRule>
    <cfRule type="cellIs" dxfId="220" priority="81" operator="lessThan">
      <formula>"K$25"</formula>
    </cfRule>
    <cfRule type="cellIs" dxfId="219" priority="82" operator="greaterThan">
      <formula>"J&amp;25"</formula>
    </cfRule>
    <cfRule type="cellIs" dxfId="218" priority="83" operator="greaterThan">
      <formula>"J$25"</formula>
    </cfRule>
    <cfRule type="containsText" dxfId="217" priority="84" operator="containsText" text="Excessivamente elevado">
      <formula>NOT(ISERROR(SEARCH("Excessivamente elevado",N77)))</formula>
    </cfRule>
    <cfRule type="containsText" dxfId="216" priority="85" operator="containsText" text="Válido">
      <formula>NOT(ISERROR(SEARCH("Válido",N77)))</formula>
    </cfRule>
    <cfRule type="containsText" dxfId="215" priority="86" operator="containsText" text="Inexequível">
      <formula>NOT(ISERROR(SEARCH("Inexequível",N77)))</formula>
    </cfRule>
    <cfRule type="aboveAverage" dxfId="214" priority="87" aboveAverage="0"/>
  </conditionalFormatting>
  <conditionalFormatting sqref="N82">
    <cfRule type="aboveAverage" dxfId="213" priority="97" aboveAverage="0"/>
  </conditionalFormatting>
  <conditionalFormatting sqref="N83:N84">
    <cfRule type="containsText" priority="46" operator="containsText" text="Excessivamente elevado">
      <formula>NOT(ISERROR(SEARCH("Excessivamente elevado",N83)))</formula>
    </cfRule>
    <cfRule type="cellIs" dxfId="212" priority="47" operator="lessThan">
      <formula>"K$25"</formula>
    </cfRule>
    <cfRule type="cellIs" dxfId="211" priority="48" operator="greaterThan">
      <formula>"J&amp;25"</formula>
    </cfRule>
    <cfRule type="cellIs" dxfId="210" priority="49" operator="greaterThan">
      <formula>"J$25"</formula>
    </cfRule>
    <cfRule type="containsText" dxfId="209" priority="50" operator="containsText" text="Excessivamente elevado">
      <formula>NOT(ISERROR(SEARCH("Excessivamente elevado",N83)))</formula>
    </cfRule>
    <cfRule type="containsText" dxfId="208" priority="51" operator="containsText" text="Válido">
      <formula>NOT(ISERROR(SEARCH("Válido",N83)))</formula>
    </cfRule>
    <cfRule type="containsText" dxfId="207" priority="52" operator="containsText" text="Inexequível">
      <formula>NOT(ISERROR(SEARCH("Inexequível",N83)))</formula>
    </cfRule>
    <cfRule type="aboveAverage" dxfId="206" priority="53" aboveAverage="0"/>
  </conditionalFormatting>
  <conditionalFormatting sqref="N88">
    <cfRule type="aboveAverage" dxfId="205" priority="63" aboveAverage="0"/>
  </conditionalFormatting>
  <conditionalFormatting sqref="N91">
    <cfRule type="containsText" priority="30" operator="containsText" text="Excessivamente elevado">
      <formula>NOT(ISERROR(SEARCH("Excessivamente elevado",N91)))</formula>
    </cfRule>
    <cfRule type="cellIs" dxfId="204" priority="31" operator="lessThan">
      <formula>"K$25"</formula>
    </cfRule>
    <cfRule type="cellIs" dxfId="203" priority="32" operator="greaterThan">
      <formula>"J&amp;25"</formula>
    </cfRule>
    <cfRule type="cellIs" dxfId="202" priority="33" operator="greaterThan">
      <formula>"J$25"</formula>
    </cfRule>
    <cfRule type="containsText" dxfId="201" priority="34" operator="containsText" text="Excessivamente elevado">
      <formula>NOT(ISERROR(SEARCH("Excessivamente elevado",N91)))</formula>
    </cfRule>
    <cfRule type="containsText" dxfId="200" priority="35" operator="containsText" text="Válido">
      <formula>NOT(ISERROR(SEARCH("Válido",N91)))</formula>
    </cfRule>
    <cfRule type="containsText" dxfId="199" priority="36" operator="containsText" text="Inexequível">
      <formula>NOT(ISERROR(SEARCH("Inexequível",N91)))</formula>
    </cfRule>
    <cfRule type="aboveAverage" dxfId="198" priority="37" aboveAverage="0"/>
  </conditionalFormatting>
  <conditionalFormatting sqref="N95">
    <cfRule type="aboveAverage" dxfId="197" priority="29" aboveAverage="0"/>
  </conditionalFormatting>
  <conditionalFormatting sqref="N96">
    <cfRule type="containsText" priority="12" operator="containsText" text="Excessivamente elevado">
      <formula>NOT(ISERROR(SEARCH("Excessivamente elevado",N96)))</formula>
    </cfRule>
    <cfRule type="cellIs" dxfId="196" priority="13" operator="lessThan">
      <formula>"K$25"</formula>
    </cfRule>
    <cfRule type="cellIs" dxfId="195" priority="14" operator="greaterThan">
      <formula>"J&amp;25"</formula>
    </cfRule>
    <cfRule type="cellIs" dxfId="194" priority="15" operator="greaterThan">
      <formula>"J$25"</formula>
    </cfRule>
    <cfRule type="containsText" dxfId="193" priority="16" operator="containsText" text="Excessivamente elevado">
      <formula>NOT(ISERROR(SEARCH("Excessivamente elevado",N96)))</formula>
    </cfRule>
    <cfRule type="containsText" dxfId="192" priority="17" operator="containsText" text="Válido">
      <formula>NOT(ISERROR(SEARCH("Válido",N96)))</formula>
    </cfRule>
    <cfRule type="containsText" dxfId="191" priority="18" operator="containsText" text="Inexequível">
      <formula>NOT(ISERROR(SEARCH("Inexequível",N96)))</formula>
    </cfRule>
    <cfRule type="aboveAverage" dxfId="190" priority="19" aboveAverage="0"/>
  </conditionalFormatting>
  <conditionalFormatting sqref="N100">
    <cfRule type="aboveAverage" dxfId="189" priority="11" aboveAverage="0"/>
  </conditionalFormatting>
  <conditionalFormatting sqref="N42:O42">
    <cfRule type="cellIs" dxfId="188" priority="285" operator="between">
      <formula>75</formula>
      <formula>100</formula>
    </cfRule>
    <cfRule type="containsText" dxfId="187" priority="286" operator="containsText" text="Excessivamente elevado">
      <formula>NOT(ISERROR(SEARCH("Excessivamente elevado",N42)))</formula>
    </cfRule>
    <cfRule type="cellIs" dxfId="186" priority="287" operator="lessThan">
      <formula>"K$25"</formula>
    </cfRule>
    <cfRule type="cellIs" dxfId="185" priority="288" operator="greaterThan">
      <formula>"J&amp;25"</formula>
    </cfRule>
    <cfRule type="cellIs" dxfId="184" priority="289" operator="greaterThan">
      <formula>"J$25"</formula>
    </cfRule>
    <cfRule type="containsText" priority="290" operator="containsText" text="Excessivamente elevado">
      <formula>NOT(ISERROR(SEARCH("Excessivamente elevado",N42)))</formula>
    </cfRule>
    <cfRule type="containsText" dxfId="183" priority="291" operator="containsText" text="Válido">
      <formula>NOT(ISERROR(SEARCH("Válido",N42)))</formula>
    </cfRule>
    <cfRule type="containsText" dxfId="182" priority="292" operator="containsText" text="Inexequível">
      <formula>NOT(ISERROR(SEARCH("Inexequível",N42)))</formula>
    </cfRule>
  </conditionalFormatting>
  <conditionalFormatting sqref="N45:O45">
    <cfRule type="cellIs" dxfId="181" priority="249" operator="between">
      <formula>75</formula>
      <formula>100</formula>
    </cfRule>
    <cfRule type="containsText" dxfId="180" priority="250" operator="containsText" text="Excessivamente elevado">
      <formula>NOT(ISERROR(SEARCH("Excessivamente elevado",N45)))</formula>
    </cfRule>
    <cfRule type="cellIs" dxfId="179" priority="251" operator="lessThan">
      <formula>"K$25"</formula>
    </cfRule>
    <cfRule type="cellIs" dxfId="178" priority="252" operator="greaterThan">
      <formula>"J&amp;25"</formula>
    </cfRule>
    <cfRule type="cellIs" dxfId="177" priority="253" operator="greaterThan">
      <formula>"J$25"</formula>
    </cfRule>
    <cfRule type="containsText" priority="254" operator="containsText" text="Excessivamente elevado">
      <formula>NOT(ISERROR(SEARCH("Excessivamente elevado",N45)))</formula>
    </cfRule>
    <cfRule type="containsText" dxfId="176" priority="255" operator="containsText" text="Válido">
      <formula>NOT(ISERROR(SEARCH("Válido",N45)))</formula>
    </cfRule>
    <cfRule type="containsText" dxfId="175" priority="256" operator="containsText" text="Inexequível">
      <formula>NOT(ISERROR(SEARCH("Inexequível",N45)))</formula>
    </cfRule>
  </conditionalFormatting>
  <conditionalFormatting sqref="N50:O50">
    <cfRule type="cellIs" dxfId="174" priority="203" operator="between">
      <formula>75</formula>
      <formula>100</formula>
    </cfRule>
    <cfRule type="containsText" priority="208" operator="containsText" text="Excessivamente elevado">
      <formula>NOT(ISERROR(SEARCH("Excessivamente elevado",N50)))</formula>
    </cfRule>
  </conditionalFormatting>
  <conditionalFormatting sqref="N58:O58">
    <cfRule type="cellIs" dxfId="173" priority="185" operator="between">
      <formula>75</formula>
      <formula>100</formula>
    </cfRule>
    <cfRule type="containsText" dxfId="172" priority="186" operator="containsText" text="Excessivamente elevado">
      <formula>NOT(ISERROR(SEARCH("Excessivamente elevado",N58)))</formula>
    </cfRule>
    <cfRule type="cellIs" dxfId="171" priority="187" operator="lessThan">
      <formula>"K$25"</formula>
    </cfRule>
    <cfRule type="cellIs" dxfId="170" priority="188" operator="greaterThan">
      <formula>"J&amp;25"</formula>
    </cfRule>
    <cfRule type="cellIs" dxfId="169" priority="189" operator="greaterThan">
      <formula>"J$25"</formula>
    </cfRule>
    <cfRule type="containsText" priority="190" operator="containsText" text="Excessivamente elevado">
      <formula>NOT(ISERROR(SEARCH("Excessivamente elevado",N58)))</formula>
    </cfRule>
    <cfRule type="containsText" dxfId="168" priority="191" operator="containsText" text="Válido">
      <formula>NOT(ISERROR(SEARCH("Válido",N58)))</formula>
    </cfRule>
    <cfRule type="containsText" dxfId="167" priority="192" operator="containsText" text="Inexequível">
      <formula>NOT(ISERROR(SEARCH("Inexequível",N58)))</formula>
    </cfRule>
  </conditionalFormatting>
  <conditionalFormatting sqref="N64:O64">
    <cfRule type="cellIs" dxfId="166" priority="175" operator="between">
      <formula>75</formula>
      <formula>100</formula>
    </cfRule>
    <cfRule type="containsText" dxfId="165" priority="176" operator="containsText" text="Excessivamente elevado">
      <formula>NOT(ISERROR(SEARCH("Excessivamente elevado",N64)))</formula>
    </cfRule>
    <cfRule type="cellIs" dxfId="164" priority="177" operator="lessThan">
      <formula>"K$25"</formula>
    </cfRule>
    <cfRule type="cellIs" dxfId="163" priority="178" operator="greaterThan">
      <formula>"J&amp;25"</formula>
    </cfRule>
    <cfRule type="cellIs" dxfId="162" priority="179" operator="greaterThan">
      <formula>"J$25"</formula>
    </cfRule>
    <cfRule type="containsText" priority="180" operator="containsText" text="Excessivamente elevado">
      <formula>NOT(ISERROR(SEARCH("Excessivamente elevado",N64)))</formula>
    </cfRule>
    <cfRule type="containsText" dxfId="161" priority="181" operator="containsText" text="Válido">
      <formula>NOT(ISERROR(SEARCH("Válido",N64)))</formula>
    </cfRule>
    <cfRule type="containsText" dxfId="160" priority="182" operator="containsText" text="Inexequível">
      <formula>NOT(ISERROR(SEARCH("Inexequível",N64)))</formula>
    </cfRule>
  </conditionalFormatting>
  <conditionalFormatting sqref="N70:O70">
    <cfRule type="cellIs" dxfId="159" priority="165" operator="between">
      <formula>75</formula>
      <formula>100</formula>
    </cfRule>
    <cfRule type="containsText" dxfId="158" priority="166" operator="containsText" text="Excessivamente elevado">
      <formula>NOT(ISERROR(SEARCH("Excessivamente elevado",N70)))</formula>
    </cfRule>
    <cfRule type="cellIs" dxfId="157" priority="167" operator="lessThan">
      <formula>"K$25"</formula>
    </cfRule>
    <cfRule type="cellIs" dxfId="156" priority="168" operator="greaterThan">
      <formula>"J&amp;25"</formula>
    </cfRule>
    <cfRule type="cellIs" dxfId="155" priority="169" operator="greaterThan">
      <formula>"J$25"</formula>
    </cfRule>
    <cfRule type="containsText" priority="170" operator="containsText" text="Excessivamente elevado">
      <formula>NOT(ISERROR(SEARCH("Excessivamente elevado",N70)))</formula>
    </cfRule>
    <cfRule type="containsText" dxfId="154" priority="171" operator="containsText" text="Válido">
      <formula>NOT(ISERROR(SEARCH("Válido",N70)))</formula>
    </cfRule>
    <cfRule type="containsText" dxfId="153" priority="172" operator="containsText" text="Inexequível">
      <formula>NOT(ISERROR(SEARCH("Inexequível",N70)))</formula>
    </cfRule>
  </conditionalFormatting>
  <conditionalFormatting sqref="N76:O76">
    <cfRule type="cellIs" dxfId="152" priority="146" operator="between">
      <formula>75</formula>
      <formula>100</formula>
    </cfRule>
    <cfRule type="containsText" dxfId="151" priority="147" operator="containsText" text="Excessivamente elevado">
      <formula>NOT(ISERROR(SEARCH("Excessivamente elevado",N76)))</formula>
    </cfRule>
    <cfRule type="cellIs" dxfId="150" priority="148" operator="lessThan">
      <formula>"K$25"</formula>
    </cfRule>
    <cfRule type="cellIs" dxfId="149" priority="149" operator="greaterThan">
      <formula>"J&amp;25"</formula>
    </cfRule>
    <cfRule type="cellIs" dxfId="148" priority="150" operator="greaterThan">
      <formula>"J$25"</formula>
    </cfRule>
    <cfRule type="containsText" priority="151" operator="containsText" text="Excessivamente elevado">
      <formula>NOT(ISERROR(SEARCH("Excessivamente elevado",N76)))</formula>
    </cfRule>
    <cfRule type="containsText" dxfId="147" priority="152" operator="containsText" text="Válido">
      <formula>NOT(ISERROR(SEARCH("Válido",N76)))</formula>
    </cfRule>
    <cfRule type="containsText" dxfId="146" priority="153" operator="containsText" text="Inexequível">
      <formula>NOT(ISERROR(SEARCH("Inexequível",N76)))</formula>
    </cfRule>
  </conditionalFormatting>
  <conditionalFormatting sqref="N82:O82">
    <cfRule type="cellIs" dxfId="145" priority="88" operator="between">
      <formula>75</formula>
      <formula>100</formula>
    </cfRule>
    <cfRule type="containsText" dxfId="144" priority="89" operator="containsText" text="Excessivamente elevado">
      <formula>NOT(ISERROR(SEARCH("Excessivamente elevado",N82)))</formula>
    </cfRule>
    <cfRule type="cellIs" dxfId="143" priority="90" operator="lessThan">
      <formula>"K$25"</formula>
    </cfRule>
    <cfRule type="cellIs" dxfId="142" priority="91" operator="greaterThan">
      <formula>"J&amp;25"</formula>
    </cfRule>
    <cfRule type="cellIs" dxfId="141" priority="92" operator="greaterThan">
      <formula>"J$25"</formula>
    </cfRule>
    <cfRule type="containsText" priority="93" operator="containsText" text="Excessivamente elevado">
      <formula>NOT(ISERROR(SEARCH("Excessivamente elevado",N82)))</formula>
    </cfRule>
    <cfRule type="containsText" dxfId="140" priority="94" operator="containsText" text="Válido">
      <formula>NOT(ISERROR(SEARCH("Válido",N82)))</formula>
    </cfRule>
    <cfRule type="containsText" dxfId="139" priority="95" operator="containsText" text="Inexequível">
      <formula>NOT(ISERROR(SEARCH("Inexequível",N82)))</formula>
    </cfRule>
  </conditionalFormatting>
  <conditionalFormatting sqref="N88:O88">
    <cfRule type="cellIs" dxfId="138" priority="54" operator="between">
      <formula>75</formula>
      <formula>100</formula>
    </cfRule>
    <cfRule type="containsText" dxfId="137" priority="55" operator="containsText" text="Excessivamente elevado">
      <formula>NOT(ISERROR(SEARCH("Excessivamente elevado",N88)))</formula>
    </cfRule>
    <cfRule type="cellIs" dxfId="136" priority="56" operator="lessThan">
      <formula>"K$25"</formula>
    </cfRule>
    <cfRule type="cellIs" dxfId="135" priority="57" operator="greaterThan">
      <formula>"J&amp;25"</formula>
    </cfRule>
    <cfRule type="cellIs" dxfId="134" priority="58" operator="greaterThan">
      <formula>"J$25"</formula>
    </cfRule>
    <cfRule type="containsText" priority="59" operator="containsText" text="Excessivamente elevado">
      <formula>NOT(ISERROR(SEARCH("Excessivamente elevado",N88)))</formula>
    </cfRule>
    <cfRule type="containsText" dxfId="133" priority="60" operator="containsText" text="Válido">
      <formula>NOT(ISERROR(SEARCH("Válido",N88)))</formula>
    </cfRule>
    <cfRule type="containsText" dxfId="132" priority="61" operator="containsText" text="Inexequível">
      <formula>NOT(ISERROR(SEARCH("Inexequível",N88)))</formula>
    </cfRule>
  </conditionalFormatting>
  <conditionalFormatting sqref="N95:O95">
    <cfRule type="cellIs" dxfId="131" priority="20" operator="between">
      <formula>75</formula>
      <formula>100</formula>
    </cfRule>
    <cfRule type="containsText" dxfId="130" priority="21" operator="containsText" text="Excessivamente elevado">
      <formula>NOT(ISERROR(SEARCH("Excessivamente elevado",N95)))</formula>
    </cfRule>
    <cfRule type="cellIs" dxfId="129" priority="22" operator="lessThan">
      <formula>"K$25"</formula>
    </cfRule>
    <cfRule type="cellIs" dxfId="128" priority="23" operator="greaterThan">
      <formula>"J&amp;25"</formula>
    </cfRule>
    <cfRule type="cellIs" dxfId="127" priority="24" operator="greaterThan">
      <formula>"J$25"</formula>
    </cfRule>
    <cfRule type="containsText" priority="25" operator="containsText" text="Excessivamente elevado">
      <formula>NOT(ISERROR(SEARCH("Excessivamente elevado",N95)))</formula>
    </cfRule>
    <cfRule type="containsText" dxfId="126" priority="26" operator="containsText" text="Válido">
      <formula>NOT(ISERROR(SEARCH("Válido",N95)))</formula>
    </cfRule>
    <cfRule type="containsText" dxfId="125" priority="27" operator="containsText" text="Inexequível">
      <formula>NOT(ISERROR(SEARCH("Inexequível",N95)))</formula>
    </cfRule>
  </conditionalFormatting>
  <conditionalFormatting sqref="N100:O100">
    <cfRule type="cellIs" dxfId="124" priority="2" operator="between">
      <formula>75</formula>
      <formula>100</formula>
    </cfRule>
    <cfRule type="containsText" dxfId="123" priority="3" operator="containsText" text="Excessivamente elevado">
      <formula>NOT(ISERROR(SEARCH("Excessivamente elevado",N100)))</formula>
    </cfRule>
    <cfRule type="cellIs" dxfId="122" priority="4" operator="lessThan">
      <formula>"K$25"</formula>
    </cfRule>
    <cfRule type="cellIs" dxfId="121" priority="5" operator="greaterThan">
      <formula>"J&amp;25"</formula>
    </cfRule>
    <cfRule type="cellIs" dxfId="120" priority="6" operator="greaterThan">
      <formula>"J$25"</formula>
    </cfRule>
    <cfRule type="containsText" priority="7" operator="containsText" text="Excessivamente elevado">
      <formula>NOT(ISERROR(SEARCH("Excessivamente elevado",N100)))</formula>
    </cfRule>
    <cfRule type="containsText" dxfId="119" priority="8" operator="containsText" text="Válido">
      <formula>NOT(ISERROR(SEARCH("Válido",N100)))</formula>
    </cfRule>
    <cfRule type="containsText" dxfId="118" priority="9" operator="containsText" text="Inexequível">
      <formula>NOT(ISERROR(SEARCH("Inexequível",N100)))</formula>
    </cfRule>
  </conditionalFormatting>
  <conditionalFormatting sqref="O35">
    <cfRule type="cellIs" dxfId="117" priority="323" operator="between">
      <formula>75</formula>
      <formula>100</formula>
    </cfRule>
    <cfRule type="containsText" dxfId="116" priority="324" operator="containsText" text="Excessivamente elevado">
      <formula>NOT(ISERROR(SEARCH("Excessivamente elevado",O35)))</formula>
    </cfRule>
    <cfRule type="cellIs" dxfId="115" priority="325" operator="lessThan">
      <formula>"K$25"</formula>
    </cfRule>
    <cfRule type="cellIs" dxfId="114" priority="326" operator="greaterThan">
      <formula>"J&amp;25"</formula>
    </cfRule>
    <cfRule type="cellIs" dxfId="113" priority="327" operator="greaterThan">
      <formula>"J$25"</formula>
    </cfRule>
    <cfRule type="containsText" priority="328" operator="containsText" text="Excessivamente elevado">
      <formula>NOT(ISERROR(SEARCH("Excessivamente elevado",O35)))</formula>
    </cfRule>
    <cfRule type="containsText" dxfId="112" priority="329" operator="containsText" text="Válido">
      <formula>NOT(ISERROR(SEARCH("Válido",O35)))</formula>
    </cfRule>
    <cfRule type="containsText" dxfId="111" priority="330" operator="containsText" text="Inexequível">
      <formula>NOT(ISERROR(SEARCH("Inexequível",O35)))</formula>
    </cfRule>
    <cfRule type="aboveAverage" dxfId="110" priority="331" aboveAverage="0"/>
  </conditionalFormatting>
  <conditionalFormatting sqref="O42">
    <cfRule type="aboveAverage" dxfId="101" priority="293" aboveAverage="0"/>
  </conditionalFormatting>
  <conditionalFormatting sqref="O45">
    <cfRule type="aboveAverage" dxfId="100" priority="257" aboveAverage="0"/>
  </conditionalFormatting>
  <conditionalFormatting sqref="O50">
    <cfRule type="aboveAverage" dxfId="99" priority="211" aboveAverage="0"/>
  </conditionalFormatting>
  <conditionalFormatting sqref="O58">
    <cfRule type="aboveAverage" dxfId="98" priority="193" aboveAverage="0"/>
  </conditionalFormatting>
  <conditionalFormatting sqref="O64">
    <cfRule type="aboveAverage" dxfId="97" priority="183" aboveAverage="0"/>
  </conditionalFormatting>
  <conditionalFormatting sqref="O70">
    <cfRule type="aboveAverage" dxfId="96" priority="173" aboveAverage="0"/>
  </conditionalFormatting>
  <conditionalFormatting sqref="O76">
    <cfRule type="aboveAverage" dxfId="95" priority="154" aboveAverage="0"/>
  </conditionalFormatting>
  <conditionalFormatting sqref="O82">
    <cfRule type="aboveAverage" dxfId="94" priority="96" aboveAverage="0"/>
  </conditionalFormatting>
  <conditionalFormatting sqref="O88">
    <cfRule type="aboveAverage" dxfId="93" priority="62" aboveAverage="0"/>
  </conditionalFormatting>
  <conditionalFormatting sqref="O95">
    <cfRule type="aboveAverage" dxfId="92" priority="28" aboveAverage="0"/>
  </conditionalFormatting>
  <conditionalFormatting sqref="O100">
    <cfRule type="aboveAverage" dxfId="91" priority="10" aboveAverage="0"/>
  </conditionalFormatting>
  <pageMargins left="0.7" right="0.7" top="0.75" bottom="0.75" header="0.3" footer="0.3"/>
  <pageSetup paperSize="9" scale="65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2:AK56"/>
  <sheetViews>
    <sheetView showGridLines="0" topLeftCell="A35" zoomScale="115" zoomScaleNormal="115" workbookViewId="0">
      <selection activeCell="B8" sqref="B8"/>
    </sheetView>
  </sheetViews>
  <sheetFormatPr defaultColWidth="9.109375" defaultRowHeight="14.4"/>
  <cols>
    <col min="1" max="1" width="4.44140625" style="20" customWidth="1"/>
    <col min="2" max="2" width="31.6640625" customWidth="1"/>
    <col min="3" max="3" width="4.33203125" customWidth="1"/>
    <col min="4" max="4" width="5.6640625" style="20" customWidth="1"/>
    <col min="5" max="5" width="16.77734375" style="13" customWidth="1"/>
    <col min="6" max="6" width="10.6640625" style="24" customWidth="1"/>
    <col min="7" max="7" width="18.6640625" style="13" customWidth="1"/>
    <col min="8" max="8" width="5.88671875" style="13" customWidth="1"/>
    <col min="9" max="9" width="11.109375" style="13" customWidth="1"/>
    <col min="10" max="10" width="10.77734375" style="13" customWidth="1"/>
    <col min="11" max="11" width="10.33203125" customWidth="1"/>
    <col min="12" max="12" width="11.88671875" customWidth="1"/>
    <col min="13" max="13" width="11.6640625" customWidth="1"/>
    <col min="14" max="14" width="7.21875" customWidth="1"/>
    <col min="15" max="15" width="21.33203125" customWidth="1"/>
    <col min="16" max="16" width="12.6640625" customWidth="1"/>
    <col min="17" max="17" width="13.6640625" customWidth="1"/>
    <col min="18" max="18" width="7.88671875" customWidth="1"/>
    <col min="19" max="19" width="12" bestFit="1" customWidth="1"/>
    <col min="20" max="20" width="9.6640625" customWidth="1"/>
    <col min="23" max="23" width="11.6640625" bestFit="1" customWidth="1"/>
    <col min="25" max="25" width="20.88671875" customWidth="1"/>
    <col min="26" max="26" width="16.6640625" customWidth="1"/>
  </cols>
  <sheetData>
    <row r="2" spans="1:37" ht="23.4">
      <c r="AB2" s="552" t="s">
        <v>35</v>
      </c>
      <c r="AC2" s="553"/>
      <c r="AD2" s="553"/>
      <c r="AE2" s="553"/>
      <c r="AF2" s="554"/>
      <c r="AG2" s="554"/>
      <c r="AH2" s="554"/>
      <c r="AI2" s="554"/>
      <c r="AJ2" s="554"/>
      <c r="AK2" s="555"/>
    </row>
    <row r="3" spans="1:37">
      <c r="E3"/>
      <c r="AB3" s="640" t="s">
        <v>36</v>
      </c>
      <c r="AC3" s="641"/>
      <c r="AD3" s="641"/>
      <c r="AE3" s="641"/>
      <c r="AF3" s="641"/>
      <c r="AG3" s="641"/>
      <c r="AH3" s="641"/>
      <c r="AI3" s="641"/>
      <c r="AJ3" s="642"/>
      <c r="AK3" s="556" t="s">
        <v>37</v>
      </c>
    </row>
    <row r="4" spans="1:37">
      <c r="AB4" s="557" t="s">
        <v>38</v>
      </c>
      <c r="AC4" s="558" t="s">
        <v>39</v>
      </c>
      <c r="AD4" s="559"/>
      <c r="AE4" s="559"/>
      <c r="AF4" s="559"/>
      <c r="AG4" s="559"/>
      <c r="AH4" s="559"/>
      <c r="AI4" s="559"/>
      <c r="AJ4" s="560"/>
      <c r="AK4" s="557" t="s">
        <v>57</v>
      </c>
    </row>
    <row r="5" spans="1:37">
      <c r="AB5" s="557" t="s">
        <v>40</v>
      </c>
      <c r="AC5" s="561" t="s">
        <v>41</v>
      </c>
      <c r="AD5" s="559"/>
      <c r="AE5" s="559"/>
      <c r="AF5" s="559"/>
      <c r="AG5" s="559"/>
      <c r="AH5" s="559"/>
      <c r="AI5" s="559"/>
      <c r="AJ5" s="560"/>
      <c r="AK5" s="557" t="s">
        <v>56</v>
      </c>
    </row>
    <row r="6" spans="1:37">
      <c r="A6" s="23" t="s">
        <v>0</v>
      </c>
      <c r="AB6" s="557" t="s">
        <v>42</v>
      </c>
      <c r="AC6" s="561" t="s">
        <v>43</v>
      </c>
      <c r="AD6" s="559"/>
      <c r="AE6" s="559"/>
      <c r="AF6" s="559"/>
      <c r="AG6" s="559"/>
      <c r="AH6" s="559"/>
      <c r="AI6" s="559"/>
      <c r="AJ6" s="560"/>
      <c r="AK6" s="557" t="s">
        <v>57</v>
      </c>
    </row>
    <row r="7" spans="1:37">
      <c r="A7" s="23" t="s">
        <v>62</v>
      </c>
      <c r="AB7" s="557" t="s">
        <v>44</v>
      </c>
      <c r="AC7" s="561" t="s">
        <v>482</v>
      </c>
      <c r="AD7" s="559"/>
      <c r="AE7" s="559"/>
      <c r="AF7" s="559"/>
      <c r="AG7" s="559"/>
      <c r="AH7" s="559"/>
      <c r="AI7" s="559"/>
      <c r="AJ7" s="560"/>
      <c r="AK7" s="557" t="s">
        <v>56</v>
      </c>
    </row>
    <row r="8" spans="1:37">
      <c r="A8" s="23" t="s">
        <v>63</v>
      </c>
      <c r="AB8" s="557" t="s">
        <v>45</v>
      </c>
      <c r="AC8" s="561" t="s">
        <v>60</v>
      </c>
      <c r="AD8" s="559"/>
      <c r="AE8" s="559"/>
      <c r="AF8" s="559"/>
      <c r="AG8" s="559"/>
      <c r="AH8" s="559"/>
      <c r="AI8" s="559"/>
      <c r="AJ8" s="560"/>
      <c r="AK8" s="557" t="s">
        <v>56</v>
      </c>
    </row>
    <row r="9" spans="1:37">
      <c r="A9" s="26"/>
      <c r="AB9" s="557" t="s">
        <v>46</v>
      </c>
      <c r="AC9" s="561" t="s">
        <v>483</v>
      </c>
      <c r="AD9" s="559"/>
      <c r="AE9" s="559"/>
      <c r="AF9" s="559"/>
      <c r="AG9" s="559"/>
      <c r="AH9" s="559"/>
      <c r="AI9" s="559"/>
      <c r="AJ9" s="560"/>
      <c r="AK9" s="557" t="s">
        <v>56</v>
      </c>
    </row>
    <row r="10" spans="1:37" ht="20.399999999999999" thickBot="1">
      <c r="A10" s="633" t="s">
        <v>1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AB10" s="557" t="s">
        <v>47</v>
      </c>
      <c r="AC10" s="561" t="s">
        <v>484</v>
      </c>
      <c r="AD10" s="559"/>
      <c r="AE10" s="559"/>
      <c r="AF10" s="559"/>
      <c r="AG10" s="559"/>
      <c r="AH10" s="559"/>
      <c r="AI10" s="559"/>
      <c r="AJ10" s="560"/>
      <c r="AK10" s="557" t="s">
        <v>56</v>
      </c>
    </row>
    <row r="11" spans="1:37" ht="15" thickTop="1">
      <c r="A11" s="26"/>
      <c r="T11" s="105"/>
      <c r="U11" s="105"/>
      <c r="V11" s="105"/>
      <c r="W11" s="105"/>
      <c r="X11" s="105"/>
      <c r="Y11" s="105"/>
      <c r="Z11" s="105"/>
      <c r="AA11" s="714"/>
      <c r="AB11" s="557" t="s">
        <v>48</v>
      </c>
      <c r="AC11" s="561" t="s">
        <v>49</v>
      </c>
      <c r="AD11" s="559"/>
      <c r="AE11" s="559"/>
      <c r="AF11" s="559"/>
      <c r="AG11" s="559"/>
      <c r="AH11" s="559"/>
      <c r="AI11" s="559"/>
      <c r="AJ11" s="560"/>
      <c r="AK11" s="557" t="s">
        <v>56</v>
      </c>
    </row>
    <row r="12" spans="1:37" ht="18" thickBot="1">
      <c r="A12" s="37" t="s">
        <v>2</v>
      </c>
      <c r="B12" s="38"/>
      <c r="C12" s="38"/>
      <c r="D12" s="39"/>
      <c r="E12" s="40"/>
      <c r="F12" s="35"/>
      <c r="H12" s="712"/>
      <c r="I12" s="712"/>
      <c r="J12" s="712"/>
      <c r="K12" s="711"/>
      <c r="L12" s="711"/>
      <c r="M12" s="711"/>
      <c r="N12" s="711"/>
      <c r="O12" s="711"/>
      <c r="P12" s="711"/>
      <c r="T12" s="105"/>
      <c r="U12" s="105"/>
      <c r="V12" s="105"/>
      <c r="W12" s="105"/>
      <c r="X12" s="105"/>
      <c r="Y12" s="105"/>
      <c r="Z12" s="105"/>
      <c r="AA12" s="714"/>
      <c r="AB12" s="557" t="s">
        <v>50</v>
      </c>
      <c r="AC12" s="561" t="s">
        <v>51</v>
      </c>
      <c r="AD12" s="559"/>
      <c r="AE12" s="559"/>
      <c r="AF12" s="559"/>
      <c r="AG12" s="559"/>
      <c r="AH12" s="559"/>
      <c r="AI12" s="559"/>
      <c r="AJ12" s="560"/>
      <c r="AK12" s="557" t="s">
        <v>57</v>
      </c>
    </row>
    <row r="13" spans="1:37" ht="15" thickTop="1">
      <c r="A13" s="23"/>
      <c r="H13" s="514"/>
      <c r="I13" s="508"/>
      <c r="J13" s="508"/>
      <c r="K13" s="515"/>
      <c r="L13" s="515"/>
      <c r="M13" s="515"/>
      <c r="N13" s="515"/>
      <c r="O13" s="515"/>
      <c r="P13" s="515"/>
      <c r="T13" s="714"/>
      <c r="U13" s="715"/>
      <c r="V13" s="714"/>
      <c r="W13" s="714"/>
      <c r="X13" s="714"/>
      <c r="Y13" s="714"/>
      <c r="Z13" s="714"/>
      <c r="AA13" s="714"/>
      <c r="AB13" s="557" t="s">
        <v>52</v>
      </c>
      <c r="AC13" s="561" t="s">
        <v>53</v>
      </c>
      <c r="AD13" s="559"/>
      <c r="AE13" s="559"/>
      <c r="AF13" s="559"/>
      <c r="AG13" s="559"/>
      <c r="AH13" s="559"/>
      <c r="AI13" s="559"/>
      <c r="AJ13" s="560"/>
      <c r="AK13" s="557" t="s">
        <v>56</v>
      </c>
    </row>
    <row r="14" spans="1:37" ht="18" customHeight="1">
      <c r="A14" s="709"/>
      <c r="B14" s="517"/>
      <c r="C14" s="517"/>
      <c r="D14" s="517"/>
      <c r="E14" s="35"/>
      <c r="F14" s="710"/>
      <c r="G14" s="25"/>
      <c r="H14" s="713"/>
      <c r="I14" s="634"/>
      <c r="J14" s="634"/>
      <c r="K14" s="634"/>
      <c r="L14" s="634"/>
      <c r="M14" s="634"/>
      <c r="N14" s="634"/>
      <c r="O14" s="634"/>
      <c r="P14" s="634"/>
      <c r="R14" s="27"/>
      <c r="T14" s="716"/>
      <c r="U14" s="716"/>
      <c r="V14" s="716"/>
      <c r="W14" s="716"/>
      <c r="X14" s="716"/>
      <c r="Y14" s="716"/>
      <c r="Z14" s="716"/>
      <c r="AA14" s="716"/>
      <c r="AB14" s="557" t="s">
        <v>58</v>
      </c>
      <c r="AC14" s="561" t="s">
        <v>59</v>
      </c>
      <c r="AD14" s="559"/>
      <c r="AE14" s="559"/>
      <c r="AF14" s="559"/>
      <c r="AG14" s="559"/>
      <c r="AH14" s="559"/>
      <c r="AI14" s="559"/>
      <c r="AJ14" s="560"/>
      <c r="AK14" s="562" t="s">
        <v>481</v>
      </c>
    </row>
    <row r="15" spans="1:37" ht="15" thickBot="1">
      <c r="A15" s="26"/>
      <c r="B15" s="27"/>
      <c r="C15" s="27"/>
      <c r="D15" s="28"/>
      <c r="E15" s="30"/>
      <c r="F15" s="29"/>
      <c r="G15" s="25"/>
      <c r="AB15" s="643" t="s">
        <v>485</v>
      </c>
      <c r="AC15" s="644"/>
      <c r="AD15" s="644"/>
      <c r="AE15" s="644"/>
      <c r="AF15" s="644"/>
      <c r="AG15" s="644"/>
      <c r="AH15" s="644"/>
      <c r="AI15" s="644"/>
      <c r="AJ15" s="644"/>
      <c r="AK15" s="645"/>
    </row>
    <row r="16" spans="1:37" ht="42.75" customHeight="1">
      <c r="A16" s="70" t="s">
        <v>5</v>
      </c>
      <c r="B16" s="60" t="s">
        <v>6</v>
      </c>
      <c r="C16" s="60" t="s">
        <v>7</v>
      </c>
      <c r="D16" s="60" t="s">
        <v>8</v>
      </c>
      <c r="E16" s="684" t="s">
        <v>9</v>
      </c>
      <c r="F16" s="60" t="s">
        <v>10</v>
      </c>
      <c r="G16" s="60" t="s">
        <v>11</v>
      </c>
      <c r="H16" s="60" t="s">
        <v>12</v>
      </c>
      <c r="I16" s="71" t="s">
        <v>13</v>
      </c>
      <c r="J16" s="71" t="s">
        <v>34</v>
      </c>
      <c r="K16" s="61" t="s">
        <v>64</v>
      </c>
      <c r="L16" s="62" t="s">
        <v>146</v>
      </c>
      <c r="M16" s="59" t="s">
        <v>14</v>
      </c>
      <c r="N16" s="57" t="s">
        <v>65</v>
      </c>
      <c r="O16" s="57" t="s">
        <v>55</v>
      </c>
      <c r="P16" s="72" t="s">
        <v>15</v>
      </c>
      <c r="Q16" s="73" t="s">
        <v>16</v>
      </c>
      <c r="AB16" s="646"/>
      <c r="AC16" s="647"/>
      <c r="AD16" s="647"/>
      <c r="AE16" s="647"/>
      <c r="AF16" s="647"/>
      <c r="AG16" s="647"/>
      <c r="AH16" s="647"/>
      <c r="AI16" s="647"/>
      <c r="AJ16" s="647"/>
      <c r="AK16" s="648"/>
    </row>
    <row r="17" spans="1:37" ht="54.6" customHeight="1">
      <c r="A17" s="208"/>
      <c r="B17" s="688"/>
      <c r="C17" s="208"/>
      <c r="D17" s="365"/>
      <c r="E17" s="461" t="s">
        <v>454</v>
      </c>
      <c r="F17" s="462" t="s">
        <v>100</v>
      </c>
      <c r="G17" s="665" t="s">
        <v>455</v>
      </c>
      <c r="H17" s="464" t="s">
        <v>125</v>
      </c>
      <c r="I17" s="241">
        <v>20.38</v>
      </c>
      <c r="J17" s="680"/>
      <c r="K17" s="369"/>
      <c r="L17" s="308"/>
      <c r="M17" s="367" t="str">
        <f>IF(I17&gt;K$18,"EXCESSIVAMENTE ELEVADO",IF(I17&lt;L$18,"INEXEQUÍVEL","VÁLIDO"))</f>
        <v>INEXEQUÍVEL</v>
      </c>
      <c r="N17" s="471">
        <f>I17/J$18</f>
        <v>0.63037426538818431</v>
      </c>
      <c r="O17" s="697" t="s">
        <v>160</v>
      </c>
      <c r="P17" s="563"/>
      <c r="Q17" s="571"/>
      <c r="S17" s="22"/>
      <c r="T17" s="659" t="s">
        <v>463</v>
      </c>
      <c r="U17" s="660"/>
      <c r="V17" s="660"/>
      <c r="W17" s="660"/>
      <c r="X17" s="661"/>
      <c r="Y17" s="693" t="s">
        <v>464</v>
      </c>
      <c r="Z17" s="692"/>
      <c r="AB17" s="649"/>
      <c r="AC17" s="650"/>
      <c r="AD17" s="650"/>
      <c r="AE17" s="650"/>
      <c r="AF17" s="650"/>
      <c r="AG17" s="650"/>
      <c r="AH17" s="650"/>
      <c r="AI17" s="650"/>
      <c r="AJ17" s="650"/>
      <c r="AK17" s="651"/>
    </row>
    <row r="18" spans="1:37" ht="54" customHeight="1">
      <c r="A18" s="673">
        <v>37</v>
      </c>
      <c r="B18" s="673" t="s">
        <v>149</v>
      </c>
      <c r="C18" s="673" t="s">
        <v>82</v>
      </c>
      <c r="D18" s="674">
        <v>2</v>
      </c>
      <c r="E18" s="193" t="s">
        <v>126</v>
      </c>
      <c r="F18" s="200" t="s">
        <v>100</v>
      </c>
      <c r="G18" s="201" t="s">
        <v>127</v>
      </c>
      <c r="H18" s="664" t="s">
        <v>107</v>
      </c>
      <c r="I18" s="305">
        <v>25</v>
      </c>
      <c r="J18" s="719">
        <f>AVERAGE(I17:I20)</f>
        <v>32.33</v>
      </c>
      <c r="K18" s="329">
        <f>((25%*J18)+J18)</f>
        <v>40.412499999999994</v>
      </c>
      <c r="L18" s="330">
        <f>75%*J18</f>
        <v>24.247499999999999</v>
      </c>
      <c r="M18" s="340" t="str">
        <f t="shared" ref="M18:M20" si="0">IF(I18&gt;K$18,"EXCESSIVAMENTE ELEVADO",IF(I18&lt;L$18,"INEXEQUÍVEL","VÁLIDO"))</f>
        <v>VÁLIDO</v>
      </c>
      <c r="N18" s="339">
        <f t="shared" ref="N18:N19" si="1">I18/J$18</f>
        <v>0.77327559542220847</v>
      </c>
      <c r="O18" s="358" t="s">
        <v>459</v>
      </c>
      <c r="P18" s="690">
        <f>TRUNC(AVERAGE(I17:I19),2)</f>
        <v>25.62</v>
      </c>
      <c r="Q18" s="690">
        <f>Tabela135[[#This Row],[MÉDIAS/MEDIANA]]*Tabela135[[#This Row],[QTD.]]</f>
        <v>51.24</v>
      </c>
      <c r="S18" s="22"/>
      <c r="T18" s="415" t="s">
        <v>3</v>
      </c>
      <c r="U18" s="415" t="s">
        <v>465</v>
      </c>
      <c r="V18" s="416" t="s">
        <v>466</v>
      </c>
      <c r="W18" s="415" t="s">
        <v>467</v>
      </c>
      <c r="X18" s="417" t="s">
        <v>4</v>
      </c>
      <c r="Y18" s="392">
        <v>0.25</v>
      </c>
      <c r="Z18" s="383">
        <v>0.75</v>
      </c>
    </row>
    <row r="19" spans="1:37" ht="61.2" customHeight="1">
      <c r="A19" s="569"/>
      <c r="B19" s="668"/>
      <c r="C19" s="569"/>
      <c r="D19" s="570"/>
      <c r="E19" s="669" t="s">
        <v>79</v>
      </c>
      <c r="F19" s="670" t="s">
        <v>80</v>
      </c>
      <c r="G19" s="671" t="s">
        <v>119</v>
      </c>
      <c r="H19" s="672" t="s">
        <v>117</v>
      </c>
      <c r="I19" s="675">
        <v>31.5</v>
      </c>
      <c r="J19" s="681"/>
      <c r="K19" s="480"/>
      <c r="L19" s="479"/>
      <c r="M19" s="340" t="str">
        <f t="shared" si="0"/>
        <v>VÁLIDO</v>
      </c>
      <c r="N19" s="339">
        <f t="shared" si="1"/>
        <v>0.97432725023198274</v>
      </c>
      <c r="O19" s="507" t="s">
        <v>480</v>
      </c>
      <c r="P19" s="76"/>
      <c r="Q19" s="76"/>
      <c r="T19" s="384">
        <f>AVERAGE(I17:I19)</f>
        <v>25.626666666666665</v>
      </c>
      <c r="U19" s="385">
        <f>_xlfn.STDEV.S(I17:I19)</f>
        <v>5.5864240201879971</v>
      </c>
      <c r="V19" s="386">
        <f>(U19/T19)*100</f>
        <v>21.799261265041615</v>
      </c>
      <c r="W19" s="387" t="str">
        <f>IF(V19&gt;25,"Mediana","Média")</f>
        <v>Média</v>
      </c>
      <c r="X19" s="391">
        <f>MIN(I16:I19)</f>
        <v>20.38</v>
      </c>
      <c r="Y19" s="393" t="s">
        <v>468</v>
      </c>
      <c r="Z19" s="389" t="s">
        <v>469</v>
      </c>
    </row>
    <row r="20" spans="1:37" ht="55.95" customHeight="1">
      <c r="A20" s="323"/>
      <c r="B20" s="689"/>
      <c r="C20" s="323"/>
      <c r="D20" s="366"/>
      <c r="E20" s="252" t="s">
        <v>128</v>
      </c>
      <c r="F20" s="209" t="s">
        <v>100</v>
      </c>
      <c r="G20" s="201" t="s">
        <v>129</v>
      </c>
      <c r="H20" s="192" t="s">
        <v>201</v>
      </c>
      <c r="I20" s="305">
        <v>52.44</v>
      </c>
      <c r="J20" s="682"/>
      <c r="K20" s="248"/>
      <c r="L20" s="311"/>
      <c r="M20" s="367" t="str">
        <f t="shared" si="0"/>
        <v>EXCESSIVAMENTE ELEVADO</v>
      </c>
      <c r="N20" s="342">
        <f>(I20-J18)/J18</f>
        <v>0.62202288895762448</v>
      </c>
      <c r="O20" s="691" t="s">
        <v>490</v>
      </c>
      <c r="P20" s="564"/>
      <c r="Q20" s="572"/>
    </row>
    <row r="21" spans="1:37" ht="62.4" customHeight="1">
      <c r="A21" s="208"/>
      <c r="B21" s="688"/>
      <c r="C21" s="208"/>
      <c r="D21" s="365"/>
      <c r="E21" s="461" t="s">
        <v>454</v>
      </c>
      <c r="F21" s="462" t="s">
        <v>100</v>
      </c>
      <c r="G21" s="665" t="s">
        <v>455</v>
      </c>
      <c r="H21" s="464" t="s">
        <v>125</v>
      </c>
      <c r="I21" s="224">
        <v>21.43</v>
      </c>
      <c r="J21" s="241"/>
      <c r="K21" s="334"/>
      <c r="L21" s="75"/>
      <c r="M21" s="694" t="str">
        <f>IF(I21&gt;K$24,"EXCESSIVAMENTE ELEVADO",IF(I21&lt;L$24,"Inexequível","VÁLIDO"))</f>
        <v>Inexequível</v>
      </c>
      <c r="N21" s="471">
        <f>I21/J$24</f>
        <v>0.70759433962264151</v>
      </c>
      <c r="O21" s="696" t="s">
        <v>180</v>
      </c>
      <c r="P21" s="563"/>
      <c r="Q21" s="563"/>
    </row>
    <row r="22" spans="1:37" ht="62.4" customHeight="1">
      <c r="A22" s="212"/>
      <c r="B22" s="214"/>
      <c r="C22" s="212"/>
      <c r="D22" s="215"/>
      <c r="E22" s="216" t="s">
        <v>79</v>
      </c>
      <c r="F22" s="685" t="s">
        <v>80</v>
      </c>
      <c r="G22" s="686" t="s">
        <v>119</v>
      </c>
      <c r="H22" s="238" t="s">
        <v>117</v>
      </c>
      <c r="I22" s="687">
        <v>26.2</v>
      </c>
      <c r="J22" s="225"/>
      <c r="K22" s="78"/>
      <c r="L22" s="679"/>
      <c r="M22" s="695" t="str">
        <f>IF(I22&gt;K$24,"EXCESSIVAMENTE ELEVADO",IF(I22&lt;L$24,"Inexequível","VÁLIDO"))</f>
        <v>VÁLIDO</v>
      </c>
      <c r="N22" s="339">
        <f>I22/J$24</f>
        <v>0.86509433962264148</v>
      </c>
      <c r="O22" s="358" t="s">
        <v>459</v>
      </c>
      <c r="P22" s="76"/>
      <c r="Q22" s="77"/>
      <c r="T22" s="659" t="s">
        <v>463</v>
      </c>
      <c r="U22" s="660"/>
      <c r="V22" s="660"/>
      <c r="W22" s="660"/>
      <c r="X22" s="661"/>
      <c r="Y22" s="693" t="s">
        <v>464</v>
      </c>
      <c r="Z22" s="692"/>
    </row>
    <row r="23" spans="1:37" ht="51.6" customHeight="1">
      <c r="A23" s="212"/>
      <c r="B23" s="214"/>
      <c r="C23" s="212"/>
      <c r="D23" s="215"/>
      <c r="E23" s="252" t="s">
        <v>128</v>
      </c>
      <c r="F23" s="209" t="s">
        <v>100</v>
      </c>
      <c r="G23" s="201" t="s">
        <v>129</v>
      </c>
      <c r="H23" s="194" t="s">
        <v>201</v>
      </c>
      <c r="I23" s="224">
        <v>31.36</v>
      </c>
      <c r="J23" s="225"/>
      <c r="K23" s="78"/>
      <c r="L23" s="679"/>
      <c r="M23" s="694" t="str">
        <f t="shared" ref="M23:M26" si="2">IF(I23&gt;K$24,"EXCESSIVAMENTE ELEVADO",IF(I23&lt;L$24,"Inexequível","VÁLIDO"))</f>
        <v>VÁLIDO</v>
      </c>
      <c r="N23" s="339">
        <f t="shared" ref="N23" si="3">I23/J$18</f>
        <v>0.96999690689761831</v>
      </c>
      <c r="O23" s="507" t="s">
        <v>480</v>
      </c>
      <c r="P23" s="76"/>
      <c r="Q23" s="76"/>
      <c r="T23" s="415" t="s">
        <v>3</v>
      </c>
      <c r="U23" s="415" t="s">
        <v>465</v>
      </c>
      <c r="V23" s="416" t="s">
        <v>466</v>
      </c>
      <c r="W23" s="415" t="s">
        <v>467</v>
      </c>
      <c r="X23" s="417" t="s">
        <v>4</v>
      </c>
      <c r="Y23" s="392">
        <v>0.25</v>
      </c>
      <c r="Z23" s="383">
        <v>0.75</v>
      </c>
    </row>
    <row r="24" spans="1:37" ht="50.4" customHeight="1">
      <c r="A24" s="212">
        <v>38</v>
      </c>
      <c r="B24" s="214" t="s">
        <v>150</v>
      </c>
      <c r="C24" s="212" t="s">
        <v>82</v>
      </c>
      <c r="D24" s="215">
        <v>1</v>
      </c>
      <c r="E24" s="252" t="s">
        <v>128</v>
      </c>
      <c r="F24" s="209" t="s">
        <v>100</v>
      </c>
      <c r="G24" s="201" t="s">
        <v>129</v>
      </c>
      <c r="H24" s="194" t="s">
        <v>201</v>
      </c>
      <c r="I24" s="224">
        <v>31.55</v>
      </c>
      <c r="J24" s="226">
        <f>AVERAGE(I21:I27)</f>
        <v>30.285714285714285</v>
      </c>
      <c r="K24" s="83">
        <f>(25%*J24)+J24</f>
        <v>37.857142857142854</v>
      </c>
      <c r="L24" s="678">
        <f>75%*J24</f>
        <v>22.714285714285715</v>
      </c>
      <c r="M24" s="694" t="str">
        <f t="shared" si="2"/>
        <v>VÁLIDO</v>
      </c>
      <c r="N24" s="345">
        <f>(I24-J$24)/J$24</f>
        <v>4.1745283018867985E-2</v>
      </c>
      <c r="O24" s="358" t="s">
        <v>492</v>
      </c>
      <c r="P24" s="76">
        <f>TRUNC(AVERAGE(I22:I27),2)</f>
        <v>31.76</v>
      </c>
      <c r="Q24" s="76">
        <f>Tabela135[[#This Row],[MÉDIAS/MEDIANA]]*Tabela135[[#This Row],[QTD.]]</f>
        <v>31.76</v>
      </c>
      <c r="T24" s="384">
        <f>AVERAGE(I22:I27)</f>
        <v>31.76166666666667</v>
      </c>
      <c r="U24" s="385">
        <f>_xlfn.STDEV.S(I22:I27)</f>
        <v>2.9651200088135852</v>
      </c>
      <c r="V24" s="386">
        <f>(U24/T24)*100</f>
        <v>9.3355302791003343</v>
      </c>
      <c r="W24" s="387" t="str">
        <f>IF(V24&gt;25,"Mediana","Média")</f>
        <v>Média</v>
      </c>
      <c r="X24" s="391">
        <f>MIN(I21:I24)</f>
        <v>21.43</v>
      </c>
      <c r="Y24" s="393" t="s">
        <v>468</v>
      </c>
      <c r="Z24" s="389" t="s">
        <v>469</v>
      </c>
    </row>
    <row r="25" spans="1:37" ht="50.4" customHeight="1">
      <c r="A25" s="212"/>
      <c r="B25" s="214"/>
      <c r="C25" s="212"/>
      <c r="D25" s="215"/>
      <c r="E25" s="220" t="s">
        <v>131</v>
      </c>
      <c r="F25" s="221" t="s">
        <v>100</v>
      </c>
      <c r="G25" s="228" t="s">
        <v>132</v>
      </c>
      <c r="H25" s="218" t="s">
        <v>107</v>
      </c>
      <c r="I25" s="229">
        <v>33.56</v>
      </c>
      <c r="J25" s="225"/>
      <c r="K25" s="78"/>
      <c r="L25" s="679" t="s">
        <v>136</v>
      </c>
      <c r="M25" s="694" t="str">
        <f t="shared" si="2"/>
        <v>VÁLIDO</v>
      </c>
      <c r="N25" s="345">
        <f t="shared" ref="N25:N27" si="4">(I25-J$24)/J$24</f>
        <v>0.10811320754716992</v>
      </c>
      <c r="O25" s="358" t="s">
        <v>492</v>
      </c>
      <c r="P25" s="76"/>
      <c r="Q25" s="76"/>
      <c r="S25" s="22"/>
    </row>
    <row r="26" spans="1:37" ht="74.400000000000006" customHeight="1">
      <c r="A26" s="212"/>
      <c r="B26" s="214"/>
      <c r="C26" s="212"/>
      <c r="D26" s="215"/>
      <c r="E26" s="252" t="s">
        <v>135</v>
      </c>
      <c r="F26" s="209" t="s">
        <v>100</v>
      </c>
      <c r="G26" s="201" t="s">
        <v>130</v>
      </c>
      <c r="H26" s="464" t="s">
        <v>125</v>
      </c>
      <c r="I26" s="224">
        <v>33.880000000000003</v>
      </c>
      <c r="J26" s="225"/>
      <c r="K26" s="78"/>
      <c r="L26" s="679"/>
      <c r="M26" s="694" t="str">
        <f t="shared" si="2"/>
        <v>VÁLIDO</v>
      </c>
      <c r="N26" s="345">
        <f t="shared" si="4"/>
        <v>0.11867924528301899</v>
      </c>
      <c r="O26" s="358" t="s">
        <v>492</v>
      </c>
      <c r="P26" s="76"/>
      <c r="Q26" s="76"/>
    </row>
    <row r="27" spans="1:37" ht="70.95" customHeight="1">
      <c r="A27" s="323"/>
      <c r="B27" s="689"/>
      <c r="C27" s="323"/>
      <c r="D27" s="366"/>
      <c r="E27" s="453" t="s">
        <v>134</v>
      </c>
      <c r="F27" s="666" t="s">
        <v>100</v>
      </c>
      <c r="G27" s="686" t="s">
        <v>133</v>
      </c>
      <c r="H27" s="246"/>
      <c r="I27" s="687">
        <v>34.020000000000003</v>
      </c>
      <c r="J27" s="239"/>
      <c r="K27" s="248"/>
      <c r="L27" s="683"/>
      <c r="M27" s="85" t="str">
        <f>IF(I27&gt;K$24,"EXCESSIVAMENTE ELEVADO",IF(I27&lt;L$24,"Inexequível","VÁLIDO"))</f>
        <v>VÁLIDO</v>
      </c>
      <c r="N27" s="345">
        <f t="shared" si="4"/>
        <v>0.12330188679245298</v>
      </c>
      <c r="O27" s="358" t="s">
        <v>492</v>
      </c>
      <c r="P27" s="564"/>
      <c r="Q27" s="564"/>
      <c r="S27" s="22"/>
    </row>
    <row r="28" spans="1:37" ht="73.8" customHeight="1">
      <c r="A28" s="208"/>
      <c r="B28" s="688"/>
      <c r="C28" s="208"/>
      <c r="D28" s="365"/>
      <c r="E28" s="273" t="s">
        <v>137</v>
      </c>
      <c r="F28" s="210" t="s">
        <v>100</v>
      </c>
      <c r="G28" s="209" t="s">
        <v>140</v>
      </c>
      <c r="H28" s="698" t="s">
        <v>107</v>
      </c>
      <c r="I28" s="241">
        <v>5.48</v>
      </c>
      <c r="J28" s="241"/>
      <c r="K28" s="334"/>
      <c r="L28" s="308"/>
      <c r="M28" s="84" t="str">
        <f>IF(I28&gt;K$29,"EXCESSIVAMENTE ELEVADO",IF(I28&lt;L$29,"INEXEQUÍVEL","VÁLIDO"))</f>
        <v>INEXEQUÍVEL</v>
      </c>
      <c r="N28" s="48">
        <f>I28/$J$29</f>
        <v>0.57367181366134523</v>
      </c>
      <c r="O28" s="702" t="s">
        <v>160</v>
      </c>
      <c r="P28" s="571"/>
      <c r="Q28" s="563"/>
      <c r="T28" s="659" t="s">
        <v>463</v>
      </c>
      <c r="U28" s="660"/>
      <c r="V28" s="660"/>
      <c r="W28" s="660"/>
      <c r="X28" s="661"/>
      <c r="Y28" s="693" t="s">
        <v>464</v>
      </c>
      <c r="Z28" s="692"/>
    </row>
    <row r="29" spans="1:37" ht="63.6" customHeight="1">
      <c r="A29" s="212">
        <v>39</v>
      </c>
      <c r="B29" s="214" t="s">
        <v>151</v>
      </c>
      <c r="C29" s="212" t="s">
        <v>86</v>
      </c>
      <c r="D29" s="215">
        <v>1</v>
      </c>
      <c r="E29" s="461" t="s">
        <v>454</v>
      </c>
      <c r="F29" s="462" t="s">
        <v>100</v>
      </c>
      <c r="G29" s="665" t="s">
        <v>455</v>
      </c>
      <c r="H29" s="464" t="s">
        <v>125</v>
      </c>
      <c r="I29" s="305">
        <v>6.8</v>
      </c>
      <c r="J29" s="225">
        <f>AVERAGE(I28:I31)</f>
        <v>9.5525000000000002</v>
      </c>
      <c r="K29" s="83">
        <f>((25%*J29)+J29)</f>
        <v>11.940625000000001</v>
      </c>
      <c r="L29" s="86">
        <f>75%*J29</f>
        <v>7.1643749999999997</v>
      </c>
      <c r="M29" s="85" t="str">
        <f>IF(I29&gt;K$29,"EXCESSIVAMENTE ELEVADO",IF(I29&lt;L$29,"INEXEQUÍVEL","VÁLIDO"))</f>
        <v>INEXEQUÍVEL</v>
      </c>
      <c r="N29" s="50">
        <f>I29/$J$29</f>
        <v>0.71185553520020939</v>
      </c>
      <c r="O29" s="697" t="s">
        <v>160</v>
      </c>
      <c r="P29" s="77">
        <f>TRUNC(MEDIAN(I28:I30),2)</f>
        <v>6.8</v>
      </c>
      <c r="Q29" s="76">
        <f>P29*D29</f>
        <v>6.8</v>
      </c>
      <c r="T29" s="415" t="s">
        <v>3</v>
      </c>
      <c r="U29" s="415" t="s">
        <v>465</v>
      </c>
      <c r="V29" s="416" t="s">
        <v>466</v>
      </c>
      <c r="W29" s="415" t="s">
        <v>467</v>
      </c>
      <c r="X29" s="417" t="s">
        <v>4</v>
      </c>
      <c r="Y29" s="392">
        <v>0.25</v>
      </c>
      <c r="Z29" s="383">
        <v>0.75</v>
      </c>
    </row>
    <row r="30" spans="1:37" ht="45.6" customHeight="1">
      <c r="A30" s="212"/>
      <c r="B30" s="214"/>
      <c r="C30" s="212"/>
      <c r="D30" s="215"/>
      <c r="E30" s="232" t="s">
        <v>79</v>
      </c>
      <c r="F30" s="209" t="s">
        <v>80</v>
      </c>
      <c r="G30" s="201" t="s">
        <v>119</v>
      </c>
      <c r="H30" s="198" t="s">
        <v>117</v>
      </c>
      <c r="I30" s="305">
        <v>10.5</v>
      </c>
      <c r="J30" s="225"/>
      <c r="K30" s="83" t="s">
        <v>136</v>
      </c>
      <c r="L30" s="86"/>
      <c r="M30" s="85" t="str">
        <f t="shared" ref="M30:M31" si="5">IF(I30&gt;K$29,"EXCESSIVAMENTE ELEVADO",IF(I30&lt;L$29,"INEXEQUÍVEL","VÁLIDO"))</f>
        <v>VÁLIDO</v>
      </c>
      <c r="N30" s="345">
        <f>(I30-J$29)/J$29</f>
        <v>9.9188694059146792E-2</v>
      </c>
      <c r="O30" s="700" t="s">
        <v>492</v>
      </c>
      <c r="P30" s="77"/>
      <c r="Q30" s="77"/>
      <c r="T30" s="384">
        <f>AVERAGE(I28:I30)</f>
        <v>7.5933333333333337</v>
      </c>
      <c r="U30" s="385">
        <f>_xlfn.STDEV.S(I28:I30)</f>
        <v>2.6023322872633559</v>
      </c>
      <c r="V30" s="386">
        <f>(U30/T30)*100</f>
        <v>34.271276829631553</v>
      </c>
      <c r="W30" s="387" t="str">
        <f>IF(V30&gt;25,"Mediana","Média")</f>
        <v>Mediana</v>
      </c>
      <c r="X30" s="391">
        <f>MIN(I27:I30)</f>
        <v>5.48</v>
      </c>
      <c r="Y30" s="393" t="s">
        <v>468</v>
      </c>
      <c r="Z30" s="389" t="s">
        <v>469</v>
      </c>
    </row>
    <row r="31" spans="1:37" ht="56.4" customHeight="1">
      <c r="A31" s="323"/>
      <c r="B31" s="689"/>
      <c r="C31" s="323"/>
      <c r="D31" s="366"/>
      <c r="E31" s="295" t="s">
        <v>138</v>
      </c>
      <c r="F31" s="209" t="s">
        <v>100</v>
      </c>
      <c r="G31" s="201" t="s">
        <v>139</v>
      </c>
      <c r="H31" s="198" t="s">
        <v>117</v>
      </c>
      <c r="I31" s="305">
        <v>15.43</v>
      </c>
      <c r="J31" s="225"/>
      <c r="K31" s="78"/>
      <c r="L31" s="58"/>
      <c r="M31" s="699" t="str">
        <f t="shared" si="5"/>
        <v>EXCESSIVAMENTE ELEVADO</v>
      </c>
      <c r="N31" s="342">
        <f>(I31-J29)/J29</f>
        <v>0.6152839570792985</v>
      </c>
      <c r="O31" s="701" t="s">
        <v>490</v>
      </c>
      <c r="P31" s="572"/>
      <c r="Q31" s="564"/>
    </row>
    <row r="32" spans="1:37" ht="63.15" customHeight="1">
      <c r="A32" s="208"/>
      <c r="B32" s="688"/>
      <c r="C32" s="208"/>
      <c r="D32" s="365"/>
      <c r="E32" s="461" t="s">
        <v>454</v>
      </c>
      <c r="F32" s="462" t="s">
        <v>100</v>
      </c>
      <c r="G32" s="665" t="s">
        <v>455</v>
      </c>
      <c r="H32" s="464" t="s">
        <v>125</v>
      </c>
      <c r="I32" s="241">
        <v>71.03</v>
      </c>
      <c r="J32" s="241"/>
      <c r="K32" s="334"/>
      <c r="L32" s="308"/>
      <c r="M32" s="677" t="str">
        <f>IF(I32&gt;K$34,"EXCESSIVAMENTE ELEVADO",IF(I32&lt;L$34,"INEXEQUÍVEL","VÁLIDO"))</f>
        <v>VÁLIDO</v>
      </c>
      <c r="N32" s="339">
        <f>I32/J$34</f>
        <v>0.79055445287428805</v>
      </c>
      <c r="O32" s="358" t="s">
        <v>480</v>
      </c>
      <c r="P32" s="571"/>
      <c r="Q32" s="563"/>
    </row>
    <row r="33" spans="1:26" ht="63.15" customHeight="1">
      <c r="A33" s="212"/>
      <c r="B33" s="214"/>
      <c r="C33" s="212"/>
      <c r="D33" s="215"/>
      <c r="E33" s="199" t="s">
        <v>143</v>
      </c>
      <c r="F33" s="209" t="s">
        <v>100</v>
      </c>
      <c r="G33" s="209" t="s">
        <v>144</v>
      </c>
      <c r="H33" s="698" t="s">
        <v>107</v>
      </c>
      <c r="I33" s="195">
        <v>96.98</v>
      </c>
      <c r="J33" s="225"/>
      <c r="K33" s="78"/>
      <c r="L33" s="58"/>
      <c r="M33" s="677" t="str">
        <f t="shared" ref="M33:M37" si="6">IF(I33&gt;K$34,"EXCESSIVAMENTE ELEVADO",IF(I33&lt;L$34,"INEXEQUÍVEL","VÁLIDO"))</f>
        <v>VÁLIDO</v>
      </c>
      <c r="N33" s="345">
        <f>(I33-J$34)/J$34</f>
        <v>7.9374501474707301E-2</v>
      </c>
      <c r="O33" s="358" t="s">
        <v>492</v>
      </c>
      <c r="P33" s="77"/>
      <c r="Q33" s="77"/>
      <c r="T33" s="659" t="s">
        <v>463</v>
      </c>
      <c r="U33" s="660"/>
      <c r="V33" s="660"/>
      <c r="W33" s="660"/>
      <c r="X33" s="661"/>
      <c r="Y33" s="693" t="s">
        <v>464</v>
      </c>
      <c r="Z33" s="692"/>
    </row>
    <row r="34" spans="1:26" ht="61.95" customHeight="1">
      <c r="A34" s="212">
        <v>40</v>
      </c>
      <c r="B34" s="214" t="s">
        <v>152</v>
      </c>
      <c r="C34" s="212" t="s">
        <v>82</v>
      </c>
      <c r="D34" s="215">
        <v>3</v>
      </c>
      <c r="E34" s="234" t="s">
        <v>79</v>
      </c>
      <c r="F34" s="217" t="s">
        <v>80</v>
      </c>
      <c r="G34" s="658" t="s">
        <v>119</v>
      </c>
      <c r="H34" s="219" t="s">
        <v>117</v>
      </c>
      <c r="I34" s="241">
        <v>125.8</v>
      </c>
      <c r="J34" s="225">
        <f>AVERAGE(I31:I36)</f>
        <v>89.848333333333343</v>
      </c>
      <c r="K34" s="83">
        <f>((25%*J34)+J34)</f>
        <v>112.31041666666668</v>
      </c>
      <c r="L34" s="86">
        <f>75%*J34</f>
        <v>67.386250000000004</v>
      </c>
      <c r="M34" s="85" t="str">
        <f t="shared" si="6"/>
        <v>EXCESSIVAMENTE ELEVADO</v>
      </c>
      <c r="N34" s="345">
        <f t="shared" ref="N34:N37" si="7">(I34-J$34)/J$34</f>
        <v>0.40013726835964292</v>
      </c>
      <c r="O34" s="358" t="s">
        <v>492</v>
      </c>
      <c r="P34" s="77">
        <f>TRUNC(AVERAGE(I32:I34),2)</f>
        <v>97.93</v>
      </c>
      <c r="Q34" s="76">
        <f>P34*D34</f>
        <v>293.79000000000002</v>
      </c>
      <c r="T34" s="415" t="s">
        <v>3</v>
      </c>
      <c r="U34" s="415" t="s">
        <v>465</v>
      </c>
      <c r="V34" s="416" t="s">
        <v>466</v>
      </c>
      <c r="W34" s="415" t="s">
        <v>467</v>
      </c>
      <c r="X34" s="417" t="s">
        <v>4</v>
      </c>
      <c r="Y34" s="392">
        <v>0.25</v>
      </c>
      <c r="Z34" s="383">
        <v>0.75</v>
      </c>
    </row>
    <row r="35" spans="1:26" ht="67.2" customHeight="1">
      <c r="A35" s="212"/>
      <c r="B35" s="214"/>
      <c r="C35" s="212"/>
      <c r="D35" s="215"/>
      <c r="E35" s="199" t="s">
        <v>141</v>
      </c>
      <c r="F35" s="209" t="s">
        <v>100</v>
      </c>
      <c r="G35" s="201" t="s">
        <v>142</v>
      </c>
      <c r="H35" s="192" t="s">
        <v>107</v>
      </c>
      <c r="I35" s="305">
        <v>109.85</v>
      </c>
      <c r="J35" s="225"/>
      <c r="K35" s="83"/>
      <c r="L35" s="86"/>
      <c r="M35" s="676" t="str">
        <f>IF(I35&gt;K$34,"EXCESSIVAMENTE ELEVADO",IF(I35&lt;L$34,"INEXEQUÍVEL","VÁLIDO"))</f>
        <v>VÁLIDO</v>
      </c>
      <c r="N35" s="342">
        <f t="shared" si="7"/>
        <v>0.2226158897401174</v>
      </c>
      <c r="O35" s="701" t="s">
        <v>490</v>
      </c>
      <c r="P35" s="77"/>
      <c r="Q35" s="76"/>
      <c r="T35" s="384">
        <f>AVERAGE(I32:I34)</f>
        <v>97.936666666666667</v>
      </c>
      <c r="U35" s="385">
        <f>_xlfn.STDEV.S(I32:I34)</f>
        <v>27.397529693994944</v>
      </c>
      <c r="V35" s="386">
        <f>(U35/T35)*100</f>
        <v>27.974741867868637</v>
      </c>
      <c r="W35" s="387" t="str">
        <f>IF(V35&gt;25,"Mediana","Média")</f>
        <v>Mediana</v>
      </c>
      <c r="X35" s="391">
        <f>MIN(I32:I35)</f>
        <v>71.03</v>
      </c>
      <c r="Y35" s="393" t="s">
        <v>468</v>
      </c>
      <c r="Z35" s="389" t="s">
        <v>469</v>
      </c>
    </row>
    <row r="36" spans="1:26" ht="56.4" customHeight="1">
      <c r="A36" s="212"/>
      <c r="B36" s="214"/>
      <c r="C36" s="212"/>
      <c r="D36" s="215"/>
      <c r="E36" s="200" t="s">
        <v>79</v>
      </c>
      <c r="F36" s="200" t="s">
        <v>80</v>
      </c>
      <c r="G36" s="201" t="s">
        <v>119</v>
      </c>
      <c r="H36" s="198" t="s">
        <v>117</v>
      </c>
      <c r="I36" s="305">
        <v>120</v>
      </c>
      <c r="J36" s="225"/>
      <c r="K36" s="78"/>
      <c r="L36" s="58"/>
      <c r="M36" s="676" t="str">
        <f t="shared" si="6"/>
        <v>EXCESSIVAMENTE ELEVADO</v>
      </c>
      <c r="N36" s="342">
        <f t="shared" si="7"/>
        <v>0.3355840397707246</v>
      </c>
      <c r="O36" s="701" t="s">
        <v>490</v>
      </c>
      <c r="P36" s="77"/>
      <c r="Q36" s="77"/>
    </row>
    <row r="37" spans="1:26" ht="66" customHeight="1">
      <c r="A37" s="323"/>
      <c r="B37" s="689"/>
      <c r="C37" s="323"/>
      <c r="D37" s="366"/>
      <c r="E37" s="237" t="s">
        <v>145</v>
      </c>
      <c r="F37" s="703" t="s">
        <v>80</v>
      </c>
      <c r="G37" s="246" t="s">
        <v>119</v>
      </c>
      <c r="H37" s="238" t="s">
        <v>117</v>
      </c>
      <c r="I37" s="239">
        <v>153.21</v>
      </c>
      <c r="J37" s="225"/>
      <c r="K37" s="78"/>
      <c r="L37" s="58"/>
      <c r="M37" s="676" t="str">
        <f t="shared" si="6"/>
        <v>EXCESSIVAMENTE ELEVADO</v>
      </c>
      <c r="N37" s="342">
        <f t="shared" si="7"/>
        <v>0.7052069227772727</v>
      </c>
      <c r="O37" s="701" t="s">
        <v>490</v>
      </c>
      <c r="P37" s="572"/>
      <c r="Q37" s="564"/>
    </row>
    <row r="38" spans="1:26" ht="64.95" customHeight="1">
      <c r="A38" s="213"/>
      <c r="B38" s="214"/>
      <c r="C38" s="212"/>
      <c r="D38" s="215"/>
      <c r="E38" s="461" t="s">
        <v>454</v>
      </c>
      <c r="F38" s="462" t="s">
        <v>100</v>
      </c>
      <c r="G38" s="665" t="s">
        <v>455</v>
      </c>
      <c r="H38" s="464" t="s">
        <v>125</v>
      </c>
      <c r="I38" s="241">
        <v>7.81</v>
      </c>
      <c r="J38" s="241"/>
      <c r="K38" s="334"/>
      <c r="L38" s="308"/>
      <c r="M38" s="699" t="str">
        <f>IF(I38&gt;K$40,"EXCESSIVAMENTE ELEVADO",IF(I38&lt;L$40,"Inexequível","VÁLIDO"))</f>
        <v>Inexequível</v>
      </c>
      <c r="N38" s="49">
        <f>I38/$J$40</f>
        <v>0.68568920105355569</v>
      </c>
      <c r="O38" s="358" t="s">
        <v>160</v>
      </c>
      <c r="P38" s="571"/>
      <c r="Q38" s="571"/>
    </row>
    <row r="39" spans="1:26" ht="64.95" customHeight="1">
      <c r="A39" s="213"/>
      <c r="B39" s="214"/>
      <c r="C39" s="212"/>
      <c r="D39" s="215"/>
      <c r="E39" s="704" t="s">
        <v>157</v>
      </c>
      <c r="F39" s="200" t="s">
        <v>100</v>
      </c>
      <c r="G39" s="201" t="s">
        <v>156</v>
      </c>
      <c r="H39" s="198"/>
      <c r="I39" s="305">
        <v>7.78</v>
      </c>
      <c r="J39" s="225"/>
      <c r="K39" s="78"/>
      <c r="L39" s="58"/>
      <c r="M39" s="699" t="str">
        <f>IF(I39&gt;K$40,"EXCESSIVAMENTE ELEVADO",IF(I39&lt;L$40,"Inexequível","VÁLIDO"))</f>
        <v>Inexequível</v>
      </c>
      <c r="N39" s="49">
        <f>I39/$J$40</f>
        <v>0.68305531167690958</v>
      </c>
      <c r="O39" s="358" t="s">
        <v>160</v>
      </c>
      <c r="P39" s="77"/>
      <c r="Q39" s="77"/>
      <c r="T39" s="659" t="s">
        <v>463</v>
      </c>
      <c r="U39" s="660"/>
      <c r="V39" s="660"/>
      <c r="W39" s="660"/>
      <c r="X39" s="661"/>
      <c r="Y39" s="693" t="s">
        <v>464</v>
      </c>
      <c r="Z39" s="692"/>
    </row>
    <row r="40" spans="1:26" ht="69.599999999999994" customHeight="1">
      <c r="A40" s="667">
        <v>41</v>
      </c>
      <c r="B40" s="668" t="s">
        <v>153</v>
      </c>
      <c r="C40" s="569" t="s">
        <v>82</v>
      </c>
      <c r="D40" s="570">
        <v>2</v>
      </c>
      <c r="E40" s="708" t="s">
        <v>155</v>
      </c>
      <c r="F40" s="200" t="s">
        <v>100</v>
      </c>
      <c r="G40" s="201" t="s">
        <v>154</v>
      </c>
      <c r="H40" s="198"/>
      <c r="I40" s="305">
        <v>9.9499999999999993</v>
      </c>
      <c r="J40" s="706">
        <f>AVERAGE(I38:I42)</f>
        <v>11.39</v>
      </c>
      <c r="K40" s="480">
        <f>((25%*J40)+J40)</f>
        <v>14.237500000000001</v>
      </c>
      <c r="L40" s="479">
        <f>75%*J40</f>
        <v>8.5425000000000004</v>
      </c>
      <c r="M40" s="699" t="str">
        <f>IF(I40&gt;K$40,"EXCESSIVAMENTE ELEVADO",IF(I40&lt;L$40,"Inexequível","VÁLIDO"))</f>
        <v>VÁLIDO</v>
      </c>
      <c r="N40" s="339">
        <f>I40/J$40</f>
        <v>0.87357330992098325</v>
      </c>
      <c r="O40" s="358" t="s">
        <v>480</v>
      </c>
      <c r="P40" s="707">
        <f>TRUNC(AVERAGE(I38:I40),2)</f>
        <v>8.51</v>
      </c>
      <c r="Q40" s="707">
        <f>P40*D40</f>
        <v>17.02</v>
      </c>
      <c r="T40" s="415" t="s">
        <v>3</v>
      </c>
      <c r="U40" s="415" t="s">
        <v>465</v>
      </c>
      <c r="V40" s="416" t="s">
        <v>466</v>
      </c>
      <c r="W40" s="415" t="s">
        <v>467</v>
      </c>
      <c r="X40" s="417" t="s">
        <v>4</v>
      </c>
      <c r="Y40" s="392">
        <v>0.25</v>
      </c>
      <c r="Z40" s="383">
        <v>0.75</v>
      </c>
    </row>
    <row r="41" spans="1:26" ht="77.7" customHeight="1">
      <c r="A41" s="213"/>
      <c r="B41" s="214"/>
      <c r="C41" s="212"/>
      <c r="D41" s="215"/>
      <c r="E41" s="705" t="s">
        <v>158</v>
      </c>
      <c r="F41" s="200" t="s">
        <v>100</v>
      </c>
      <c r="G41" s="201" t="s">
        <v>159</v>
      </c>
      <c r="H41" s="198"/>
      <c r="I41" s="305">
        <v>14.61</v>
      </c>
      <c r="J41" s="225"/>
      <c r="K41" s="78"/>
      <c r="L41" s="58"/>
      <c r="M41" s="699" t="str">
        <f>IF(I41&gt;K$40,"EXCESSIVAMENTE ELEVADO",IF(I41&lt;L$40,"Inexequível","VÁLIDO"))</f>
        <v>EXCESSIVAMENTE ELEVADO</v>
      </c>
      <c r="N41" s="342">
        <f>(I41-J$40)/J$40</f>
        <v>0.28270412642668996</v>
      </c>
      <c r="O41" s="701" t="s">
        <v>490</v>
      </c>
      <c r="P41" s="77"/>
      <c r="Q41" s="77"/>
      <c r="T41" s="384">
        <f>AVERAGE(I38:I40)</f>
        <v>8.5133333333333336</v>
      </c>
      <c r="U41" s="385">
        <f>_xlfn.STDEV.S(I38:I40)</f>
        <v>1.2442802471040608</v>
      </c>
      <c r="V41" s="386">
        <f>(U41/T41)*100</f>
        <v>14.61566460967965</v>
      </c>
      <c r="W41" s="387" t="str">
        <f>IF(V41&gt;25,"Mediana","Média")</f>
        <v>Média</v>
      </c>
      <c r="X41" s="391">
        <f>MIN(I38:I41)</f>
        <v>7.78</v>
      </c>
      <c r="Y41" s="393" t="s">
        <v>468</v>
      </c>
      <c r="Z41" s="389" t="s">
        <v>469</v>
      </c>
    </row>
    <row r="42" spans="1:26" ht="69.150000000000006" customHeight="1" thickBot="1">
      <c r="A42" s="213"/>
      <c r="B42" s="214"/>
      <c r="C42" s="212"/>
      <c r="D42" s="215"/>
      <c r="E42" s="240" t="s">
        <v>79</v>
      </c>
      <c r="F42" s="221" t="s">
        <v>100</v>
      </c>
      <c r="G42" s="658" t="s">
        <v>119</v>
      </c>
      <c r="H42" s="219" t="s">
        <v>117</v>
      </c>
      <c r="I42" s="241">
        <v>16.8</v>
      </c>
      <c r="J42" s="239"/>
      <c r="K42" s="248"/>
      <c r="L42" s="311"/>
      <c r="M42" s="699" t="str">
        <f>IF(I42&gt;K$40,"EXCESSIVAMENTE ELEVADO",IF(I42&lt;L$40,"Inexequível","VÁLIDO"))</f>
        <v>EXCESSIVAMENTE ELEVADO</v>
      </c>
      <c r="N42" s="342">
        <f>(I42-J$40)/J$40</f>
        <v>0.47497805092186129</v>
      </c>
      <c r="O42" s="701" t="s">
        <v>490</v>
      </c>
      <c r="P42" s="572"/>
      <c r="Q42" s="572"/>
    </row>
    <row r="43" spans="1:26" s="20" customFormat="1" ht="21.75" customHeight="1" thickBot="1">
      <c r="A43" s="631" t="s">
        <v>17</v>
      </c>
      <c r="B43" s="654"/>
      <c r="C43" s="654"/>
      <c r="D43" s="654"/>
      <c r="E43" s="654"/>
      <c r="F43" s="654"/>
      <c r="G43" s="654"/>
      <c r="H43" s="654"/>
      <c r="I43" s="654"/>
      <c r="J43" s="632"/>
      <c r="K43" s="632"/>
      <c r="L43" s="632"/>
      <c r="M43" s="654"/>
      <c r="N43" s="654"/>
      <c r="O43" s="654"/>
      <c r="P43" s="632"/>
      <c r="Q43" s="69">
        <f>SUM(Q17:Q42)</f>
        <v>400.61</v>
      </c>
    </row>
    <row r="44" spans="1:26">
      <c r="Q44" s="22"/>
    </row>
    <row r="45" spans="1:26">
      <c r="Q45" s="22"/>
    </row>
    <row r="46" spans="1:26">
      <c r="Q46" s="22"/>
    </row>
    <row r="47" spans="1:26">
      <c r="Q47" s="22"/>
    </row>
    <row r="48" spans="1:26">
      <c r="Q48" s="22"/>
    </row>
    <row r="49" spans="17:23">
      <c r="Q49" s="22"/>
    </row>
    <row r="50" spans="17:23">
      <c r="Q50" s="22"/>
    </row>
    <row r="51" spans="17:23">
      <c r="Q51" s="22"/>
    </row>
    <row r="52" spans="17:23">
      <c r="Q52" s="22"/>
    </row>
    <row r="53" spans="17:23">
      <c r="Q53" s="22"/>
    </row>
    <row r="54" spans="17:23">
      <c r="Q54" s="22"/>
    </row>
    <row r="55" spans="17:23">
      <c r="Q55" s="22"/>
    </row>
    <row r="56" spans="17:23">
      <c r="W56" s="22">
        <f>SUM(Q17:Q42)</f>
        <v>400.61</v>
      </c>
    </row>
  </sheetData>
  <mergeCells count="10">
    <mergeCell ref="AB3:AJ3"/>
    <mergeCell ref="AB15:AK17"/>
    <mergeCell ref="A43:P43"/>
    <mergeCell ref="A10:Q10"/>
    <mergeCell ref="I14:P14"/>
    <mergeCell ref="T17:X17"/>
    <mergeCell ref="T22:X22"/>
    <mergeCell ref="T28:X28"/>
    <mergeCell ref="T33:X33"/>
    <mergeCell ref="T39:X39"/>
  </mergeCells>
  <conditionalFormatting sqref="M17 M20:M37">
    <cfRule type="containsText" dxfId="90" priority="347" operator="containsText" text="Válido">
      <formula>NOT(ISERROR(SEARCH("Válido",M17)))</formula>
    </cfRule>
    <cfRule type="containsText" dxfId="89" priority="348" operator="containsText" text="Inexequível">
      <formula>NOT(ISERROR(SEARCH("Inexequível",M17)))</formula>
    </cfRule>
  </conditionalFormatting>
  <conditionalFormatting sqref="M17 M20:M42">
    <cfRule type="containsText" priority="346" operator="containsText" text="Excessivamente elevado">
      <formula>NOT(ISERROR(SEARCH("Excessivamente elevado",M17)))</formula>
    </cfRule>
  </conditionalFormatting>
  <conditionalFormatting sqref="M21:M27">
    <cfRule type="aboveAverage" dxfId="88" priority="349" aboveAverage="0"/>
  </conditionalFormatting>
  <conditionalFormatting sqref="M31 M35:M37">
    <cfRule type="aboveAverage" dxfId="87" priority="6965" aboveAverage="0"/>
  </conditionalFormatting>
  <conditionalFormatting sqref="M6:O9 M11:O13 M28:N28 M43:O1048576 O16 M16:M17 M20:M27 N29 M29:M42 M15:O15">
    <cfRule type="containsText" dxfId="86" priority="305" operator="containsText" text="Excessivamente elevado">
      <formula>NOT(ISERROR(SEARCH("Excessivamente elevado",M6)))</formula>
    </cfRule>
  </conditionalFormatting>
  <conditionalFormatting sqref="M28:N28 M17 M20:M27 N29 M29:M42">
    <cfRule type="cellIs" dxfId="85" priority="307" operator="greaterThan">
      <formula>"J&amp;25"</formula>
    </cfRule>
  </conditionalFormatting>
  <conditionalFormatting sqref="M35:M37">
    <cfRule type="containsText" dxfId="84" priority="7598" operator="containsText" text="Válido">
      <formula>NOT(ISERROR(SEARCH("Válido",M35)))</formula>
    </cfRule>
    <cfRule type="containsText" dxfId="83" priority="7599" operator="containsText" text="Inexequível">
      <formula>NOT(ISERROR(SEARCH("Inexequível",M35)))</formula>
    </cfRule>
  </conditionalFormatting>
  <conditionalFormatting sqref="M35:M37">
    <cfRule type="cellIs" dxfId="82" priority="164" operator="lessThan">
      <formula>"K$25"</formula>
    </cfRule>
    <cfRule type="cellIs" dxfId="81" priority="165" operator="greaterThan">
      <formula>"J$25"</formula>
    </cfRule>
    <cfRule type="containsText" dxfId="80" priority="6967" operator="containsText" text="Válido">
      <formula>NOT(ISERROR(SEARCH("Válido",M35)))</formula>
    </cfRule>
    <cfRule type="containsText" dxfId="79" priority="6968" operator="containsText" text="Inexequível">
      <formula>NOT(ISERROR(SEARCH("Inexequível",M35)))</formula>
    </cfRule>
    <cfRule type="aboveAverage" dxfId="78" priority="6969" aboveAverage="0"/>
  </conditionalFormatting>
  <conditionalFormatting sqref="M35:M37">
    <cfRule type="aboveAverage" dxfId="77" priority="6973" aboveAverage="0"/>
  </conditionalFormatting>
  <conditionalFormatting sqref="M35:M42">
    <cfRule type="containsText" dxfId="76" priority="6971" operator="containsText" text="Válido">
      <formula>NOT(ISERROR(SEARCH("Válido",M35)))</formula>
    </cfRule>
    <cfRule type="containsText" dxfId="75" priority="6972" operator="containsText" text="Inexequível">
      <formula>NOT(ISERROR(SEARCH("Inexequível",M35)))</formula>
    </cfRule>
  </conditionalFormatting>
  <conditionalFormatting sqref="M38:M42">
    <cfRule type="aboveAverage" dxfId="74" priority="6981" aboveAverage="0"/>
  </conditionalFormatting>
  <conditionalFormatting sqref="M17 M28:N28 M20:M27 N29 M29:M42">
    <cfRule type="cellIs" dxfId="73" priority="309" operator="greaterThan">
      <formula>"J$25"</formula>
    </cfRule>
  </conditionalFormatting>
  <conditionalFormatting sqref="M17 M20:M27 M28:N29 M30:M42">
    <cfRule type="cellIs" dxfId="72" priority="306" operator="lessThan">
      <formula>"K$25"</formula>
    </cfRule>
  </conditionalFormatting>
  <conditionalFormatting sqref="N28:N29">
    <cfRule type="aboveAverage" dxfId="71" priority="365" aboveAverage="0"/>
  </conditionalFormatting>
  <conditionalFormatting sqref="N28:N29">
    <cfRule type="containsText" priority="318" operator="containsText" text="Excessivamente elevado">
      <formula>NOT(ISERROR(SEARCH("Excessivamente elevado",N28)))</formula>
    </cfRule>
    <cfRule type="containsText" dxfId="70" priority="319" operator="containsText" text="Válido">
      <formula>NOT(ISERROR(SEARCH("Válido",N28)))</formula>
    </cfRule>
    <cfRule type="containsText" dxfId="69" priority="320" operator="containsText" text="Inexequível">
      <formula>NOT(ISERROR(SEARCH("Inexequível",N28)))</formula>
    </cfRule>
  </conditionalFormatting>
  <conditionalFormatting sqref="N38:N39">
    <cfRule type="cellIs" dxfId="68" priority="97" operator="lessThan">
      <formula>"K$25"</formula>
    </cfRule>
    <cfRule type="cellIs" dxfId="67" priority="100" operator="greaterThan">
      <formula>"J$25"</formula>
    </cfRule>
    <cfRule type="containsText" dxfId="66" priority="103" operator="containsText" text="Válido">
      <formula>NOT(ISERROR(SEARCH("Válido",N38)))</formula>
    </cfRule>
    <cfRule type="containsText" dxfId="65" priority="104" operator="containsText" text="Inexequível">
      <formula>NOT(ISERROR(SEARCH("Inexequível",N38)))</formula>
    </cfRule>
  </conditionalFormatting>
  <conditionalFormatting sqref="N38:N39">
    <cfRule type="cellIs" dxfId="64" priority="98" operator="greaterThan">
      <formula>"J&amp;25"</formula>
    </cfRule>
    <cfRule type="containsText" dxfId="63" priority="101" operator="containsText" text="Excessivamente elevado">
      <formula>NOT(ISERROR(SEARCH("Excessivamente elevado",N38)))</formula>
    </cfRule>
    <cfRule type="containsText" priority="102" operator="containsText" text="Excessivamente elevado">
      <formula>NOT(ISERROR(SEARCH("Excessivamente elevado",N38)))</formula>
    </cfRule>
  </conditionalFormatting>
  <conditionalFormatting sqref="N38:N39">
    <cfRule type="aboveAverage" dxfId="62" priority="127" aboveAverage="0"/>
  </conditionalFormatting>
  <conditionalFormatting sqref="M17 M20 M28:M31 M35:M37">
    <cfRule type="aboveAverage" dxfId="61" priority="7600" aboveAverage="0"/>
  </conditionalFormatting>
  <conditionalFormatting sqref="M18:M19">
    <cfRule type="cellIs" dxfId="60" priority="81" operator="lessThan">
      <formula>"K$25"</formula>
    </cfRule>
  </conditionalFormatting>
  <conditionalFormatting sqref="M18:M19">
    <cfRule type="aboveAverage" dxfId="59" priority="86" aboveAverage="0"/>
  </conditionalFormatting>
  <conditionalFormatting sqref="M18:M19">
    <cfRule type="containsText" dxfId="58" priority="84" operator="containsText" text="Válido">
      <formula>NOT(ISERROR(SEARCH("Válido",M18)))</formula>
    </cfRule>
    <cfRule type="containsText" dxfId="57" priority="85" operator="containsText" text="Inexequível">
      <formula>NOT(ISERROR(SEARCH("Inexequível",M18)))</formula>
    </cfRule>
  </conditionalFormatting>
  <conditionalFormatting sqref="M18:M19">
    <cfRule type="containsText" priority="79" operator="containsText" text="Excessivamente elevado">
      <formula>NOT(ISERROR(SEARCH("Excessivamente elevado",M18)))</formula>
    </cfRule>
  </conditionalFormatting>
  <conditionalFormatting sqref="M18:M19">
    <cfRule type="containsText" dxfId="56" priority="80" operator="containsText" text="Excessivamente elevado">
      <formula>NOT(ISERROR(SEARCH("Excessivamente elevado",M18)))</formula>
    </cfRule>
  </conditionalFormatting>
  <conditionalFormatting sqref="M18:M19">
    <cfRule type="cellIs" dxfId="55" priority="82" operator="greaterThan">
      <formula>"J&amp;25"</formula>
    </cfRule>
  </conditionalFormatting>
  <conditionalFormatting sqref="M18:M19">
    <cfRule type="cellIs" dxfId="54" priority="83" operator="greaterThan">
      <formula>"J$25"</formula>
    </cfRule>
  </conditionalFormatting>
  <conditionalFormatting sqref="N17">
    <cfRule type="containsText" dxfId="53" priority="75" operator="containsText" text="Excessivamente elevado">
      <formula>NOT(ISERROR(SEARCH("Excessivamente elevado",N17)))</formula>
    </cfRule>
  </conditionalFormatting>
  <conditionalFormatting sqref="N17">
    <cfRule type="containsText" priority="71" operator="containsText" text="Excessivamente elevado">
      <formula>NOT(ISERROR(SEARCH("Excessivamente elevado",N17)))</formula>
    </cfRule>
    <cfRule type="cellIs" dxfId="52" priority="72" operator="lessThan">
      <formula>"K$25"</formula>
    </cfRule>
    <cfRule type="cellIs" dxfId="51" priority="73" operator="greaterThan">
      <formula>"J&amp;25"</formula>
    </cfRule>
    <cfRule type="cellIs" dxfId="50" priority="74" operator="greaterThan">
      <formula>"J$25"</formula>
    </cfRule>
    <cfRule type="containsText" dxfId="49" priority="76" operator="containsText" text="Válido">
      <formula>NOT(ISERROR(SEARCH("Válido",N17)))</formula>
    </cfRule>
    <cfRule type="containsText" dxfId="48" priority="77" operator="containsText" text="Inexequível">
      <formula>NOT(ISERROR(SEARCH("Inexequível",N17)))</formula>
    </cfRule>
    <cfRule type="aboveAverage" dxfId="47" priority="78" aboveAverage="0"/>
  </conditionalFormatting>
  <conditionalFormatting sqref="N20">
    <cfRule type="cellIs" dxfId="46" priority="65" operator="lessThan">
      <formula>"K$25"</formula>
    </cfRule>
  </conditionalFormatting>
  <conditionalFormatting sqref="N20">
    <cfRule type="containsText" dxfId="45" priority="64" operator="containsText" text="Excessivamente elevado">
      <formula>NOT(ISERROR(SEARCH("Excessivamente elevado",N20)))</formula>
    </cfRule>
  </conditionalFormatting>
  <conditionalFormatting sqref="N20">
    <cfRule type="cellIs" dxfId="44" priority="66" operator="greaterThan">
      <formula>"J&amp;25"</formula>
    </cfRule>
  </conditionalFormatting>
  <conditionalFormatting sqref="N20">
    <cfRule type="cellIs" dxfId="43" priority="67" operator="greaterThan">
      <formula>"J$25"</formula>
    </cfRule>
  </conditionalFormatting>
  <conditionalFormatting sqref="N20">
    <cfRule type="cellIs" dxfId="42" priority="62" operator="lessThan">
      <formula>"K$25"</formula>
    </cfRule>
    <cfRule type="cellIs" dxfId="41" priority="63" operator="greaterThan">
      <formula>"J$25"</formula>
    </cfRule>
    <cfRule type="aboveAverage" dxfId="40" priority="70" aboveAverage="0"/>
  </conditionalFormatting>
  <conditionalFormatting sqref="N20">
    <cfRule type="containsText" priority="61" operator="containsText" text="Excessivamente elevado">
      <formula>NOT(ISERROR(SEARCH("Excessivamente elevado",N20)))</formula>
    </cfRule>
  </conditionalFormatting>
  <conditionalFormatting sqref="N20">
    <cfRule type="containsText" dxfId="39" priority="68" operator="containsText" text="Válido">
      <formula>NOT(ISERROR(SEARCH("Válido",N20)))</formula>
    </cfRule>
    <cfRule type="containsText" dxfId="38" priority="69" operator="containsText" text="Inexequível">
      <formula>NOT(ISERROR(SEARCH("Inexequível",N20)))</formula>
    </cfRule>
  </conditionalFormatting>
  <conditionalFormatting sqref="N21">
    <cfRule type="containsText" dxfId="37" priority="57" operator="containsText" text="Excessivamente elevado">
      <formula>NOT(ISERROR(SEARCH("Excessivamente elevado",N21)))</formula>
    </cfRule>
  </conditionalFormatting>
  <conditionalFormatting sqref="N21">
    <cfRule type="containsText" priority="53" operator="containsText" text="Excessivamente elevado">
      <formula>NOT(ISERROR(SEARCH("Excessivamente elevado",N21)))</formula>
    </cfRule>
    <cfRule type="cellIs" dxfId="36" priority="54" operator="lessThan">
      <formula>"K$25"</formula>
    </cfRule>
    <cfRule type="cellIs" dxfId="35" priority="55" operator="greaterThan">
      <formula>"J&amp;25"</formula>
    </cfRule>
    <cfRule type="cellIs" dxfId="34" priority="56" operator="greaterThan">
      <formula>"J$25"</formula>
    </cfRule>
    <cfRule type="containsText" dxfId="33" priority="58" operator="containsText" text="Válido">
      <formula>NOT(ISERROR(SEARCH("Válido",N21)))</formula>
    </cfRule>
    <cfRule type="containsText" dxfId="32" priority="59" operator="containsText" text="Inexequível">
      <formula>NOT(ISERROR(SEARCH("Inexequível",N21)))</formula>
    </cfRule>
    <cfRule type="aboveAverage" dxfId="31" priority="60" aboveAverage="0"/>
  </conditionalFormatting>
  <conditionalFormatting sqref="N31">
    <cfRule type="cellIs" dxfId="30" priority="47" operator="lessThan">
      <formula>"K$25"</formula>
    </cfRule>
  </conditionalFormatting>
  <conditionalFormatting sqref="N31">
    <cfRule type="containsText" dxfId="29" priority="46" operator="containsText" text="Excessivamente elevado">
      <formula>NOT(ISERROR(SEARCH("Excessivamente elevado",N31)))</formula>
    </cfRule>
  </conditionalFormatting>
  <conditionalFormatting sqref="N31">
    <cfRule type="cellIs" dxfId="28" priority="48" operator="greaterThan">
      <formula>"J&amp;25"</formula>
    </cfRule>
  </conditionalFormatting>
  <conditionalFormatting sqref="N31">
    <cfRule type="cellIs" dxfId="27" priority="49" operator="greaterThan">
      <formula>"J$25"</formula>
    </cfRule>
  </conditionalFormatting>
  <conditionalFormatting sqref="N31">
    <cfRule type="cellIs" dxfId="26" priority="44" operator="lessThan">
      <formula>"K$25"</formula>
    </cfRule>
    <cfRule type="cellIs" dxfId="25" priority="45" operator="greaterThan">
      <formula>"J$25"</formula>
    </cfRule>
    <cfRule type="aboveAverage" dxfId="24" priority="52" aboveAverage="0"/>
  </conditionalFormatting>
  <conditionalFormatting sqref="N31">
    <cfRule type="containsText" priority="43" operator="containsText" text="Excessivamente elevado">
      <formula>NOT(ISERROR(SEARCH("Excessivamente elevado",N31)))</formula>
    </cfRule>
  </conditionalFormatting>
  <conditionalFormatting sqref="N31">
    <cfRule type="containsText" dxfId="23" priority="50" operator="containsText" text="Válido">
      <formula>NOT(ISERROR(SEARCH("Válido",N31)))</formula>
    </cfRule>
    <cfRule type="containsText" dxfId="22" priority="51" operator="containsText" text="Inexequível">
      <formula>NOT(ISERROR(SEARCH("Inexequível",N31)))</formula>
    </cfRule>
  </conditionalFormatting>
  <conditionalFormatting sqref="M32:M34">
    <cfRule type="aboveAverage" dxfId="21" priority="42" aboveAverage="0"/>
  </conditionalFormatting>
  <conditionalFormatting sqref="N35:N37">
    <cfRule type="cellIs" dxfId="20" priority="36" operator="lessThan">
      <formula>"K$25"</formula>
    </cfRule>
  </conditionalFormatting>
  <conditionalFormatting sqref="N35:N37">
    <cfRule type="containsText" dxfId="19" priority="35" operator="containsText" text="Excessivamente elevado">
      <formula>NOT(ISERROR(SEARCH("Excessivamente elevado",N35)))</formula>
    </cfRule>
  </conditionalFormatting>
  <conditionalFormatting sqref="N35:N37">
    <cfRule type="cellIs" dxfId="18" priority="37" operator="greaterThan">
      <formula>"J&amp;25"</formula>
    </cfRule>
  </conditionalFormatting>
  <conditionalFormatting sqref="N35:N37">
    <cfRule type="cellIs" dxfId="17" priority="38" operator="greaterThan">
      <formula>"J$25"</formula>
    </cfRule>
  </conditionalFormatting>
  <conditionalFormatting sqref="N35:N37">
    <cfRule type="cellIs" dxfId="16" priority="33" operator="lessThan">
      <formula>"K$25"</formula>
    </cfRule>
    <cfRule type="cellIs" dxfId="15" priority="34" operator="greaterThan">
      <formula>"J$25"</formula>
    </cfRule>
    <cfRule type="aboveAverage" dxfId="14" priority="41" aboveAverage="0"/>
  </conditionalFormatting>
  <conditionalFormatting sqref="N35:N37">
    <cfRule type="containsText" priority="32" operator="containsText" text="Excessivamente elevado">
      <formula>NOT(ISERROR(SEARCH("Excessivamente elevado",N35)))</formula>
    </cfRule>
  </conditionalFormatting>
  <conditionalFormatting sqref="N35:N37">
    <cfRule type="containsText" dxfId="13" priority="39" operator="containsText" text="Válido">
      <formula>NOT(ISERROR(SEARCH("Válido",N35)))</formula>
    </cfRule>
    <cfRule type="containsText" dxfId="12" priority="40" operator="containsText" text="Inexequível">
      <formula>NOT(ISERROR(SEARCH("Inexequível",N35)))</formula>
    </cfRule>
  </conditionalFormatting>
  <conditionalFormatting sqref="N41:N42">
    <cfRule type="cellIs" dxfId="11" priority="6" operator="lessThan">
      <formula>"K$25"</formula>
    </cfRule>
  </conditionalFormatting>
  <conditionalFormatting sqref="N41:N42">
    <cfRule type="containsText" dxfId="10" priority="5" operator="containsText" text="Excessivamente elevado">
      <formula>NOT(ISERROR(SEARCH("Excessivamente elevado",N41)))</formula>
    </cfRule>
  </conditionalFormatting>
  <conditionalFormatting sqref="N41:N42">
    <cfRule type="cellIs" dxfId="9" priority="7" operator="greaterThan">
      <formula>"J&amp;25"</formula>
    </cfRule>
  </conditionalFormatting>
  <conditionalFormatting sqref="N41:N42">
    <cfRule type="cellIs" dxfId="8" priority="8" operator="greaterThan">
      <formula>"J$25"</formula>
    </cfRule>
  </conditionalFormatting>
  <conditionalFormatting sqref="N41:N42">
    <cfRule type="cellIs" dxfId="7" priority="3" operator="lessThan">
      <formula>"K$25"</formula>
    </cfRule>
    <cfRule type="cellIs" dxfId="6" priority="4" operator="greaterThan">
      <formula>"J$25"</formula>
    </cfRule>
    <cfRule type="aboveAverage" dxfId="5" priority="11" aboveAverage="0"/>
  </conditionalFormatting>
  <conditionalFormatting sqref="N41:N42">
    <cfRule type="containsText" priority="2" operator="containsText" text="Excessivamente elevado">
      <formula>NOT(ISERROR(SEARCH("Excessivamente elevado",N41)))</formula>
    </cfRule>
  </conditionalFormatting>
  <conditionalFormatting sqref="N41:N42">
    <cfRule type="containsText" dxfId="4" priority="9" operator="containsText" text="Válido">
      <formula>NOT(ISERROR(SEARCH("Válido",N41)))</formula>
    </cfRule>
    <cfRule type="containsText" dxfId="3" priority="10" operator="containsText" text="Inexequível">
      <formula>NOT(ISERROR(SEARCH("Inexequível",N41)))</formula>
    </cfRule>
  </conditionalFormatting>
  <conditionalFormatting sqref="N16">
    <cfRule type="containsText" dxfId="2" priority="1" operator="containsText" text="Excessivamente elevado">
      <formula>NOT(ISERROR(SEARCH("Excessivamente elevado",N16)))</formula>
    </cfRule>
  </conditionalFormatting>
  <pageMargins left="0.7" right="0.7" top="0.75" bottom="0.75" header="0.3" footer="0.3"/>
  <pageSetup paperSize="9" scale="65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:G10"/>
  <sheetViews>
    <sheetView zoomScale="175" zoomScaleNormal="175" workbookViewId="0">
      <selection activeCell="C20" sqref="C20"/>
    </sheetView>
  </sheetViews>
  <sheetFormatPr defaultRowHeight="14.4"/>
  <cols>
    <col min="3" max="3" width="75.109375" customWidth="1"/>
    <col min="4" max="4" width="15.33203125" customWidth="1"/>
  </cols>
  <sheetData>
    <row r="9" spans="3:7">
      <c r="D9" s="68" t="s">
        <v>74</v>
      </c>
      <c r="E9" s="68" t="s">
        <v>73</v>
      </c>
      <c r="F9" s="68" t="s">
        <v>71</v>
      </c>
      <c r="G9" s="68" t="s">
        <v>72</v>
      </c>
    </row>
    <row r="10" spans="3:7">
      <c r="C10" s="67" t="s">
        <v>70</v>
      </c>
      <c r="D10" t="s">
        <v>76</v>
      </c>
      <c r="E10">
        <v>175</v>
      </c>
      <c r="F10" t="s">
        <v>75</v>
      </c>
      <c r="G10">
        <f>E10/100</f>
        <v>1.75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4.4"/>
  <cols>
    <col min="3" max="3" width="44.33203125" customWidth="1"/>
    <col min="6" max="6" width="10" bestFit="1" customWidth="1"/>
    <col min="7" max="7" width="13.33203125" bestFit="1" customWidth="1"/>
    <col min="8" max="8" width="29" customWidth="1"/>
    <col min="9" max="9" width="255.6640625" hidden="1" customWidth="1"/>
  </cols>
  <sheetData>
    <row r="1" spans="1:9" ht="41.4" customHeight="1">
      <c r="A1" s="655" t="s">
        <v>18</v>
      </c>
      <c r="B1" s="656"/>
      <c r="C1" s="656"/>
      <c r="D1" s="656"/>
      <c r="E1" s="656"/>
      <c r="F1" s="656"/>
      <c r="G1" s="656"/>
      <c r="H1" s="656"/>
    </row>
    <row r="2" spans="1:9" s="6" customFormat="1" ht="28.8">
      <c r="A2" s="9" t="s">
        <v>5</v>
      </c>
      <c r="B2" s="9" t="s">
        <v>19</v>
      </c>
      <c r="C2" s="11" t="s">
        <v>20</v>
      </c>
      <c r="D2" s="10" t="s">
        <v>21</v>
      </c>
      <c r="E2" s="10" t="s">
        <v>22</v>
      </c>
      <c r="F2" s="12" t="s">
        <v>13</v>
      </c>
      <c r="G2" s="12" t="s">
        <v>23</v>
      </c>
      <c r="H2" s="9" t="s">
        <v>24</v>
      </c>
      <c r="I2" s="2" t="s">
        <v>25</v>
      </c>
    </row>
    <row r="3" spans="1:9" ht="129.6">
      <c r="A3" s="8">
        <v>122</v>
      </c>
      <c r="B3" s="7">
        <v>4016</v>
      </c>
      <c r="C3" s="21" t="s">
        <v>26</v>
      </c>
      <c r="D3" s="18" t="s">
        <v>27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15.2">
      <c r="A4" s="8">
        <v>123</v>
      </c>
      <c r="B4" s="7"/>
      <c r="C4" s="21" t="s">
        <v>28</v>
      </c>
      <c r="D4" s="18" t="s">
        <v>29</v>
      </c>
      <c r="E4" s="1">
        <v>1</v>
      </c>
      <c r="F4" s="16">
        <v>194.93</v>
      </c>
      <c r="G4" s="15">
        <f>F4*E4</f>
        <v>194.93</v>
      </c>
      <c r="H4" s="19"/>
      <c r="I4" s="3" t="s">
        <v>30</v>
      </c>
    </row>
    <row r="5" spans="1:9" ht="100.8">
      <c r="A5" s="8">
        <v>124</v>
      </c>
      <c r="B5" s="7"/>
      <c r="C5" s="21" t="s">
        <v>31</v>
      </c>
      <c r="D5" s="18" t="s">
        <v>32</v>
      </c>
      <c r="E5" s="1">
        <v>2</v>
      </c>
      <c r="F5" s="16">
        <v>116.59</v>
      </c>
      <c r="G5" s="15">
        <f>F5*E5</f>
        <v>233.18</v>
      </c>
      <c r="H5" s="19"/>
      <c r="I5" s="3" t="s">
        <v>33</v>
      </c>
    </row>
    <row r="6" spans="1:9">
      <c r="C6" s="657" t="s">
        <v>17</v>
      </c>
      <c r="D6" s="657"/>
      <c r="E6" s="657"/>
      <c r="F6" s="657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7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2.xml><?xml version="1.0" encoding="utf-8"?>
<ds:datastoreItem xmlns:ds="http://schemas.openxmlformats.org/officeDocument/2006/customXml" ds:itemID="{16839914-97ED-41BE-9EE8-9B37670B5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Orçamento</vt:lpstr>
      <vt:lpstr>Planilha BDI</vt:lpstr>
      <vt:lpstr>Grupo 2 - Motor Gerador 1.2</vt:lpstr>
      <vt:lpstr>Grupo 4 - Painel Transf Aut 1.4</vt:lpstr>
      <vt:lpstr>Grupo 5 Superestrutura eletri</vt:lpstr>
      <vt:lpstr>Planilha2</vt:lpstr>
      <vt:lpstr>GRUPO - 19</vt:lpstr>
      <vt:lpstr>'Grupo 2 - Motor Gerador 1.2'!_Hlk16782509</vt:lpstr>
      <vt:lpstr>'Grupo 4 - Painel Transf Aut 1.4'!_Hlk16782509</vt:lpstr>
      <vt:lpstr>'Grupo 5 Superestrutura eletri'!_Hlk16782509</vt:lpstr>
      <vt:lpstr>Orçamento!Area_de_impressao</vt:lpstr>
      <vt:lpstr>'Planilha BDI'!Area_de_impressao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leumaise@gmail.com</cp:lastModifiedBy>
  <cp:revision/>
  <cp:lastPrinted>2023-03-02T18:45:38Z</cp:lastPrinted>
  <dcterms:created xsi:type="dcterms:W3CDTF">2020-01-27T17:52:42Z</dcterms:created>
  <dcterms:modified xsi:type="dcterms:W3CDTF">2023-11-16T20:13:42Z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