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ter\Downloads\"/>
    </mc:Choice>
  </mc:AlternateContent>
  <xr:revisionPtr revIDLastSave="0" documentId="13_ncr:1_{B5B87BCB-86AF-47AF-BF42-D5711A62275E}" xr6:coauthVersionLast="47" xr6:coauthVersionMax="47" xr10:uidLastSave="{00000000-0000-0000-0000-000000000000}"/>
  <bookViews>
    <workbookView xWindow="28680" yWindow="-120" windowWidth="29040" windowHeight="15840" xr2:uid="{4DF30B18-FB63-44D0-918B-145B58E4D6C5}"/>
  </bookViews>
  <sheets>
    <sheet name="LOTE UNICO" sheetId="1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13" l="1"/>
  <c r="V5" i="13"/>
  <c r="V10" i="13"/>
  <c r="S5" i="13"/>
  <c r="F10" i="13"/>
  <c r="H7" i="13"/>
  <c r="V6" i="13"/>
  <c r="V7" i="13"/>
  <c r="V8" i="13"/>
  <c r="V4" i="13"/>
  <c r="H5" i="13"/>
  <c r="L3" i="13"/>
  <c r="N2" i="13"/>
  <c r="Q2" i="13"/>
  <c r="F7" i="13"/>
  <c r="H2" i="13"/>
  <c r="X5" i="13" l="1"/>
  <c r="X6" i="13"/>
  <c r="I6" i="13" s="1"/>
  <c r="X10" i="13"/>
  <c r="X7" i="13"/>
  <c r="X8" i="13"/>
  <c r="T10" i="13" l="1"/>
  <c r="G10" i="13"/>
  <c r="T5" i="13"/>
  <c r="I5" i="13"/>
  <c r="O7" i="13"/>
  <c r="G7" i="13"/>
  <c r="I8" i="13"/>
  <c r="G8" i="13"/>
  <c r="T7" i="13"/>
  <c r="T6" i="13"/>
  <c r="T8" i="13"/>
  <c r="I10" i="13"/>
  <c r="M10" i="13"/>
  <c r="R10" i="13"/>
  <c r="O5" i="13"/>
  <c r="K6" i="13"/>
  <c r="G5" i="13"/>
  <c r="K7" i="13"/>
  <c r="O8" i="13"/>
  <c r="O10" i="13"/>
  <c r="K10" i="13"/>
  <c r="K5" i="13"/>
  <c r="O6" i="13"/>
  <c r="G6" i="13"/>
  <c r="K8" i="13"/>
  <c r="R5" i="13"/>
  <c r="M6" i="13"/>
  <c r="R7" i="13"/>
  <c r="M7" i="13"/>
  <c r="R8" i="13"/>
  <c r="M8" i="13"/>
  <c r="I7" i="13" l="1"/>
  <c r="W5" i="13"/>
  <c r="W6" i="13"/>
  <c r="N3" i="13"/>
  <c r="L4" i="13"/>
  <c r="W7" i="13"/>
  <c r="W8" i="13"/>
  <c r="W10" i="13"/>
  <c r="J2" i="13"/>
  <c r="F2" i="13"/>
  <c r="V2" i="13" s="1"/>
  <c r="Q6" i="13"/>
  <c r="R6" i="13" s="1"/>
  <c r="L5" i="13"/>
  <c r="M5" i="13" s="1"/>
  <c r="L9" i="13"/>
  <c r="V9" i="13" s="1"/>
  <c r="X2" i="13" l="1"/>
  <c r="T2" i="13" s="1"/>
  <c r="X9" i="13"/>
  <c r="X3" i="13"/>
  <c r="X4" i="13"/>
  <c r="M3" i="13" l="1"/>
  <c r="T3" i="13"/>
  <c r="R2" i="13"/>
  <c r="O2" i="13"/>
  <c r="W4" i="13"/>
  <c r="M4" i="13"/>
  <c r="T4" i="13"/>
  <c r="O3" i="13"/>
  <c r="M9" i="13"/>
  <c r="T9" i="13"/>
  <c r="W9" i="13"/>
  <c r="W3" i="13"/>
  <c r="I3" i="13"/>
  <c r="K3" i="13"/>
  <c r="G3" i="13"/>
  <c r="R3" i="13"/>
  <c r="I2" i="13"/>
  <c r="K2" i="13"/>
  <c r="V11" i="13"/>
  <c r="I4" i="13"/>
  <c r="G4" i="13"/>
  <c r="O4" i="13"/>
  <c r="K4" i="13"/>
  <c r="R4" i="13"/>
  <c r="R9" i="13"/>
  <c r="G9" i="13"/>
  <c r="I9" i="13"/>
  <c r="K9" i="13"/>
  <c r="O9" i="13"/>
  <c r="G2" i="13"/>
  <c r="W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tc={FB7DD378-E1FA-4C52-AF7B-DD6E10424A99}</author>
    <author>tc={B4812011-DB7A-4A82-A124-2FAC43C2145C}</author>
    <author>tc={964694AB-F33B-4E02-8058-552AC1965969}</author>
    <author>tc={C6638E92-9C8B-4033-A4AB-DA289FA5047C}</author>
    <author>tc={54359C61-A175-4A2F-BCEA-620862839170}</author>
    <author>tc={0AF47AC8-E1C8-4120-96A6-2E8C9540A222}</author>
    <author>tc={7235890B-7085-4569-80F2-4E439EAA4E11}</author>
    <author>tc={5BD6B54E-F748-4E9A-8CFB-371A7DFAADDC}</author>
    <author>tc={A9695B96-DD35-4208-8A38-EF2061A7DF94}</author>
  </authors>
  <commentList>
    <comment ref="F1" authorId="0" shapeId="0" xr:uid="{FB7DD378-E1FA-4C52-AF7B-DD6E10424A9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Por que não foram incluídos os preços para os itens 4 e 5 do contrato?
Responder:
    Os valores foram incluídos.</t>
      </text>
    </comment>
    <comment ref="V1" authorId="1" shapeId="0" xr:uid="{B4812011-DB7A-4A82-A124-2FAC43C2145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Para o cálculo dos valores aqui informados foam desconsiderados os valores excessivamente elevados e os inexequíveis (aqueles considerados 25% acima ou abaixo da média econtrada), conforme Manual de Pesquisa de Preços do STJ?</t>
      </text>
    </comment>
    <comment ref="H2" authorId="2" shapeId="0" xr:uid="{964694AB-F33B-4E02-8058-552AC196596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Por que o serviço de suporte técnico (item 3 do contrato MDR) foi incluído neste item, sendo que deveria ter sido cotado no item 8 desta tabela?
Responder:
    Porque se refere ao serviço de suporte do fabricante e não da contratada.</t>
      </text>
    </comment>
    <comment ref="H5" authorId="3" shapeId="0" xr:uid="{C6638E92-9C8B-4033-A4AB-DA289FA5047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Novamente, o serviço de suporte técnico (item 5 do contrato MDR) foi incluído neste item, sendo que há campo específico para o respectivo suporte. Reavaliar.
Responder:
    Ademais, a que se refere o quantitativo informado (450 VMs), uma vez que seriam 60 unidades de socket?
Responder:
    Porque se refere ao serviço de suporte do fabricante e não da contratada.
Responder:
    Porque as empresas podem comercializar esse serviço para VMs, Hosts ou sockets dependendo do ambiente.
Responder:
    Explicação incluída na observação (2)</t>
      </text>
    </comment>
    <comment ref="L5" authorId="4" shapeId="0" xr:uid="{54359C61-A175-4A2F-BCEA-62086283917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 que se refere o quantitativo inforamdo (1100 VMs), uma vez que seriam 60 unidades de socket?
Responder:
    Se refere a quantidade de VMs atualmente em produção no CJF.
Responder:
    Por que no contrato do MDR foi calculado com 450 VMs?
Responder:
    Por VM (Virtual Machine) tem sido a forma de comercialização oferecida pelos fabricantes. Por sockets dá liberdade de licenciar para mais VMs que venham s ser criadas.</t>
      </text>
    </comment>
    <comment ref="Q6" authorId="5" shapeId="0" xr:uid="{0AF47AC8-E1C8-4120-96A6-2E8C9540A22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 item do contrato se refere a armazenamento em nuvem. Isso se aplica à presente contratação?
Responder:
    O conceito da proteção de armazenamento indifere neste caso.</t>
      </text>
    </comment>
    <comment ref="H7" authorId="6" shapeId="0" xr:uid="{7235890B-7085-4569-80F2-4E439EAA4E1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Vide comentários acima.</t>
      </text>
    </comment>
    <comment ref="F10" authorId="7" shapeId="0" xr:uid="{5BD6B54E-F748-4E9A-8CFB-371A7DFAADD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Há serviço de suporte técnico no respectivo contrato. Sugere-se a inclusão do preço, adequando-o à quantidade prevista para a contratação.
Responder:
    Não é possível incluir o valor como sugerido porque no contrato o serviço não é contratao em separado.</t>
      </text>
    </comment>
    <comment ref="Q10" authorId="8" shapeId="0" xr:uid="{A9695B96-DD35-4208-8A38-EF2061A7DF9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 item informado nas observações (2.2) não está presente no contrato. Reavaliar.</t>
      </text>
    </comment>
  </commentList>
</comments>
</file>

<file path=xl/sharedStrings.xml><?xml version="1.0" encoding="utf-8"?>
<sst xmlns="http://schemas.openxmlformats.org/spreadsheetml/2006/main" count="44" uniqueCount="43">
  <si>
    <t>Item</t>
  </si>
  <si>
    <t>Descrição</t>
  </si>
  <si>
    <t>QTD</t>
  </si>
  <si>
    <t>VALOR TOTAL</t>
  </si>
  <si>
    <t>Dispositivo</t>
  </si>
  <si>
    <t>Proteção para estações de trabalho</t>
  </si>
  <si>
    <t>Socket</t>
  </si>
  <si>
    <t>Proteção para Datacenter</t>
  </si>
  <si>
    <t>Usuário</t>
  </si>
  <si>
    <t>Proteção para Serviço de E-mail </t>
  </si>
  <si>
    <t>Servidor</t>
  </si>
  <si>
    <t>Proteção para Storage</t>
  </si>
  <si>
    <t>Proteção para Microsoft 365</t>
  </si>
  <si>
    <t>Solução</t>
  </si>
  <si>
    <t>Serviço</t>
  </si>
  <si>
    <t>Instalação e Configuração</t>
  </si>
  <si>
    <t>Meses</t>
  </si>
  <si>
    <t>Suporte Técnico Mensal</t>
  </si>
  <si>
    <t>Turma</t>
  </si>
  <si>
    <t xml:space="preserve">Repasse de conhecimento para até 5 participantes </t>
  </si>
  <si>
    <t>Solução de segurança para proteção de estações de trabalho, datacenter, e-mail corporativo e aplicativos Microsoft 365</t>
  </si>
  <si>
    <t>Unidade</t>
  </si>
  <si>
    <t>Inspeção de Tráfego de Rede (NDR) para 4Gbps</t>
  </si>
  <si>
    <r>
      <t>PRF
(Contrato 001/2022)
(12 meses)</t>
    </r>
    <r>
      <rPr>
        <b/>
        <vertAlign val="superscript"/>
        <sz val="10"/>
        <color rgb="FF000000"/>
        <rFont val="Arial"/>
        <family val="2"/>
      </rPr>
      <t xml:space="preserve"> (1)</t>
    </r>
  </si>
  <si>
    <r>
      <t xml:space="preserve">MDR
(Contrato 006/2022)
(24 meses) </t>
    </r>
    <r>
      <rPr>
        <b/>
        <vertAlign val="superscript"/>
        <sz val="10"/>
        <color rgb="FF000000"/>
        <rFont val="Arial"/>
        <family val="2"/>
      </rPr>
      <t>(2)</t>
    </r>
  </si>
  <si>
    <r>
      <t xml:space="preserve">ATI PI
(Contrato 43/2022)
(36 meses) </t>
    </r>
    <r>
      <rPr>
        <b/>
        <vertAlign val="superscript"/>
        <sz val="10"/>
        <color rgb="FF000000"/>
        <rFont val="Arial"/>
        <family val="2"/>
      </rPr>
      <t>(3)</t>
    </r>
  </si>
  <si>
    <r>
      <t>ESMPU
(ARP 6/2022)
(12 meses)</t>
    </r>
    <r>
      <rPr>
        <b/>
        <vertAlign val="superscript"/>
        <sz val="10"/>
        <color rgb="FF000000"/>
        <rFont val="Arial"/>
        <family val="2"/>
      </rPr>
      <t xml:space="preserve"> (4)</t>
    </r>
  </si>
  <si>
    <r>
      <t>DETRAN-PA
(103/2022)
(36 meses)</t>
    </r>
    <r>
      <rPr>
        <b/>
        <vertAlign val="superscript"/>
        <sz val="10"/>
        <color rgb="FF000000"/>
        <rFont val="Arial"/>
        <family val="2"/>
      </rPr>
      <t xml:space="preserve"> (5)</t>
    </r>
  </si>
  <si>
    <r>
      <t>TJBA
(PE 068/2022)
(24 meses)</t>
    </r>
    <r>
      <rPr>
        <b/>
        <vertAlign val="superscript"/>
        <sz val="10"/>
        <color rgb="FF000000"/>
        <rFont val="Arial"/>
        <family val="2"/>
      </rPr>
      <t xml:space="preserve"> (6)</t>
    </r>
  </si>
  <si>
    <r>
      <t xml:space="preserve">(3) O item </t>
    </r>
    <r>
      <rPr>
        <b/>
        <sz val="9"/>
        <color rgb="FF000000"/>
        <rFont val="Calibri"/>
        <family val="2"/>
        <scheme val="minor"/>
      </rPr>
      <t>Proteção para estações de trabalho</t>
    </r>
    <r>
      <rPr>
        <sz val="9"/>
        <color rgb="FF000000"/>
        <rFont val="Calibri"/>
        <family val="2"/>
        <scheme val="minor"/>
      </rPr>
      <t xml:space="preserve"> foi calculado a partir do valor unitário do item 2 do contrato multiplicado por 580 (quantidade CJF).
      O item </t>
    </r>
    <r>
      <rPr>
        <b/>
        <sz val="9"/>
        <color rgb="FF000000"/>
        <rFont val="Calibri"/>
        <family val="2"/>
        <scheme val="minor"/>
      </rPr>
      <t xml:space="preserve">Inspeção de Tráfego de Rede (NDR) para 4Gbps </t>
    </r>
    <r>
      <rPr>
        <sz val="9"/>
        <color rgb="FF000000"/>
        <rFont val="Calibri"/>
        <family val="2"/>
        <scheme val="minor"/>
      </rPr>
      <t>foi calculado a partir do valor unitário do item 4 do contrato.
      O item</t>
    </r>
    <r>
      <rPr>
        <b/>
        <sz val="9"/>
        <color rgb="FF000000"/>
        <rFont val="Calibri"/>
        <family val="2"/>
        <scheme val="minor"/>
      </rPr>
      <t xml:space="preserve"> Instalação e Configuração</t>
    </r>
    <r>
      <rPr>
        <sz val="9"/>
        <color rgb="FF000000"/>
        <rFont val="Calibri"/>
        <family val="2"/>
        <scheme val="minor"/>
      </rPr>
      <t xml:space="preserve"> foi calculado a partir do valor unitário do item 7 do contrato.
      O item </t>
    </r>
    <r>
      <rPr>
        <b/>
        <sz val="9"/>
        <color rgb="FF000000"/>
        <rFont val="Calibri"/>
        <family val="2"/>
        <scheme val="minor"/>
      </rPr>
      <t>Repasse de conhecimento para até 5 participantes</t>
    </r>
    <r>
      <rPr>
        <sz val="9"/>
        <color rgb="FF000000"/>
        <rFont val="Calibri"/>
        <family val="2"/>
        <scheme val="minor"/>
      </rPr>
      <t xml:space="preserve"> foi calculado a partir do valor unitário do item 8 do contrato.</t>
    </r>
  </si>
  <si>
    <r>
      <t xml:space="preserve">(5)  O item </t>
    </r>
    <r>
      <rPr>
        <b/>
        <sz val="9"/>
        <color rgb="FF000000"/>
        <rFont val="Calibri"/>
        <family val="2"/>
        <scheme val="minor"/>
      </rPr>
      <t>Proteção para estações de trabalho</t>
    </r>
    <r>
      <rPr>
        <sz val="9"/>
        <color rgb="FF000000"/>
        <rFont val="Calibri"/>
        <family val="2"/>
        <scheme val="minor"/>
      </rPr>
      <t xml:space="preserve"> foi calculado a partir do valor unitário do item 1 do contrato multiplicado por 580 (quantidade CJF).
      O item </t>
    </r>
    <r>
      <rPr>
        <b/>
        <sz val="9"/>
        <color rgb="FF000000"/>
        <rFont val="Calibri"/>
        <family val="2"/>
        <scheme val="minor"/>
      </rPr>
      <t>Proteção para Serviço de E-mail</t>
    </r>
    <r>
      <rPr>
        <sz val="9"/>
        <color rgb="FF000000"/>
        <rFont val="Calibri"/>
        <family val="2"/>
        <scheme val="minor"/>
      </rPr>
      <t xml:space="preserve"> foi calculado a partir do valor unitário do item 4 do contrato multiplicado por 1300 (quantidade CJF).
      O item </t>
    </r>
    <r>
      <rPr>
        <b/>
        <sz val="9"/>
        <color rgb="FF000000"/>
        <rFont val="Calibri"/>
        <family val="2"/>
        <scheme val="minor"/>
      </rPr>
      <t xml:space="preserve">Inspeção de Tráfego de Rede (NDR) para 4Gbps </t>
    </r>
    <r>
      <rPr>
        <sz val="9"/>
        <color rgb="FF000000"/>
        <rFont val="Calibri"/>
        <family val="2"/>
        <scheme val="minor"/>
      </rPr>
      <t>foi calculado a partir do valor unitário do item 3 do contrato.
      O item</t>
    </r>
    <r>
      <rPr>
        <b/>
        <sz val="9"/>
        <color rgb="FF000000"/>
        <rFont val="Calibri"/>
        <family val="2"/>
        <scheme val="minor"/>
      </rPr>
      <t xml:space="preserve"> Instalação e Configuração</t>
    </r>
    <r>
      <rPr>
        <sz val="9"/>
        <color rgb="FF000000"/>
        <rFont val="Calibri"/>
        <family val="2"/>
        <scheme val="minor"/>
      </rPr>
      <t xml:space="preserve"> foi calculado a partir do valor unitário do item 6 do contrato.
      O item </t>
    </r>
    <r>
      <rPr>
        <b/>
        <sz val="9"/>
        <color rgb="FF000000"/>
        <rFont val="Calibri"/>
        <family val="2"/>
        <scheme val="minor"/>
      </rPr>
      <t>Repasse de conhecimento para até 5 participantes</t>
    </r>
    <r>
      <rPr>
        <sz val="9"/>
        <color rgb="FF000000"/>
        <rFont val="Calibri"/>
        <family val="2"/>
        <scheme val="minor"/>
      </rPr>
      <t xml:space="preserve"> foi calculado a partir do valor unitário do item 7 do contrato.</t>
    </r>
  </si>
  <si>
    <t>Todos os valores de contratos e propostas estão em reais (R$). Os valores obtidos em contratos  foram convertidos para a quantidade e vigência da contratação do CJF. Resssalta-se que neste tipo de conversão podem haver distorções decorrentes de esconomia de escala aplicada nos contratos usados.</t>
  </si>
  <si>
    <r>
      <t xml:space="preserve">(4) O item </t>
    </r>
    <r>
      <rPr>
        <b/>
        <sz val="9"/>
        <color rgb="FF000000"/>
        <rFont val="Calibri"/>
        <family val="2"/>
        <scheme val="minor"/>
      </rPr>
      <t xml:space="preserve">Proteção para Serviço de E-mail </t>
    </r>
    <r>
      <rPr>
        <sz val="9"/>
        <color rgb="FF000000"/>
        <rFont val="Calibri"/>
        <family val="2"/>
        <scheme val="minor"/>
      </rPr>
      <t xml:space="preserve">foi calculado a partir do valor unitário do item 1.3 da ARP multiplicado por 1300 (quantidade CJF) e por 3 (conversão para 36 meses).
      O item </t>
    </r>
    <r>
      <rPr>
        <b/>
        <sz val="9"/>
        <color rgb="FF000000"/>
        <rFont val="Calibri"/>
        <family val="2"/>
        <scheme val="minor"/>
      </rPr>
      <t>Proteção para Microsoft 365</t>
    </r>
    <r>
      <rPr>
        <sz val="9"/>
        <color rgb="FF000000"/>
        <rFont val="Calibri"/>
        <family val="2"/>
        <scheme val="minor"/>
      </rPr>
      <t xml:space="preserve"> foi calculado a partir do valor unitário do item 1.3 da ARP multiplicado por 550 (quantidade CJF) e por 3 (conversão para 36 meses).
      O item </t>
    </r>
    <r>
      <rPr>
        <b/>
        <sz val="9"/>
        <color rgb="FF000000"/>
        <rFont val="Calibri"/>
        <family val="2"/>
        <scheme val="minor"/>
      </rPr>
      <t>Proteção para Datacenter</t>
    </r>
    <r>
      <rPr>
        <sz val="9"/>
        <color rgb="FF000000"/>
        <rFont val="Calibri"/>
        <family val="2"/>
        <scheme val="minor"/>
      </rPr>
      <t xml:space="preserve"> foi calculado a partir do valor unitário do item 1.1 da ARP multiplicado por 1100 (quantidade de servidores virtuais VMs no CJF) e por 3 (conversão para 36 meses).
      O item </t>
    </r>
    <r>
      <rPr>
        <b/>
        <sz val="9"/>
        <color rgb="FF000000"/>
        <rFont val="Calibri"/>
        <family val="2"/>
        <scheme val="minor"/>
      </rPr>
      <t xml:space="preserve">Suporte Técnico Mensal </t>
    </r>
    <r>
      <rPr>
        <sz val="9"/>
        <color rgb="FF000000"/>
        <rFont val="Calibri"/>
        <family val="2"/>
        <scheme val="minor"/>
      </rPr>
      <t xml:space="preserve">foi calculado a partir do valor unitário do item 2.1 da ARP.
      O item </t>
    </r>
    <r>
      <rPr>
        <b/>
        <sz val="9"/>
        <color rgb="FF000000"/>
        <rFont val="Calibri"/>
        <family val="2"/>
        <scheme val="minor"/>
      </rPr>
      <t>Repasse de conhecimento para até 5 participantes</t>
    </r>
    <r>
      <rPr>
        <sz val="9"/>
        <color rgb="FF000000"/>
        <rFont val="Calibri"/>
        <family val="2"/>
        <scheme val="minor"/>
      </rPr>
      <t xml:space="preserve"> foi calculado a partir do valor unitário do item 2.2 da ARP.</t>
    </r>
  </si>
  <si>
    <t>% da Proposta pela Média</t>
  </si>
  <si>
    <t xml:space="preserve">Valor Unitário Estimado  por Item
(36 meses) </t>
  </si>
  <si>
    <r>
      <t xml:space="preserve">(2) O item </t>
    </r>
    <r>
      <rPr>
        <b/>
        <sz val="9"/>
        <color rgb="FF000000"/>
        <rFont val="Calibri"/>
        <family val="2"/>
        <scheme val="minor"/>
      </rPr>
      <t>Proteção para estações de trabalho</t>
    </r>
    <r>
      <rPr>
        <sz val="9"/>
        <color rgb="FF000000"/>
        <rFont val="Calibri"/>
        <family val="2"/>
        <scheme val="minor"/>
      </rPr>
      <t xml:space="preserve"> foi calculado a partir da soma dos valores unitários dos itens 2 e 3 do contrato multiplicado por 580 (quantidade CJF) e por 1,5 (conversão para 36 meses).
      O item </t>
    </r>
    <r>
      <rPr>
        <b/>
        <sz val="9"/>
        <color rgb="FF000000"/>
        <rFont val="Calibri"/>
        <family val="2"/>
        <scheme val="minor"/>
      </rPr>
      <t>Proteção para Datacenter</t>
    </r>
    <r>
      <rPr>
        <sz val="9"/>
        <color rgb="FF000000"/>
        <rFont val="Calibri"/>
        <family val="2"/>
        <scheme val="minor"/>
      </rPr>
      <t xml:space="preserve"> foi calculado a partir do valor total dos itens 4 e 5 do contrato  e multiplicado por 1,5 (conversão para 36 meses). Este contrato usou licenciamento por  servidores virtuais (VMs) e não sockets. A compra por sockets é mais vantajosa para o CJF por não limitar o número de VMs que podem ser licenciadas.
      O item </t>
    </r>
    <r>
      <rPr>
        <b/>
        <sz val="9"/>
        <color rgb="FF000000"/>
        <rFont val="Calibri"/>
        <family val="2"/>
        <scheme val="minor"/>
      </rPr>
      <t xml:space="preserve">Inspeção de Tráfego de Rede (NDR) para 4Gbps </t>
    </r>
    <r>
      <rPr>
        <sz val="9"/>
        <color rgb="FF000000"/>
        <rFont val="Calibri"/>
        <family val="2"/>
        <scheme val="minor"/>
      </rPr>
      <t xml:space="preserve">foi calculado a partir da soma do valor unitário dos itens 6 e 7 do contrato multiplicado por 4 (conversão para mesma quantidade do CJF) e por 1,5 (conversão para 36 meses).
      O item </t>
    </r>
    <r>
      <rPr>
        <b/>
        <sz val="9"/>
        <color rgb="FF000000"/>
        <rFont val="Calibri"/>
        <family val="2"/>
        <scheme val="minor"/>
      </rPr>
      <t>Repasse de conhecimento para até 5 participantes</t>
    </r>
    <r>
      <rPr>
        <sz val="9"/>
        <color rgb="FF000000"/>
        <rFont val="Calibri"/>
        <family val="2"/>
        <scheme val="minor"/>
      </rPr>
      <t xml:space="preserve"> foi calculado a partir do item 8 do contrato.</t>
    </r>
  </si>
  <si>
    <r>
      <t xml:space="preserve">Valor Total Estimado Total por Item
(36 meses) </t>
    </r>
    <r>
      <rPr>
        <b/>
        <vertAlign val="superscript"/>
        <sz val="10"/>
        <color rgb="FF000000"/>
        <rFont val="Arial"/>
        <family val="2"/>
      </rPr>
      <t>(8)</t>
    </r>
    <r>
      <rPr>
        <b/>
        <sz val="10"/>
        <color rgb="FF000000"/>
        <rFont val="Arial"/>
        <family val="2"/>
      </rPr>
      <t xml:space="preserve"> </t>
    </r>
  </si>
  <si>
    <r>
      <t>Proposta Comercial
Alltech
(36 meses</t>
    </r>
    <r>
      <rPr>
        <b/>
        <vertAlign val="subscript"/>
        <sz val="10"/>
        <color rgb="FF000000"/>
        <rFont val="Arial"/>
        <family val="2"/>
      </rPr>
      <t xml:space="preserve"> (7)</t>
    </r>
  </si>
  <si>
    <r>
      <t xml:space="preserve">(6) O item </t>
    </r>
    <r>
      <rPr>
        <b/>
        <sz val="9"/>
        <color rgb="FF000000"/>
        <rFont val="Calibri"/>
        <family val="2"/>
        <scheme val="minor"/>
      </rPr>
      <t>Proteção para estações de trabalho</t>
    </r>
    <r>
      <rPr>
        <sz val="9"/>
        <color rgb="FF000000"/>
        <rFont val="Calibri"/>
        <family val="2"/>
        <scheme val="minor"/>
      </rPr>
      <t xml:space="preserve"> foi calculado a partir do valor unitário do item 1 do contrato multiplicado por 580 (quantidade CJF) e por 1,5 (conversão para 36 meses).
      O item </t>
    </r>
    <r>
      <rPr>
        <b/>
        <sz val="9"/>
        <color rgb="FF000000"/>
        <rFont val="Calibri"/>
        <family val="2"/>
        <scheme val="minor"/>
      </rPr>
      <t>Proteção para Storage</t>
    </r>
    <r>
      <rPr>
        <sz val="9"/>
        <color rgb="FF000000"/>
        <rFont val="Calibri"/>
        <family val="2"/>
        <scheme val="minor"/>
      </rPr>
      <t xml:space="preserve"> foi calculado a partir do valor unitário do item 5 do contrato multiplicado por 1,5 (conversão para 36 meses) .
      O item </t>
    </r>
    <r>
      <rPr>
        <b/>
        <sz val="9"/>
        <color rgb="FF000000"/>
        <rFont val="Calibri"/>
        <family val="2"/>
        <scheme val="minor"/>
      </rPr>
      <t>Repasse de conhecimento para até 5 participantes</t>
    </r>
    <r>
      <rPr>
        <sz val="9"/>
        <color rgb="FF000000"/>
        <rFont val="Calibri"/>
        <family val="2"/>
        <scheme val="minor"/>
      </rPr>
      <t xml:space="preserve"> foi calculado a partir do valor unitário do item 4.8 da ARP.</t>
    </r>
  </si>
  <si>
    <r>
      <t xml:space="preserve">(1) O item </t>
    </r>
    <r>
      <rPr>
        <b/>
        <sz val="9"/>
        <color rgb="FF000000"/>
        <rFont val="Calibri"/>
        <family val="2"/>
        <scheme val="minor"/>
      </rPr>
      <t>Proteção para estações de trabalho</t>
    </r>
    <r>
      <rPr>
        <sz val="9"/>
        <color rgb="FF000000"/>
        <rFont val="Calibri"/>
        <family val="2"/>
        <scheme val="minor"/>
      </rPr>
      <t xml:space="preserve"> foi calculado a partir da soma dos valores unitários dos itens 1 e 2 do contrato multiplicado por 580 (quantidade CJF) e por 3 (conversão para 36 meses).
      O item </t>
    </r>
    <r>
      <rPr>
        <b/>
        <sz val="9"/>
        <color rgb="FF000000"/>
        <rFont val="Calibri"/>
        <family val="2"/>
        <scheme val="minor"/>
      </rPr>
      <t>Inspeção de Tráfego de Rede (NDR) para 4Gbps</t>
    </r>
    <r>
      <rPr>
        <sz val="9"/>
        <color rgb="FF000000"/>
        <rFont val="Calibri"/>
        <family val="2"/>
        <scheme val="minor"/>
      </rPr>
      <t xml:space="preserve"> foi calculado a partir do valor unitário do item 3 do contrato multiplicado por 4000 (conversão para mesma quantidade do CJF) e por 3 (conversão para 36 meses).
  O item Repasse de conhecimento para até 5 participantes foi calculado a partir do valor unitário do item 5 do contrato convertido de 30 para 5 participantes. </t>
    </r>
  </si>
  <si>
    <r>
      <t xml:space="preserve">(7) O Valor do item </t>
    </r>
    <r>
      <rPr>
        <b/>
        <sz val="9"/>
        <color rgb="FF000000"/>
        <rFont val="Calibri"/>
        <family val="2"/>
        <scheme val="minor"/>
      </rPr>
      <t>Proteção para estações de trabalho</t>
    </r>
    <r>
      <rPr>
        <sz val="9"/>
        <color rgb="FF000000"/>
        <rFont val="Calibri"/>
        <family val="2"/>
        <scheme val="minor"/>
      </rPr>
      <t xml:space="preserve">  e</t>
    </r>
    <r>
      <rPr>
        <b/>
        <sz val="9"/>
        <color rgb="FF000000"/>
        <rFont val="Calibri"/>
        <family val="2"/>
        <scheme val="minor"/>
      </rPr>
      <t xml:space="preserve"> Repasse de conhecimenbto para até 5 participantes</t>
    </r>
    <r>
      <rPr>
        <sz val="9"/>
        <color rgb="FF000000"/>
        <rFont val="Calibri"/>
        <family val="2"/>
        <scheme val="minor"/>
      </rPr>
      <t xml:space="preserve"> da Proposta Alltech não foi considerado porque é acima de 25% superior ao valor médio calculado com outros contratos utilizados.</t>
    </r>
  </si>
  <si>
    <r>
      <t xml:space="preserve">(8) O Valor Estimado dos itens 1 e 9 foi calculado a partir da média dos contratos encontrados, pois os valores apresentados na Proposta da empresa Alltech estavam excessivamente elevados.
      O Valor Estimado dos itens 2, 3, 4, 5, 6 e 7 foi calculado a partir valor da Proposta Comercial Alltech por ser um valor menor que a média dos contratos localizados.
</t>
    </r>
    <r>
      <rPr>
        <sz val="9"/>
        <rFont val="Calibri"/>
        <family val="2"/>
        <scheme val="minor"/>
      </rPr>
      <t xml:space="preserve">      O valor do item 8 foi calculado a partir da média do único contrato e da Propostas da Alltech.</t>
    </r>
    <r>
      <rPr>
        <sz val="9"/>
        <color rgb="FFFF0000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OBS: Metodologia em conformidade com o disposto no inciso I do art. 2º da Instrução Normativa SEGES/ME Nº 65, DE 7 DE JULHO DE 2021.</t>
    </r>
  </si>
  <si>
    <t>ALRN (ARP 00049/2023)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</si>
</sst>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_-* #,##0.00000_-;\-* #,##0.00000_-;_-* &quot;-&quot;??_-;_-@_-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9" fontId="5" fillId="0" borderId="0" xfId="1" applyFont="1" applyBorder="1"/>
    <xf numFmtId="9" fontId="5" fillId="0" borderId="0" xfId="1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" fontId="1" fillId="4" borderId="1" xfId="0" applyNumberFormat="1" applyFont="1" applyFill="1" applyBorder="1" applyAlignment="1">
      <alignment horizontal="right" vertical="center" wrapText="1"/>
    </xf>
    <xf numFmtId="43" fontId="3" fillId="0" borderId="1" xfId="2" applyFont="1" applyFill="1" applyBorder="1" applyAlignment="1">
      <alignment horizontal="right" vertical="center"/>
    </xf>
    <xf numFmtId="43" fontId="3" fillId="0" borderId="1" xfId="2" applyFont="1" applyFill="1" applyBorder="1" applyAlignment="1">
      <alignment horizontal="right" vertical="center" wrapText="1"/>
    </xf>
    <xf numFmtId="43" fontId="3" fillId="0" borderId="1" xfId="2" applyFont="1" applyBorder="1" applyAlignment="1">
      <alignment horizontal="right" vertical="center"/>
    </xf>
    <xf numFmtId="0" fontId="6" fillId="0" borderId="0" xfId="0" applyFont="1"/>
    <xf numFmtId="43" fontId="0" fillId="0" borderId="0" xfId="0" applyNumberFormat="1"/>
    <xf numFmtId="165" fontId="0" fillId="0" borderId="0" xfId="0" applyNumberFormat="1"/>
    <xf numFmtId="43" fontId="0" fillId="0" borderId="0" xfId="2" applyFont="1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43" fontId="3" fillId="0" borderId="1" xfId="2" applyFont="1" applyFill="1" applyBorder="1" applyAlignment="1">
      <alignment vertical="center"/>
    </xf>
    <xf numFmtId="43" fontId="3" fillId="0" borderId="1" xfId="2" applyFont="1" applyFill="1" applyBorder="1" applyAlignment="1">
      <alignment vertical="center" wrapText="1"/>
    </xf>
    <xf numFmtId="43" fontId="3" fillId="0" borderId="5" xfId="2" applyFont="1" applyFill="1" applyBorder="1" applyAlignment="1">
      <alignment vertical="center" wrapText="1"/>
    </xf>
    <xf numFmtId="43" fontId="1" fillId="0" borderId="5" xfId="2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43" fontId="3" fillId="0" borderId="4" xfId="2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vertical="center"/>
    </xf>
    <xf numFmtId="43" fontId="10" fillId="2" borderId="1" xfId="2" applyFont="1" applyFill="1" applyBorder="1" applyAlignment="1">
      <alignment vertical="center"/>
    </xf>
    <xf numFmtId="4" fontId="3" fillId="6" borderId="2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" fontId="3" fillId="0" borderId="1" xfId="2" applyNumberFormat="1" applyFont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4" fontId="15" fillId="0" borderId="5" xfId="1" applyNumberFormat="1" applyFont="1" applyFill="1" applyBorder="1" applyAlignment="1">
      <alignment vertical="center"/>
    </xf>
    <xf numFmtId="4" fontId="15" fillId="0" borderId="1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élio Alves da Silva" id="{1DA1E386-9B1D-43AB-85C0-C0F7DBBB5522}" userId="S::nelio.silva@cjf.jus.br::e080a4ed-88b8-4a81-b30b-d303013d7708" providerId="AD"/>
  <person displayName="Rafael Veloso Mizuno" id="{9D3BF132-07E2-460E-93E6-33B1D4B714A1}" userId="S::rafael.mizuno@cjf.jus.br::54773de8-5de4-4bcc-90c3-dfa19caa2637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" dT="2023-09-11T13:32:53.86" personId="{9D3BF132-07E2-460E-93E6-33B1D4B714A1}" id="{FB7DD378-E1FA-4C52-AF7B-DD6E10424A99}">
    <text>Por que não foram incluídos os preços para os itens 4 e 5 do contrato?</text>
  </threadedComment>
  <threadedComment ref="F1" dT="2023-09-13T18:04:38.12" personId="{1DA1E386-9B1D-43AB-85C0-C0F7DBBB5522}" id="{DAAC01A5-6D51-464A-BE05-57C5A5F54C27}" parentId="{FB7DD378-E1FA-4C52-AF7B-DD6E10424A99}">
    <text>Os valores foram incluídos.</text>
  </threadedComment>
  <threadedComment ref="V1" dT="2023-09-11T14:27:12.87" personId="{9D3BF132-07E2-460E-93E6-33B1D4B714A1}" id="{B4812011-DB7A-4A82-A124-2FAC43C2145C}">
    <text>Para o cálculo dos valores aqui informados foam desconsiderados os valores excessivamente elevados e os inexequíveis (aqueles considerados 25% acima ou abaixo da média econtrada), conforme Manual de Pesquisa de Preços do STJ?</text>
  </threadedComment>
  <threadedComment ref="H2" dT="2023-09-11T13:45:52.18" personId="{9D3BF132-07E2-460E-93E6-33B1D4B714A1}" id="{964694AB-F33B-4E02-8058-552AC1965969}">
    <text>Por que o serviço de suporte técnico (item 3 do contrato MDR) foi incluído neste item, sendo que deveria ter sido cotado no item 8 desta tabela?</text>
  </threadedComment>
  <threadedComment ref="H2" dT="2023-09-12T21:35:40.91" personId="{1DA1E386-9B1D-43AB-85C0-C0F7DBBB5522}" id="{F3FA8ED8-A6E0-4D7A-8B75-BFA93DFC7F59}" parentId="{964694AB-F33B-4E02-8058-552AC1965969}">
    <text>Porque se refere ao serviço de suporte do fabricante e não da contratada.</text>
  </threadedComment>
  <threadedComment ref="H5" dT="2023-09-11T13:49:11.24" personId="{9D3BF132-07E2-460E-93E6-33B1D4B714A1}" id="{C6638E92-9C8B-4033-A4AB-DA289FA5047C}">
    <text>Novamente, o serviço de suporte técnico (item 5 do contrato MDR) foi incluído neste item, sendo que há campo específico para o respectivo suporte. Reavaliar.</text>
  </threadedComment>
  <threadedComment ref="H5" dT="2023-09-11T14:05:13.85" personId="{9D3BF132-07E2-460E-93E6-33B1D4B714A1}" id="{41024021-BB56-4C06-B1E0-2A7BD67BC6F3}" parentId="{C6638E92-9C8B-4033-A4AB-DA289FA5047C}">
    <text>Ademais, a que se refere o quantitativo informado (450 VMs), uma vez que seriam 60 unidades de socket?</text>
  </threadedComment>
  <threadedComment ref="H5" dT="2023-09-12T21:36:10.04" personId="{1DA1E386-9B1D-43AB-85C0-C0F7DBBB5522}" id="{AADBBEB3-3C5D-48EB-AFC6-E99292E824CF}" parentId="{C6638E92-9C8B-4033-A4AB-DA289FA5047C}">
    <text>Porque se refere ao serviço de suporte do fabricante e não da contratada.</text>
  </threadedComment>
  <threadedComment ref="H5" dT="2023-09-12T21:38:28.80" personId="{1DA1E386-9B1D-43AB-85C0-C0F7DBBB5522}" id="{A2F2F77C-BFCB-4323-81C9-81A4AEB6CFBF}" parentId="{C6638E92-9C8B-4033-A4AB-DA289FA5047C}">
    <text>Porque as empresas podem comercializar esse serviço para VMs, Hosts ou sockets dependendo do ambiente.</text>
  </threadedComment>
  <threadedComment ref="H5" dT="2023-09-13T18:33:50.88" personId="{1DA1E386-9B1D-43AB-85C0-C0F7DBBB5522}" id="{68A0E3A8-41E8-4EB7-B988-5EAD8F082A4B}" parentId="{C6638E92-9C8B-4033-A4AB-DA289FA5047C}">
    <text>Explicação incluída na observação (2)</text>
  </threadedComment>
  <threadedComment ref="L5" dT="2023-09-11T14:05:45.71" personId="{9D3BF132-07E2-460E-93E6-33B1D4B714A1}" id="{54359C61-A175-4A2F-BCEA-620862839170}">
    <text>a que se refere o quantitativo inforamdo (1100 VMs), uma vez que seriam 60 unidades de socket?</text>
  </threadedComment>
  <threadedComment ref="L5" dT="2023-09-12T21:41:49.20" personId="{1DA1E386-9B1D-43AB-85C0-C0F7DBBB5522}" id="{4A89D749-9BDC-406C-8284-745D39E1E2ED}" parentId="{54359C61-A175-4A2F-BCEA-620862839170}">
    <text>Se refere a quantidade de VMs atualmente em produção no CJF.</text>
  </threadedComment>
  <threadedComment ref="L5" dT="2023-09-13T13:23:38.13" personId="{9D3BF132-07E2-460E-93E6-33B1D4B714A1}" id="{8B367463-C84C-4EFE-802F-340B7C881F2F}" parentId="{54359C61-A175-4A2F-BCEA-620862839170}">
    <text>Por que no contrato do MDR foi calculado com 450 VMs?</text>
  </threadedComment>
  <threadedComment ref="L5" dT="2023-09-13T18:39:20.95" personId="{1DA1E386-9B1D-43AB-85C0-C0F7DBBB5522}" id="{A8CB62A0-E116-4731-8DE2-549B1474BFAE}" parentId="{54359C61-A175-4A2F-BCEA-620862839170}">
    <text>Por VM (Virtual Machine) tem sido a forma de comercialização oferecida pelos fabricantes. Por sockets dá liberdade de licenciar para mais VMs que venham s ser criadas.</text>
  </threadedComment>
  <threadedComment ref="Q6" dT="2023-09-11T14:22:39.69" personId="{9D3BF132-07E2-460E-93E6-33B1D4B714A1}" id="{0AF47AC8-E1C8-4120-96A6-2E8C9540A222}">
    <text>O item do contrato se refere a armazenamento em nuvem. Isso se aplica à presente contratação?</text>
  </threadedComment>
  <threadedComment ref="Q6" dT="2023-09-12T21:45:46.06" personId="{1DA1E386-9B1D-43AB-85C0-C0F7DBBB5522}" id="{8A08E9AD-04DB-41D9-A3CC-35410CFE66E4}" parentId="{0AF47AC8-E1C8-4120-96A6-2E8C9540A222}">
    <text>O conceito da proteção de armazenamento indifere neste caso.</text>
  </threadedComment>
  <threadedComment ref="H7" dT="2023-09-11T13:49:35.59" personId="{9D3BF132-07E2-460E-93E6-33B1D4B714A1}" id="{7235890B-7085-4569-80F2-4E439EAA4E11}">
    <text>Vide comentários acima.</text>
  </threadedComment>
  <threadedComment ref="F10" dT="2023-09-11T13:50:38.86" personId="{9D3BF132-07E2-460E-93E6-33B1D4B714A1}" id="{5BD6B54E-F748-4E9A-8CFB-371A7DFAADDC}">
    <text>Há serviço de suporte técnico no respectivo contrato. Sugere-se a inclusão do preço, adequando-o à quantidade prevista para a contratação.</text>
  </threadedComment>
  <threadedComment ref="F10" dT="2023-09-12T21:33:23.08" personId="{1DA1E386-9B1D-43AB-85C0-C0F7DBBB5522}" id="{A211C8B5-3ECC-4FF2-861A-22852AB2082C}" parentId="{5BD6B54E-F748-4E9A-8CFB-371A7DFAADDC}">
    <text>Não é possível incluir o valor como sugerido porque no contrato o serviço não é contratao em separado.</text>
  </threadedComment>
  <threadedComment ref="Q10" dT="2023-09-11T14:24:28.97" personId="{9D3BF132-07E2-460E-93E6-33B1D4B714A1}" id="{A9695B96-DD35-4208-8A38-EF2061A7DF94}">
    <text>O item informado nas observações (2.2) não está presente no contrato. Reavaliar.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B73F-34EA-42C5-9CBD-D0D3A24C1412}">
  <sheetPr>
    <pageSetUpPr fitToPage="1"/>
  </sheetPr>
  <dimension ref="A1:Z23"/>
  <sheetViews>
    <sheetView tabSelected="1" zoomScaleNormal="100" workbookViewId="0">
      <selection activeCell="A14" sqref="A14:W14"/>
    </sheetView>
  </sheetViews>
  <sheetFormatPr defaultRowHeight="15" x14ac:dyDescent="0.25"/>
  <cols>
    <col min="1" max="1" width="24.140625" customWidth="1"/>
    <col min="2" max="2" width="4.140625" customWidth="1"/>
    <col min="3" max="3" width="32.42578125" style="3" customWidth="1"/>
    <col min="4" max="4" width="10.7109375" style="3" bestFit="1" customWidth="1"/>
    <col min="5" max="5" width="7.42578125" style="3" customWidth="1"/>
    <col min="6" max="6" width="14.28515625" style="3" customWidth="1"/>
    <col min="7" max="7" width="5.85546875" style="3" hidden="1" customWidth="1"/>
    <col min="8" max="8" width="13.7109375" style="3" customWidth="1"/>
    <col min="9" max="9" width="5.85546875" style="3" hidden="1" customWidth="1"/>
    <col min="10" max="10" width="13.7109375" style="1" customWidth="1"/>
    <col min="11" max="11" width="6.5703125" style="1" hidden="1" customWidth="1"/>
    <col min="12" max="12" width="13.7109375" style="3" customWidth="1"/>
    <col min="13" max="13" width="6.42578125" style="3" hidden="1" customWidth="1"/>
    <col min="14" max="14" width="13.7109375" style="3" customWidth="1"/>
    <col min="15" max="15" width="6.85546875" style="3" hidden="1" customWidth="1"/>
    <col min="16" max="16" width="11.5703125" style="3" customWidth="1"/>
    <col min="17" max="17" width="13.7109375" style="3" customWidth="1"/>
    <col min="18" max="18" width="6.5703125" style="3" hidden="1" customWidth="1"/>
    <col min="19" max="19" width="13.42578125" style="3" customWidth="1"/>
    <col min="20" max="20" width="9.7109375" style="3" customWidth="1"/>
    <col min="21" max="21" width="5.5703125" customWidth="1"/>
    <col min="22" max="22" width="18.42578125" customWidth="1"/>
    <col min="23" max="23" width="15.5703125" customWidth="1"/>
    <col min="24" max="24" width="13.28515625" hidden="1" customWidth="1"/>
  </cols>
  <sheetData>
    <row r="1" spans="1:26" ht="52.5" x14ac:dyDescent="0.25">
      <c r="A1" s="6" t="s">
        <v>1</v>
      </c>
      <c r="B1" s="6"/>
      <c r="C1" s="6" t="s">
        <v>0</v>
      </c>
      <c r="D1" s="6" t="s">
        <v>21</v>
      </c>
      <c r="E1" s="6" t="s">
        <v>2</v>
      </c>
      <c r="F1" s="6" t="s">
        <v>23</v>
      </c>
      <c r="G1" s="6"/>
      <c r="H1" s="6" t="s">
        <v>24</v>
      </c>
      <c r="I1" s="6"/>
      <c r="J1" s="6" t="s">
        <v>25</v>
      </c>
      <c r="K1" s="6"/>
      <c r="L1" s="6" t="s">
        <v>26</v>
      </c>
      <c r="M1" s="6"/>
      <c r="N1" s="6" t="s">
        <v>27</v>
      </c>
      <c r="O1" s="6"/>
      <c r="P1" s="34" t="s">
        <v>42</v>
      </c>
      <c r="Q1" s="6" t="s">
        <v>28</v>
      </c>
      <c r="R1" s="28"/>
      <c r="S1" s="26" t="s">
        <v>37</v>
      </c>
      <c r="T1" s="28" t="s">
        <v>33</v>
      </c>
      <c r="V1" s="6" t="s">
        <v>36</v>
      </c>
      <c r="W1" s="6" t="s">
        <v>34</v>
      </c>
    </row>
    <row r="2" spans="1:26" x14ac:dyDescent="0.25">
      <c r="A2" s="39" t="s">
        <v>20</v>
      </c>
      <c r="B2" s="7">
        <v>1</v>
      </c>
      <c r="C2" s="18" t="s">
        <v>5</v>
      </c>
      <c r="D2" s="7" t="s">
        <v>4</v>
      </c>
      <c r="E2" s="19">
        <v>580</v>
      </c>
      <c r="F2" s="21">
        <f>((60.35+53.54)*580)*3</f>
        <v>198168.59999999998</v>
      </c>
      <c r="G2" s="29">
        <f t="shared" ref="G2:G10" si="0">F2/$X2</f>
        <v>0.83084083514495377</v>
      </c>
      <c r="H2" s="22">
        <f>((229+35)*580)*1.5</f>
        <v>229680</v>
      </c>
      <c r="I2" s="29">
        <f t="shared" ref="I2:I10" si="1">H2/$X2</f>
        <v>0.96295539765680838</v>
      </c>
      <c r="J2" s="22">
        <f>480*580</f>
        <v>278400</v>
      </c>
      <c r="K2" s="29">
        <f t="shared" ref="K2:K10" si="2">J2/$X2</f>
        <v>1.1672186638264344</v>
      </c>
      <c r="L2" s="12"/>
      <c r="M2" s="29"/>
      <c r="N2" s="22">
        <f>246*580</f>
        <v>142680</v>
      </c>
      <c r="O2" s="29">
        <f t="shared" ref="O2:O10" si="3">N2/$X2</f>
        <v>0.59819956521104767</v>
      </c>
      <c r="P2" s="35"/>
      <c r="Q2" s="23">
        <f>(395*580)*1.5</f>
        <v>343650</v>
      </c>
      <c r="R2" s="29">
        <f t="shared" ref="R2:R10" si="4">Q2/$X2</f>
        <v>1.4407855381607551</v>
      </c>
      <c r="S2" s="30">
        <v>520000</v>
      </c>
      <c r="T2" s="29">
        <f>S2/$X2</f>
        <v>2.1801498031240873</v>
      </c>
      <c r="U2" s="42"/>
      <c r="V2" s="20">
        <f>AVERAGE(F2,H2,J2,N2,Q2)</f>
        <v>238515.72000000003</v>
      </c>
      <c r="W2" s="20">
        <f t="shared" ref="W2:W10" si="5">V2/E2</f>
        <v>411.23400000000004</v>
      </c>
      <c r="X2" s="17">
        <f>V2</f>
        <v>238515.72000000003</v>
      </c>
    </row>
    <row r="3" spans="1:26" x14ac:dyDescent="0.25">
      <c r="A3" s="40"/>
      <c r="B3" s="7">
        <v>2</v>
      </c>
      <c r="C3" s="18" t="s">
        <v>9</v>
      </c>
      <c r="D3" s="7" t="s">
        <v>8</v>
      </c>
      <c r="E3" s="19">
        <v>1300</v>
      </c>
      <c r="F3" s="21"/>
      <c r="G3" s="29">
        <f t="shared" si="0"/>
        <v>0</v>
      </c>
      <c r="H3" s="22"/>
      <c r="I3" s="29">
        <f t="shared" si="1"/>
        <v>0</v>
      </c>
      <c r="J3" s="22"/>
      <c r="K3" s="29">
        <f t="shared" si="2"/>
        <v>0</v>
      </c>
      <c r="L3" s="12">
        <f>((100)*1300)*3</f>
        <v>390000</v>
      </c>
      <c r="M3" s="29">
        <f t="shared" ref="M3:M10" si="6">L3/$X3</f>
        <v>1.6956521739130435</v>
      </c>
      <c r="N3" s="22">
        <f>124.8*1300</f>
        <v>162240</v>
      </c>
      <c r="O3" s="29">
        <f t="shared" si="3"/>
        <v>0.70539130434782604</v>
      </c>
      <c r="P3" s="35">
        <v>295100</v>
      </c>
      <c r="Q3" s="24"/>
      <c r="R3" s="29">
        <f t="shared" si="4"/>
        <v>0</v>
      </c>
      <c r="S3" s="21">
        <v>230000</v>
      </c>
      <c r="T3" s="29">
        <f t="shared" ref="T3:T10" si="7">S3/$X3</f>
        <v>1</v>
      </c>
      <c r="U3" s="42"/>
      <c r="V3" s="20">
        <f>S3</f>
        <v>230000</v>
      </c>
      <c r="W3" s="20">
        <f t="shared" si="5"/>
        <v>176.92307692307693</v>
      </c>
      <c r="X3" s="17">
        <f t="shared" ref="X3:X10" si="8">V3</f>
        <v>230000</v>
      </c>
      <c r="Z3" s="16"/>
    </row>
    <row r="4" spans="1:26" x14ac:dyDescent="0.25">
      <c r="A4" s="40"/>
      <c r="B4" s="7">
        <v>3</v>
      </c>
      <c r="C4" s="32" t="s">
        <v>12</v>
      </c>
      <c r="D4" s="7" t="s">
        <v>8</v>
      </c>
      <c r="E4" s="19">
        <v>550</v>
      </c>
      <c r="F4" s="21"/>
      <c r="G4" s="29">
        <f t="shared" si="0"/>
        <v>0</v>
      </c>
      <c r="H4" s="22"/>
      <c r="I4" s="29">
        <f t="shared" si="1"/>
        <v>0</v>
      </c>
      <c r="J4" s="22"/>
      <c r="K4" s="29">
        <f t="shared" si="2"/>
        <v>0</v>
      </c>
      <c r="L4" s="12">
        <f>((100)*550)*3</f>
        <v>165000</v>
      </c>
      <c r="M4" s="29">
        <f t="shared" si="6"/>
        <v>1.1000000000000001</v>
      </c>
      <c r="N4" s="22"/>
      <c r="O4" s="29">
        <f t="shared" si="3"/>
        <v>0</v>
      </c>
      <c r="P4" s="35"/>
      <c r="Q4" s="24"/>
      <c r="R4" s="29">
        <f t="shared" si="4"/>
        <v>0</v>
      </c>
      <c r="S4" s="21">
        <v>150000</v>
      </c>
      <c r="T4" s="29">
        <f t="shared" si="7"/>
        <v>1</v>
      </c>
      <c r="U4" s="42"/>
      <c r="V4" s="20">
        <f>S4</f>
        <v>150000</v>
      </c>
      <c r="W4" s="20">
        <f t="shared" si="5"/>
        <v>272.72727272727275</v>
      </c>
      <c r="X4" s="17">
        <f t="shared" si="8"/>
        <v>150000</v>
      </c>
    </row>
    <row r="5" spans="1:26" ht="15.75" customHeight="1" x14ac:dyDescent="0.25">
      <c r="A5" s="40"/>
      <c r="B5" s="7">
        <v>4</v>
      </c>
      <c r="C5" s="18" t="s">
        <v>7</v>
      </c>
      <c r="D5" s="7" t="s">
        <v>6</v>
      </c>
      <c r="E5" s="19">
        <v>60</v>
      </c>
      <c r="F5" s="11"/>
      <c r="G5" s="29">
        <f t="shared" si="0"/>
        <v>0</v>
      </c>
      <c r="H5" s="12">
        <f>1323000*1.5</f>
        <v>1984500</v>
      </c>
      <c r="I5" s="29">
        <f t="shared" si="1"/>
        <v>1.5953821464799578</v>
      </c>
      <c r="J5" s="12"/>
      <c r="K5" s="29">
        <f t="shared" si="2"/>
        <v>0</v>
      </c>
      <c r="L5" s="12">
        <f>900*1100</f>
        <v>990000</v>
      </c>
      <c r="M5" s="29">
        <f t="shared" si="6"/>
        <v>0.79588224994465007</v>
      </c>
      <c r="N5" s="12"/>
      <c r="O5" s="29">
        <f t="shared" si="3"/>
        <v>0</v>
      </c>
      <c r="P5" s="36"/>
      <c r="Q5" s="12"/>
      <c r="R5" s="29">
        <f t="shared" si="4"/>
        <v>0</v>
      </c>
      <c r="S5" s="27">
        <f>20731.71*60</f>
        <v>1243902.5999999999</v>
      </c>
      <c r="T5" s="29">
        <f t="shared" si="7"/>
        <v>1</v>
      </c>
      <c r="V5" s="31">
        <f>S5</f>
        <v>1243902.5999999999</v>
      </c>
      <c r="W5" s="31">
        <f t="shared" si="5"/>
        <v>20731.71</v>
      </c>
      <c r="X5" s="17">
        <f t="shared" si="8"/>
        <v>1243902.5999999999</v>
      </c>
    </row>
    <row r="6" spans="1:26" x14ac:dyDescent="0.25">
      <c r="A6" s="40"/>
      <c r="B6" s="7">
        <v>5</v>
      </c>
      <c r="C6" s="32" t="s">
        <v>11</v>
      </c>
      <c r="D6" s="7" t="s">
        <v>10</v>
      </c>
      <c r="E6" s="19">
        <v>2</v>
      </c>
      <c r="F6" s="11"/>
      <c r="G6" s="29">
        <f t="shared" si="0"/>
        <v>0</v>
      </c>
      <c r="H6" s="12"/>
      <c r="I6" s="29">
        <f t="shared" si="1"/>
        <v>0</v>
      </c>
      <c r="J6" s="12"/>
      <c r="K6" s="29">
        <f t="shared" si="2"/>
        <v>0</v>
      </c>
      <c r="L6" s="12"/>
      <c r="M6" s="29">
        <f t="shared" si="6"/>
        <v>0</v>
      </c>
      <c r="N6" s="12"/>
      <c r="O6" s="29">
        <f t="shared" si="3"/>
        <v>0</v>
      </c>
      <c r="P6" s="36"/>
      <c r="Q6" s="12">
        <f>54000*1.5</f>
        <v>81000</v>
      </c>
      <c r="R6" s="29">
        <f t="shared" si="4"/>
        <v>1.35</v>
      </c>
      <c r="S6" s="11">
        <v>60000</v>
      </c>
      <c r="T6" s="29">
        <f t="shared" si="7"/>
        <v>1</v>
      </c>
      <c r="V6" s="20">
        <f t="shared" ref="V6:V8" si="9">S6</f>
        <v>60000</v>
      </c>
      <c r="W6" s="20">
        <f t="shared" si="5"/>
        <v>30000</v>
      </c>
      <c r="X6" s="17">
        <f t="shared" si="8"/>
        <v>60000</v>
      </c>
    </row>
    <row r="7" spans="1:26" ht="25.5" x14ac:dyDescent="0.25">
      <c r="A7" s="40"/>
      <c r="B7" s="7">
        <v>6</v>
      </c>
      <c r="C7" s="18" t="s">
        <v>22</v>
      </c>
      <c r="D7" s="7" t="s">
        <v>13</v>
      </c>
      <c r="E7" s="19">
        <v>1</v>
      </c>
      <c r="F7" s="11">
        <f>(215*4000)*3</f>
        <v>2580000</v>
      </c>
      <c r="G7" s="29">
        <f t="shared" si="0"/>
        <v>1.7793103448275862</v>
      </c>
      <c r="H7" s="12">
        <f>((332666+75000)*4)*1.5</f>
        <v>2445996</v>
      </c>
      <c r="I7" s="29">
        <f t="shared" si="1"/>
        <v>1.6868937931034482</v>
      </c>
      <c r="J7" s="12">
        <v>2257033</v>
      </c>
      <c r="K7" s="29">
        <f t="shared" si="2"/>
        <v>1.5565744827586208</v>
      </c>
      <c r="L7" s="12"/>
      <c r="M7" s="29">
        <f t="shared" si="6"/>
        <v>0</v>
      </c>
      <c r="N7" s="12">
        <v>2257033</v>
      </c>
      <c r="O7" s="29">
        <f t="shared" si="3"/>
        <v>1.5565744827586208</v>
      </c>
      <c r="P7" s="36"/>
      <c r="Q7" s="12"/>
      <c r="R7" s="29">
        <f t="shared" si="4"/>
        <v>0</v>
      </c>
      <c r="S7" s="11">
        <v>1450000</v>
      </c>
      <c r="T7" s="29">
        <f t="shared" si="7"/>
        <v>1</v>
      </c>
      <c r="V7" s="20">
        <f t="shared" si="9"/>
        <v>1450000</v>
      </c>
      <c r="W7" s="20">
        <f t="shared" si="5"/>
        <v>1450000</v>
      </c>
      <c r="X7" s="17">
        <f t="shared" si="8"/>
        <v>1450000</v>
      </c>
    </row>
    <row r="8" spans="1:26" x14ac:dyDescent="0.25">
      <c r="A8" s="40"/>
      <c r="B8" s="7">
        <v>7</v>
      </c>
      <c r="C8" s="18" t="s">
        <v>15</v>
      </c>
      <c r="D8" s="7" t="s">
        <v>14</v>
      </c>
      <c r="E8" s="19">
        <v>1</v>
      </c>
      <c r="F8" s="11">
        <v>38540.26</v>
      </c>
      <c r="G8" s="29">
        <f t="shared" si="0"/>
        <v>1.5416104000000002</v>
      </c>
      <c r="H8" s="12"/>
      <c r="I8" s="29">
        <f t="shared" si="1"/>
        <v>0</v>
      </c>
      <c r="J8" s="12">
        <v>29000</v>
      </c>
      <c r="K8" s="29">
        <f t="shared" si="2"/>
        <v>1.1599999999999999</v>
      </c>
      <c r="L8" s="12"/>
      <c r="M8" s="29">
        <f t="shared" si="6"/>
        <v>0</v>
      </c>
      <c r="N8" s="12">
        <v>29000</v>
      </c>
      <c r="O8" s="29">
        <f t="shared" si="3"/>
        <v>1.1599999999999999</v>
      </c>
      <c r="P8" s="36"/>
      <c r="Q8" s="12"/>
      <c r="R8" s="29">
        <f t="shared" si="4"/>
        <v>0</v>
      </c>
      <c r="S8" s="11">
        <v>25000</v>
      </c>
      <c r="T8" s="29">
        <f t="shared" si="7"/>
        <v>1</v>
      </c>
      <c r="V8" s="20">
        <f t="shared" si="9"/>
        <v>25000</v>
      </c>
      <c r="W8" s="20">
        <f t="shared" si="5"/>
        <v>25000</v>
      </c>
      <c r="X8" s="17">
        <f t="shared" si="8"/>
        <v>25000</v>
      </c>
    </row>
    <row r="9" spans="1:26" x14ac:dyDescent="0.25">
      <c r="A9" s="40"/>
      <c r="B9" s="7">
        <v>8</v>
      </c>
      <c r="C9" s="32" t="s">
        <v>17</v>
      </c>
      <c r="D9" s="7" t="s">
        <v>16</v>
      </c>
      <c r="E9" s="19">
        <v>36</v>
      </c>
      <c r="F9" s="11"/>
      <c r="G9" s="29">
        <f t="shared" si="0"/>
        <v>0</v>
      </c>
      <c r="H9" s="12"/>
      <c r="I9" s="29">
        <f t="shared" si="1"/>
        <v>0</v>
      </c>
      <c r="J9" s="12"/>
      <c r="K9" s="29">
        <f t="shared" si="2"/>
        <v>0</v>
      </c>
      <c r="L9" s="12">
        <f>6000*36</f>
        <v>216000</v>
      </c>
      <c r="M9" s="29">
        <f t="shared" si="6"/>
        <v>0.92307692307692313</v>
      </c>
      <c r="N9" s="12"/>
      <c r="O9" s="29">
        <f t="shared" si="3"/>
        <v>0</v>
      </c>
      <c r="P9" s="36"/>
      <c r="Q9" s="12"/>
      <c r="R9" s="29">
        <f t="shared" si="4"/>
        <v>0</v>
      </c>
      <c r="S9" s="11">
        <v>252000</v>
      </c>
      <c r="T9" s="29">
        <f t="shared" si="7"/>
        <v>1.0769230769230769</v>
      </c>
      <c r="V9" s="20">
        <f>AVERAGE(L9,S9)</f>
        <v>234000</v>
      </c>
      <c r="W9" s="20">
        <f t="shared" si="5"/>
        <v>6500</v>
      </c>
      <c r="X9" s="17">
        <f t="shared" si="8"/>
        <v>234000</v>
      </c>
    </row>
    <row r="10" spans="1:26" ht="25.5" x14ac:dyDescent="0.25">
      <c r="A10" s="41"/>
      <c r="B10" s="7">
        <v>9</v>
      </c>
      <c r="C10" s="18" t="s">
        <v>19</v>
      </c>
      <c r="D10" s="7" t="s">
        <v>18</v>
      </c>
      <c r="E10" s="19">
        <v>1</v>
      </c>
      <c r="F10" s="11">
        <f>50000/30*5</f>
        <v>8333.3333333333339</v>
      </c>
      <c r="G10" s="29">
        <f t="shared" si="0"/>
        <v>0.5756523244169266</v>
      </c>
      <c r="H10" s="12">
        <v>17857.150000000001</v>
      </c>
      <c r="I10" s="29">
        <f t="shared" si="1"/>
        <v>1.2335411885954064</v>
      </c>
      <c r="J10" s="12">
        <v>15000</v>
      </c>
      <c r="K10" s="29">
        <f t="shared" si="2"/>
        <v>1.0361741839504677</v>
      </c>
      <c r="L10" s="12">
        <v>19000</v>
      </c>
      <c r="M10" s="29">
        <f t="shared" si="6"/>
        <v>1.3124872996705925</v>
      </c>
      <c r="N10" s="12">
        <v>15000</v>
      </c>
      <c r="O10" s="29">
        <f t="shared" si="3"/>
        <v>1.0361741839504677</v>
      </c>
      <c r="P10" s="36"/>
      <c r="Q10" s="12">
        <v>11667.5</v>
      </c>
      <c r="R10" s="29">
        <f t="shared" si="4"/>
        <v>0.8059708194161388</v>
      </c>
      <c r="S10" s="30">
        <v>25000</v>
      </c>
      <c r="T10" s="29">
        <f t="shared" si="7"/>
        <v>1.7269569732507797</v>
      </c>
      <c r="V10" s="20">
        <f>AVERAGE(F10,H10,J10,L10,N10,Q10)</f>
        <v>14476.330555555556</v>
      </c>
      <c r="W10" s="25">
        <f t="shared" si="5"/>
        <v>14476.330555555556</v>
      </c>
      <c r="X10" s="17">
        <f t="shared" si="8"/>
        <v>14476.330555555556</v>
      </c>
    </row>
    <row r="11" spans="1:26" x14ac:dyDescent="0.25">
      <c r="A11" s="8" t="s">
        <v>3</v>
      </c>
      <c r="B11" s="8"/>
      <c r="C11" s="8"/>
      <c r="D11" s="8"/>
      <c r="E11" s="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3"/>
      <c r="Q11" s="13"/>
      <c r="R11" s="13"/>
      <c r="S11" s="13"/>
      <c r="T11" s="13"/>
      <c r="V11" s="10">
        <f>SUM(V2:V10)</f>
        <v>3645894.6505555552</v>
      </c>
      <c r="W11" s="15"/>
      <c r="X11" s="15"/>
    </row>
    <row r="12" spans="1:26" x14ac:dyDescent="0.25">
      <c r="A12" s="38"/>
      <c r="B12" s="38"/>
      <c r="C12" s="38"/>
      <c r="D12" s="2"/>
      <c r="E12" s="2"/>
      <c r="F12" s="2"/>
      <c r="G12" s="2"/>
      <c r="H12" s="5"/>
      <c r="I12" s="5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6" ht="24.75" customHeight="1" x14ac:dyDescent="0.25">
      <c r="A13" s="37" t="s">
        <v>31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6" ht="37.5" customHeight="1" x14ac:dyDescent="0.25">
      <c r="A14" s="37" t="s">
        <v>39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6" ht="47.25" customHeight="1" x14ac:dyDescent="0.25">
      <c r="A15" s="37" t="s">
        <v>35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6" ht="50.1" customHeight="1" x14ac:dyDescent="0.25">
      <c r="A16" s="37" t="s">
        <v>29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60" customHeight="1" x14ac:dyDescent="0.25">
      <c r="A17" s="37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60" customHeight="1" x14ac:dyDescent="0.25">
      <c r="A18" s="37" t="s">
        <v>30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39.950000000000003" customHeight="1" x14ac:dyDescent="0.25">
      <c r="A19" s="37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x14ac:dyDescent="0.25">
      <c r="A20" s="37" t="s">
        <v>40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52.5" customHeight="1" x14ac:dyDescent="0.25">
      <c r="A21" s="37" t="s">
        <v>41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3" spans="1:23" x14ac:dyDescent="0.25">
      <c r="A23" s="14"/>
    </row>
  </sheetData>
  <mergeCells count="12">
    <mergeCell ref="A18:W18"/>
    <mergeCell ref="A19:W19"/>
    <mergeCell ref="A21:W21"/>
    <mergeCell ref="A12:C12"/>
    <mergeCell ref="A2:A10"/>
    <mergeCell ref="U2:U4"/>
    <mergeCell ref="A13:W13"/>
    <mergeCell ref="A14:W14"/>
    <mergeCell ref="A15:W15"/>
    <mergeCell ref="A16:W16"/>
    <mergeCell ref="A17:W17"/>
    <mergeCell ref="A20:W20"/>
  </mergeCells>
  <pageMargins left="0.25" right="0.25" top="0.75" bottom="0.75" header="0.3" footer="0.3"/>
  <pageSetup paperSize="9" scale="67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6196FB06B3D45A16595B9CA80BD4D" ma:contentTypeVersion="13" ma:contentTypeDescription="Crie um novo documento." ma:contentTypeScope="" ma:versionID="ad2b5610b7036faa76198ed597e8eec3">
  <xsd:schema xmlns:xsd="http://www.w3.org/2001/XMLSchema" xmlns:xs="http://www.w3.org/2001/XMLSchema" xmlns:p="http://schemas.microsoft.com/office/2006/metadata/properties" xmlns:ns2="f8a52ac8-3a59-43b6-b450-e7fb5d57783f" xmlns:ns3="3aaa97a3-23a3-4084-a5a5-3f85679f70c3" targetNamespace="http://schemas.microsoft.com/office/2006/metadata/properties" ma:root="true" ma:fieldsID="dec5a02f80ca8a449032e5bc4f5000bf" ns2:_="" ns3:_="">
    <xsd:import namespace="f8a52ac8-3a59-43b6-b450-e7fb5d57783f"/>
    <xsd:import namespace="3aaa97a3-23a3-4084-a5a5-3f85679f70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52ac8-3a59-43b6-b450-e7fb5d577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a97a3-23a3-4084-a5a5-3f85679f70c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1e48d1-924f-428d-bdcc-67e8628d3c06}" ma:internalName="TaxCatchAll" ma:showField="CatchAllData" ma:web="3aaa97a3-23a3-4084-a5a5-3f85679f70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a52ac8-3a59-43b6-b450-e7fb5d57783f">
      <Terms xmlns="http://schemas.microsoft.com/office/infopath/2007/PartnerControls"/>
    </lcf76f155ced4ddcb4097134ff3c332f>
    <TaxCatchAll xmlns="3aaa97a3-23a3-4084-a5a5-3f85679f70c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55685F-734C-4D6F-B90B-AAACAF22179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8a52ac8-3a59-43b6-b450-e7fb5d57783f"/>
    <ds:schemaRef ds:uri="3aaa97a3-23a3-4084-a5a5-3f85679f70c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EE0EEE-A0A1-4A0E-A480-8B51073118E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f8a52ac8-3a59-43b6-b450-e7fb5d57783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aaa97a3-23a3-4084-a5a5-3f85679f70c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733A046-86B6-472E-800F-D72D504F67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UNICO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Cosme Diego Da Silva Augusto</dc:creator>
  <cp:keywords/>
  <dc:description/>
  <cp:lastModifiedBy>Walter Rodrigues Ferreira</cp:lastModifiedBy>
  <cp:revision/>
  <cp:lastPrinted>2023-09-13T18:56:24Z</cp:lastPrinted>
  <dcterms:created xsi:type="dcterms:W3CDTF">2022-02-07T20:23:47Z</dcterms:created>
  <dcterms:modified xsi:type="dcterms:W3CDTF">2024-01-23T19:14:21Z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0x010100A4F6196FB06B3D45A16595B9CA80BD4D</vt:lpwstr>
  </property>
  <property fmtid="{D5CDD505-2E9C-101B-9397-08002B2CF9AE}" pid="3" name="MediaServiceImageTags">
    <vt:lpwstr/>
  </property>
</Properties>
</file>