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EstaPastaDeTrabalho"/>
  <mc:AlternateContent xmlns:mc="http://schemas.openxmlformats.org/markup-compatibility/2006">
    <mc:Choice Requires="x15">
      <x15ac:absPath xmlns:x15ac="http://schemas.microsoft.com/office/spreadsheetml/2010/11/ac" url="W:\SUCOP\SELITA\CPL 2024\03. Licitações\PE 00.2024 - Serviço de manutenção predial - TERCEIRIZAÇÃO - 0001076-77.2022.4.90.8000\2 - Edital\"/>
    </mc:Choice>
  </mc:AlternateContent>
  <xr:revisionPtr revIDLastSave="0" documentId="13_ncr:1_{076583B4-837C-4E4C-AF52-3187149B767A}" xr6:coauthVersionLast="47" xr6:coauthVersionMax="47" xr10:uidLastSave="{00000000-0000-0000-0000-000000000000}"/>
  <bookViews>
    <workbookView xWindow="28680" yWindow="-120" windowWidth="29040" windowHeight="15840" tabRatio="909" xr2:uid="{00000000-000D-0000-FFFF-FFFF00000000}"/>
  </bookViews>
  <sheets>
    <sheet name="1 Formação de Preço " sheetId="46" r:id="rId1"/>
    <sheet name="2 Resumo Post de Trab" sheetId="2" r:id="rId2"/>
    <sheet name="3.1 Bomb Hidra 5X2hs" sheetId="33" r:id="rId3"/>
    <sheet name="Bomb hidr diurno 12-36" sheetId="51" r:id="rId4"/>
    <sheet name="3.2 Eletricista" sheetId="12" r:id="rId5"/>
    <sheet name="Eletricista plantonista diurno" sheetId="52" r:id="rId6"/>
    <sheet name="Eletricista plantonista noturno" sheetId="50" r:id="rId7"/>
    <sheet name="3.3 Encarregado de Man" sheetId="19" r:id="rId8"/>
    <sheet name="3.4 Estoquista Ferram" sheetId="20" r:id="rId9"/>
    <sheet name="3.5 Jardineiro" sheetId="21" r:id="rId10"/>
    <sheet name="3.6  Lavador" sheetId="22" r:id="rId11"/>
    <sheet name="3.7 Marceneiro" sheetId="23" r:id="rId12"/>
    <sheet name="3.8 Pedreiro" sheetId="25" r:id="rId13"/>
    <sheet name="3.9 Pintor-Gesseiro" sheetId="26" r:id="rId14"/>
    <sheet name="3.10 Serralheiro" sheetId="39" r:id="rId15"/>
    <sheet name="3.11 Engenheiro" sheetId="6" r:id="rId16"/>
    <sheet name="3.12 Técnico telefonia" sheetId="38" r:id="rId17"/>
    <sheet name="3.13 Ofi Mec Refrig" sheetId="24" r:id="rId18"/>
    <sheet name="3.14 Ajud de Man e Rep" sheetId="10" r:id="rId19"/>
    <sheet name="3.15 Téc Edificações" sheetId="49" r:id="rId20"/>
    <sheet name="TABELA 4 Uniformes e EPIS" sheetId="34" r:id="rId21"/>
    <sheet name="TABELA 5 - Ferramentas" sheetId="35" r:id="rId22"/>
    <sheet name="TABELA 6 Serv Especializados" sheetId="43" r:id="rId23"/>
    <sheet name="TABELA 7 - Mat. e Peças" sheetId="36" r:id="rId24"/>
    <sheet name="TABELA 8 - Serviços Eventuais" sheetId="47" r:id="rId25"/>
    <sheet name="TABELA 9 - Planilha BDI" sheetId="44" r:id="rId26"/>
  </sheets>
  <definedNames>
    <definedName name="_Hlk74142935" localSheetId="0">'1 Formação de Preço '!$A$2</definedName>
    <definedName name="_Hlk74148335" localSheetId="0">'1 Formação de Preço '!$B$7</definedName>
    <definedName name="_Hlk74164378" localSheetId="0">'1 Formação de Preço '!$A$1</definedName>
    <definedName name="_Hlk74222037" localSheetId="0">'1 Formação de Preço '!$A$10</definedName>
    <definedName name="ADM">'1 Formação de Preço '!$E$3</definedName>
    <definedName name="_xlnm.Print_Area" localSheetId="0">'1 Formação de Preço '!$A$1:$L$11</definedName>
    <definedName name="_xlnm.Print_Area" localSheetId="1">'2 Resumo Post de Trab'!$A$1:$E$28</definedName>
    <definedName name="_xlnm.Print_Area" localSheetId="2">'3.1 Bomb Hidra 5X2hs'!$A$1:$D$143</definedName>
    <definedName name="_xlnm.Print_Area" localSheetId="4">'3.2 Eletricista'!$A$1:$D$142</definedName>
    <definedName name="_xlnm.Print_Area" localSheetId="20">'TABELA 4 Uniformes e EPIS'!$A$1:$K$137</definedName>
    <definedName name="_xlnm.Print_Area" localSheetId="21">'TABELA 5 - Ferramentas'!$A$1:$I$147</definedName>
    <definedName name="_xlnm.Print_Area" localSheetId="22">'TABELA 6 Serv Especializados'!$A$1:$G$31</definedName>
    <definedName name="LUCROS">'1 Formação de Preço '!$E$4</definedName>
    <definedName name="Print_Area" localSheetId="20">'TABELA 4 Uniformes e EPIS'!$A$1:$E$44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5" i="51" l="1"/>
  <c r="D15" i="33"/>
  <c r="C6" i="46"/>
  <c r="D6" i="46"/>
  <c r="N7" i="50"/>
  <c r="D16" i="50"/>
  <c r="K11" i="50"/>
  <c r="K7" i="50"/>
  <c r="J10" i="50"/>
  <c r="L7" i="50"/>
  <c r="N8" i="50"/>
  <c r="L12" i="50"/>
  <c r="J16" i="50"/>
  <c r="K16" i="50" s="1"/>
  <c r="D14" i="50" l="1"/>
  <c r="L6" i="46" l="1"/>
  <c r="D53" i="49"/>
  <c r="D86" i="10"/>
  <c r="D92" i="10"/>
  <c r="D57" i="10"/>
  <c r="D54" i="10"/>
  <c r="D53" i="10"/>
  <c r="D54" i="24"/>
  <c r="D53" i="24"/>
  <c r="D54" i="39"/>
  <c r="D53" i="39"/>
  <c r="D54" i="26"/>
  <c r="D53" i="26"/>
  <c r="D54" i="25"/>
  <c r="D53" i="25"/>
  <c r="D54" i="23"/>
  <c r="D53" i="23"/>
  <c r="D54" i="19"/>
  <c r="D53" i="19"/>
  <c r="D53" i="50"/>
  <c r="D54" i="50"/>
  <c r="D57" i="50"/>
  <c r="D34" i="52"/>
  <c r="D86" i="52"/>
  <c r="D43" i="52"/>
  <c r="D52" i="52"/>
  <c r="D53" i="52"/>
  <c r="D54" i="52"/>
  <c r="D54" i="12"/>
  <c r="D53" i="12"/>
  <c r="D14" i="12"/>
  <c r="D108" i="51"/>
  <c r="D53" i="51"/>
  <c r="D54" i="51"/>
  <c r="D54" i="33"/>
  <c r="D53" i="33"/>
  <c r="F55" i="33"/>
  <c r="F54" i="33"/>
  <c r="F53" i="33"/>
  <c r="D53" i="38"/>
  <c r="E131" i="34" l="1"/>
  <c r="E132" i="34"/>
  <c r="E133" i="34"/>
  <c r="E134" i="34"/>
  <c r="E135" i="34"/>
  <c r="E130" i="34"/>
  <c r="E124" i="34"/>
  <c r="E123" i="34"/>
  <c r="E114" i="34"/>
  <c r="E115" i="34"/>
  <c r="E116" i="34"/>
  <c r="E117" i="34"/>
  <c r="E113" i="34"/>
  <c r="E107" i="34"/>
  <c r="E106" i="34"/>
  <c r="E100" i="34"/>
  <c r="E88" i="34"/>
  <c r="E89" i="34"/>
  <c r="E90" i="34"/>
  <c r="E91" i="34"/>
  <c r="E92" i="34"/>
  <c r="E93" i="34"/>
  <c r="E94" i="34"/>
  <c r="E87" i="34"/>
  <c r="E75" i="34"/>
  <c r="E76" i="34"/>
  <c r="E77" i="34"/>
  <c r="E78" i="34"/>
  <c r="E79" i="34"/>
  <c r="E80" i="34"/>
  <c r="E81" i="34"/>
  <c r="E74" i="34"/>
  <c r="E62" i="34"/>
  <c r="E63" i="34"/>
  <c r="E64" i="34"/>
  <c r="E65" i="34"/>
  <c r="E66" i="34"/>
  <c r="E67" i="34"/>
  <c r="E68" i="34"/>
  <c r="E61" i="34"/>
  <c r="E46" i="34"/>
  <c r="E45" i="34"/>
  <c r="E53" i="34"/>
  <c r="E54" i="34"/>
  <c r="E55" i="34"/>
  <c r="E52" i="34"/>
  <c r="E34" i="34"/>
  <c r="E35" i="34"/>
  <c r="E36" i="34"/>
  <c r="E37" i="34"/>
  <c r="E38" i="34"/>
  <c r="E33" i="34"/>
  <c r="E23" i="34"/>
  <c r="E24" i="34"/>
  <c r="E25" i="34"/>
  <c r="E26" i="34"/>
  <c r="E27" i="34"/>
  <c r="E21" i="34"/>
  <c r="E5" i="34"/>
  <c r="E6" i="34"/>
  <c r="E7" i="34"/>
  <c r="E8" i="34"/>
  <c r="E9" i="34"/>
  <c r="E10" i="34"/>
  <c r="E12" i="34"/>
  <c r="E13" i="34"/>
  <c r="E14" i="34"/>
  <c r="D4" i="34"/>
  <c r="E4" i="34" s="1"/>
  <c r="D8" i="46"/>
  <c r="L8" i="46" s="1"/>
  <c r="G3" i="36"/>
  <c r="F20" i="43"/>
  <c r="G20" i="43" s="1"/>
  <c r="F19" i="43"/>
  <c r="G19" i="43" s="1"/>
  <c r="G9" i="43"/>
  <c r="F9" i="43"/>
  <c r="F10" i="43"/>
  <c r="G10" i="43" s="1"/>
  <c r="F11" i="43"/>
  <c r="G11" i="43" s="1"/>
  <c r="F12" i="43"/>
  <c r="G12" i="43" s="1"/>
  <c r="F13" i="43"/>
  <c r="G13" i="43" s="1"/>
  <c r="F14" i="43"/>
  <c r="G14" i="43" s="1"/>
  <c r="F15" i="43"/>
  <c r="G15" i="43" s="1"/>
  <c r="F16" i="43"/>
  <c r="G16" i="43" s="1"/>
  <c r="F17" i="43"/>
  <c r="G17" i="43" s="1"/>
  <c r="F8" i="43"/>
  <c r="F5" i="43"/>
  <c r="G5" i="43" s="1"/>
  <c r="F6" i="43"/>
  <c r="G6" i="43" s="1"/>
  <c r="F4" i="43"/>
  <c r="G4" i="43" s="1"/>
  <c r="C125" i="33"/>
  <c r="F18" i="43" l="1"/>
  <c r="F21" i="43" s="1"/>
  <c r="E21" i="43" s="1"/>
  <c r="G8" i="43"/>
  <c r="G18" i="43" s="1"/>
  <c r="G21" i="43" s="1"/>
  <c r="D52" i="10" l="1"/>
  <c r="D52" i="24"/>
  <c r="D52" i="49"/>
  <c r="I53" i="49"/>
  <c r="Q13" i="24" l="1"/>
  <c r="Q15" i="24" s="1"/>
  <c r="F52" i="6"/>
  <c r="D53" i="6" l="1"/>
  <c r="D52" i="26"/>
  <c r="D52" i="25"/>
  <c r="D52" i="23"/>
  <c r="D15" i="23"/>
  <c r="D52" i="39"/>
  <c r="D57" i="39" s="1"/>
  <c r="D15" i="39"/>
  <c r="D53" i="22"/>
  <c r="D52" i="22"/>
  <c r="D15" i="22"/>
  <c r="D52" i="21"/>
  <c r="D53" i="21"/>
  <c r="D52" i="20"/>
  <c r="D53" i="20"/>
  <c r="D57" i="52"/>
  <c r="D52" i="50"/>
  <c r="AC32" i="51"/>
  <c r="AB24" i="51"/>
  <c r="AB25" i="51" s="1"/>
  <c r="D52" i="12"/>
  <c r="D52" i="51"/>
  <c r="D57" i="51" s="1"/>
  <c r="D52" i="33"/>
  <c r="D57" i="33" s="1"/>
  <c r="D14" i="52" l="1"/>
  <c r="I145" i="35" l="1"/>
  <c r="I4" i="35"/>
  <c r="I3" i="35"/>
  <c r="O24" i="51" l="1"/>
  <c r="R83" i="51" l="1"/>
  <c r="G3" i="47" l="1"/>
  <c r="C122" i="52"/>
  <c r="C121" i="52"/>
  <c r="C120" i="52" s="1"/>
  <c r="C125" i="52" s="1"/>
  <c r="D103" i="52"/>
  <c r="C98" i="52"/>
  <c r="C92" i="52"/>
  <c r="C77" i="52"/>
  <c r="C43" i="52"/>
  <c r="C27" i="52"/>
  <c r="D19" i="52"/>
  <c r="C33" i="34"/>
  <c r="C27" i="34"/>
  <c r="C38" i="34" s="1"/>
  <c r="C26" i="34"/>
  <c r="C37" i="34" s="1"/>
  <c r="C25" i="34"/>
  <c r="C24" i="34"/>
  <c r="C35" i="34" s="1"/>
  <c r="C23" i="34"/>
  <c r="C34" i="34" s="1"/>
  <c r="C22" i="34"/>
  <c r="C122" i="51"/>
  <c r="C121" i="51"/>
  <c r="C98" i="51"/>
  <c r="D103" i="51" s="1"/>
  <c r="C92" i="51"/>
  <c r="C77" i="51"/>
  <c r="D65" i="51"/>
  <c r="C43" i="51"/>
  <c r="C27" i="51"/>
  <c r="D19" i="51"/>
  <c r="D19" i="50"/>
  <c r="C122" i="50"/>
  <c r="C121" i="50"/>
  <c r="C98" i="50"/>
  <c r="D103" i="50" s="1"/>
  <c r="C92" i="50"/>
  <c r="C77" i="50"/>
  <c r="C43" i="50"/>
  <c r="C27" i="50"/>
  <c r="C122" i="33"/>
  <c r="C121" i="33"/>
  <c r="C120" i="33" s="1"/>
  <c r="C122" i="12"/>
  <c r="C121" i="12"/>
  <c r="C122" i="19"/>
  <c r="C121" i="19"/>
  <c r="C120" i="19" s="1"/>
  <c r="C122" i="20"/>
  <c r="C121" i="20"/>
  <c r="C120" i="20" s="1"/>
  <c r="C122" i="21"/>
  <c r="C121" i="21"/>
  <c r="C122" i="22"/>
  <c r="C121" i="22"/>
  <c r="C120" i="22" s="1"/>
  <c r="C122" i="23"/>
  <c r="C121" i="23"/>
  <c r="C120" i="23" s="1"/>
  <c r="C122" i="25"/>
  <c r="C121" i="25"/>
  <c r="C120" i="25" s="1"/>
  <c r="C122" i="26"/>
  <c r="C121" i="26"/>
  <c r="C120" i="26" s="1"/>
  <c r="C122" i="39"/>
  <c r="C121" i="39"/>
  <c r="C120" i="39" s="1"/>
  <c r="C122" i="6"/>
  <c r="C121" i="6"/>
  <c r="C122" i="38"/>
  <c r="C121" i="38"/>
  <c r="C120" i="38" s="1"/>
  <c r="C122" i="24"/>
  <c r="C121" i="24"/>
  <c r="C120" i="24" s="1"/>
  <c r="C122" i="10"/>
  <c r="C121" i="10"/>
  <c r="C120" i="10" s="1"/>
  <c r="C120" i="6" l="1"/>
  <c r="C120" i="50"/>
  <c r="C125" i="50" s="1"/>
  <c r="C120" i="12"/>
  <c r="D25" i="51"/>
  <c r="C120" i="21"/>
  <c r="D65" i="50"/>
  <c r="D65" i="52"/>
  <c r="C120" i="51"/>
  <c r="C125" i="51" s="1"/>
  <c r="D133" i="52"/>
  <c r="D26" i="52"/>
  <c r="D25" i="52"/>
  <c r="D27" i="52" s="1"/>
  <c r="D63" i="52" s="1"/>
  <c r="D26" i="51"/>
  <c r="D133" i="51"/>
  <c r="D133" i="50"/>
  <c r="D26" i="50"/>
  <c r="D25" i="50"/>
  <c r="D27" i="51" l="1"/>
  <c r="D63" i="51" s="1"/>
  <c r="D27" i="50"/>
  <c r="D63" i="50" s="1"/>
  <c r="D40" i="52"/>
  <c r="D89" i="52"/>
  <c r="D41" i="52"/>
  <c r="D71" i="52"/>
  <c r="D35" i="52"/>
  <c r="D73" i="52"/>
  <c r="D74" i="52"/>
  <c r="D88" i="52"/>
  <c r="D70" i="52"/>
  <c r="D36" i="52"/>
  <c r="D39" i="52"/>
  <c r="D75" i="52"/>
  <c r="D37" i="52"/>
  <c r="D38" i="52"/>
  <c r="D90" i="52"/>
  <c r="D87" i="52"/>
  <c r="D91" i="52"/>
  <c r="D42" i="52"/>
  <c r="D76" i="52"/>
  <c r="D72" i="52"/>
  <c r="D34" i="50"/>
  <c r="D87" i="50"/>
  <c r="D41" i="50"/>
  <c r="D88" i="50"/>
  <c r="D37" i="50"/>
  <c r="D75" i="50"/>
  <c r="D38" i="50"/>
  <c r="D71" i="50"/>
  <c r="D36" i="50"/>
  <c r="D39" i="50"/>
  <c r="D72" i="50"/>
  <c r="D73" i="50"/>
  <c r="D89" i="50"/>
  <c r="D35" i="50"/>
  <c r="D74" i="50"/>
  <c r="D76" i="50"/>
  <c r="D73" i="51" l="1"/>
  <c r="D41" i="51"/>
  <c r="D37" i="51"/>
  <c r="D89" i="51"/>
  <c r="D74" i="51"/>
  <c r="D36" i="51"/>
  <c r="D40" i="51"/>
  <c r="D71" i="51"/>
  <c r="D70" i="51"/>
  <c r="D72" i="51"/>
  <c r="D34" i="51"/>
  <c r="D75" i="51"/>
  <c r="D76" i="51"/>
  <c r="D88" i="51"/>
  <c r="D39" i="51"/>
  <c r="D90" i="51"/>
  <c r="D87" i="51"/>
  <c r="D42" i="51"/>
  <c r="D38" i="51"/>
  <c r="D40" i="50"/>
  <c r="D86" i="50"/>
  <c r="D91" i="50"/>
  <c r="D90" i="50"/>
  <c r="D42" i="50"/>
  <c r="D43" i="50" s="1"/>
  <c r="D64" i="50" s="1"/>
  <c r="D66" i="50" s="1"/>
  <c r="D134" i="50" s="1"/>
  <c r="D70" i="50"/>
  <c r="D91" i="51"/>
  <c r="D35" i="51"/>
  <c r="D86" i="51"/>
  <c r="D77" i="52"/>
  <c r="D135" i="52" s="1"/>
  <c r="D92" i="52"/>
  <c r="D102" i="52" s="1"/>
  <c r="D104" i="52" s="1"/>
  <c r="D136" i="52" s="1"/>
  <c r="D64" i="52"/>
  <c r="D66" i="52" s="1"/>
  <c r="D134" i="52" s="1"/>
  <c r="D77" i="50"/>
  <c r="D135" i="50" s="1"/>
  <c r="D92" i="50"/>
  <c r="D102" i="50" s="1"/>
  <c r="D104" i="50" s="1"/>
  <c r="D136" i="50" s="1"/>
  <c r="D43" i="51" l="1"/>
  <c r="D64" i="51" s="1"/>
  <c r="D66" i="51" s="1"/>
  <c r="D134" i="51" s="1"/>
  <c r="D77" i="51"/>
  <c r="D135" i="51" s="1"/>
  <c r="D92" i="51"/>
  <c r="D102" i="51" s="1"/>
  <c r="D104" i="51" s="1"/>
  <c r="D136" i="51" s="1"/>
  <c r="C122" i="49"/>
  <c r="C121" i="49"/>
  <c r="C120" i="49" s="1"/>
  <c r="C98" i="49"/>
  <c r="D103" i="49" s="1"/>
  <c r="C92" i="49"/>
  <c r="C77" i="49"/>
  <c r="C43" i="49"/>
  <c r="C27" i="49"/>
  <c r="D19" i="49"/>
  <c r="C132" i="34"/>
  <c r="C131" i="34"/>
  <c r="C117" i="34"/>
  <c r="C124" i="34" s="1"/>
  <c r="C134" i="34" s="1"/>
  <c r="C106" i="34"/>
  <c r="D65" i="49" l="1"/>
  <c r="D25" i="49"/>
  <c r="D133" i="49"/>
  <c r="D26" i="49"/>
  <c r="C125" i="49"/>
  <c r="C78" i="34"/>
  <c r="C88" i="34" s="1"/>
  <c r="C100" i="34" s="1"/>
  <c r="C123" i="34" s="1"/>
  <c r="C130" i="34" s="1"/>
  <c r="C77" i="34"/>
  <c r="C74" i="34"/>
  <c r="E9" i="46"/>
  <c r="D27" i="49" l="1"/>
  <c r="D63" i="49" s="1"/>
  <c r="D38" i="49"/>
  <c r="D88" i="49"/>
  <c r="D89" i="49"/>
  <c r="D87" i="49"/>
  <c r="D39" i="49"/>
  <c r="D42" i="49"/>
  <c r="D40" i="49"/>
  <c r="D36" i="49"/>
  <c r="D86" i="49" l="1"/>
  <c r="D74" i="49"/>
  <c r="D90" i="49"/>
  <c r="D35" i="49"/>
  <c r="D91" i="49"/>
  <c r="D76" i="49"/>
  <c r="D41" i="49"/>
  <c r="D72" i="49"/>
  <c r="D71" i="49"/>
  <c r="D73" i="49"/>
  <c r="D34" i="49"/>
  <c r="D43" i="49" s="1"/>
  <c r="D64" i="49" s="1"/>
  <c r="D66" i="49" s="1"/>
  <c r="D134" i="49" s="1"/>
  <c r="D70" i="49"/>
  <c r="D75" i="49"/>
  <c r="D37" i="49"/>
  <c r="D92" i="49"/>
  <c r="D102" i="49" s="1"/>
  <c r="D104" i="49" s="1"/>
  <c r="D136" i="49" s="1"/>
  <c r="C125" i="38"/>
  <c r="C125" i="20"/>
  <c r="C125" i="23"/>
  <c r="C125" i="6"/>
  <c r="C125" i="24"/>
  <c r="C125" i="19"/>
  <c r="C125" i="22"/>
  <c r="C125" i="25"/>
  <c r="C125" i="26"/>
  <c r="C125" i="10"/>
  <c r="C125" i="12"/>
  <c r="C125" i="21"/>
  <c r="C125" i="39"/>
  <c r="D77" i="49" l="1"/>
  <c r="D135" i="49" s="1"/>
  <c r="E148" i="35" l="1"/>
  <c r="D52" i="38" l="1"/>
  <c r="C43" i="12"/>
  <c r="C43" i="19"/>
  <c r="C43" i="20"/>
  <c r="C43" i="21"/>
  <c r="C43" i="22"/>
  <c r="C43" i="23"/>
  <c r="C43" i="25"/>
  <c r="C43" i="26"/>
  <c r="C43" i="39"/>
  <c r="C43" i="6"/>
  <c r="C43" i="38"/>
  <c r="C43" i="24"/>
  <c r="C43" i="10"/>
  <c r="C43" i="33"/>
  <c r="D13" i="19"/>
  <c r="D52" i="19" s="1"/>
  <c r="D13" i="6"/>
  <c r="F3" i="35"/>
  <c r="C98" i="10" l="1"/>
  <c r="D103" i="10" s="1"/>
  <c r="C92" i="10"/>
  <c r="C77" i="10"/>
  <c r="D65" i="10"/>
  <c r="C27" i="10"/>
  <c r="C27" i="24"/>
  <c r="D57" i="24"/>
  <c r="D65" i="24" s="1"/>
  <c r="C77" i="24"/>
  <c r="C92" i="24"/>
  <c r="C98" i="24"/>
  <c r="D103" i="24" s="1"/>
  <c r="C98" i="38"/>
  <c r="D103" i="38" s="1"/>
  <c r="C92" i="38"/>
  <c r="C77" i="38"/>
  <c r="D57" i="38"/>
  <c r="D65" i="38" s="1"/>
  <c r="C27" i="38"/>
  <c r="C98" i="6"/>
  <c r="D103" i="6" s="1"/>
  <c r="C92" i="6"/>
  <c r="C77" i="6"/>
  <c r="D57" i="6"/>
  <c r="D65" i="6" s="1"/>
  <c r="C27" i="6"/>
  <c r="C98" i="39"/>
  <c r="D103" i="39" s="1"/>
  <c r="C92" i="39"/>
  <c r="C77" i="39"/>
  <c r="D65" i="39"/>
  <c r="C27" i="39"/>
  <c r="C98" i="26"/>
  <c r="D103" i="26" s="1"/>
  <c r="C92" i="26"/>
  <c r="C77" i="26"/>
  <c r="D57" i="26"/>
  <c r="D65" i="26" s="1"/>
  <c r="C27" i="26"/>
  <c r="C98" i="25"/>
  <c r="D103" i="25" s="1"/>
  <c r="C92" i="25"/>
  <c r="C77" i="25"/>
  <c r="D57" i="25"/>
  <c r="D65" i="25" s="1"/>
  <c r="C27" i="25"/>
  <c r="C98" i="23"/>
  <c r="D103" i="23" s="1"/>
  <c r="C92" i="23"/>
  <c r="C77" i="23"/>
  <c r="D57" i="23"/>
  <c r="D65" i="23" s="1"/>
  <c r="C27" i="23"/>
  <c r="C98" i="22"/>
  <c r="D103" i="22" s="1"/>
  <c r="C92" i="22"/>
  <c r="C77" i="22"/>
  <c r="D57" i="22"/>
  <c r="D65" i="22" s="1"/>
  <c r="C27" i="22"/>
  <c r="C98" i="21"/>
  <c r="D103" i="21" s="1"/>
  <c r="C92" i="21"/>
  <c r="C77" i="21"/>
  <c r="D57" i="21"/>
  <c r="D65" i="21" s="1"/>
  <c r="C27" i="21"/>
  <c r="C98" i="20"/>
  <c r="D103" i="20" s="1"/>
  <c r="C92" i="20"/>
  <c r="C77" i="20"/>
  <c r="D57" i="20"/>
  <c r="D65" i="20" s="1"/>
  <c r="C27" i="20"/>
  <c r="C98" i="19"/>
  <c r="D103" i="19" s="1"/>
  <c r="C92" i="19"/>
  <c r="C77" i="19"/>
  <c r="D57" i="19"/>
  <c r="D65" i="19" s="1"/>
  <c r="C27" i="19"/>
  <c r="C12" i="44" l="1"/>
  <c r="G11" i="44"/>
  <c r="C9" i="44"/>
  <c r="G8" i="44"/>
  <c r="K6" i="44"/>
  <c r="K10" i="44" s="1"/>
  <c r="G15" i="44" l="1"/>
  <c r="C17" i="44"/>
  <c r="G4" i="47" s="1"/>
  <c r="F12" i="47" s="1"/>
  <c r="E12" i="47" s="1"/>
  <c r="G4" i="36"/>
  <c r="D7" i="46" s="1"/>
  <c r="L7" i="46" s="1"/>
  <c r="F11" i="36" l="1"/>
  <c r="J7" i="46"/>
  <c r="J8" i="46"/>
  <c r="F13" i="47"/>
  <c r="D19" i="24"/>
  <c r="D19" i="6"/>
  <c r="C8" i="46" l="1"/>
  <c r="C7" i="46"/>
  <c r="F12" i="36"/>
  <c r="E11" i="36"/>
  <c r="D26" i="24"/>
  <c r="D133" i="24"/>
  <c r="D25" i="24"/>
  <c r="D133" i="6"/>
  <c r="D25" i="6"/>
  <c r="D26" i="6"/>
  <c r="D19" i="38"/>
  <c r="D19" i="23"/>
  <c r="D19" i="39"/>
  <c r="D19" i="26"/>
  <c r="D19" i="25"/>
  <c r="D19" i="21"/>
  <c r="D19" i="20"/>
  <c r="D19" i="19"/>
  <c r="D19" i="12"/>
  <c r="D27" i="24" l="1"/>
  <c r="D63" i="24" s="1"/>
  <c r="D38" i="24"/>
  <c r="D36" i="24"/>
  <c r="D76" i="24"/>
  <c r="D34" i="24"/>
  <c r="D40" i="24"/>
  <c r="D72" i="24"/>
  <c r="D90" i="24"/>
  <c r="D37" i="24"/>
  <c r="D74" i="24"/>
  <c r="D75" i="24"/>
  <c r="D39" i="24"/>
  <c r="D73" i="24"/>
  <c r="D86" i="24"/>
  <c r="D71" i="24"/>
  <c r="D91" i="24"/>
  <c r="D87" i="24"/>
  <c r="D70" i="24"/>
  <c r="D41" i="24"/>
  <c r="D88" i="24"/>
  <c r="D89" i="24"/>
  <c r="D133" i="38"/>
  <c r="D26" i="38"/>
  <c r="D25" i="38"/>
  <c r="D27" i="6"/>
  <c r="D133" i="39"/>
  <c r="D25" i="39"/>
  <c r="D26" i="39"/>
  <c r="D133" i="26"/>
  <c r="D26" i="26"/>
  <c r="D25" i="26"/>
  <c r="D133" i="25"/>
  <c r="D26" i="25"/>
  <c r="D25" i="25"/>
  <c r="D25" i="23"/>
  <c r="D26" i="23"/>
  <c r="D133" i="23"/>
  <c r="D25" i="21"/>
  <c r="D26" i="21"/>
  <c r="D133" i="21"/>
  <c r="D133" i="20"/>
  <c r="D26" i="20"/>
  <c r="D25" i="20"/>
  <c r="D26" i="19"/>
  <c r="D25" i="19"/>
  <c r="D133" i="19"/>
  <c r="D57" i="12"/>
  <c r="D26" i="12"/>
  <c r="D25" i="12"/>
  <c r="D19" i="22"/>
  <c r="D27" i="23" l="1"/>
  <c r="D63" i="23" s="1"/>
  <c r="D27" i="19"/>
  <c r="D63" i="19" s="1"/>
  <c r="D35" i="24"/>
  <c r="D42" i="24"/>
  <c r="D27" i="26"/>
  <c r="D76" i="26" s="1"/>
  <c r="D34" i="6"/>
  <c r="D35" i="6"/>
  <c r="D42" i="6"/>
  <c r="D42" i="23"/>
  <c r="D35" i="23"/>
  <c r="D27" i="38"/>
  <c r="D74" i="26"/>
  <c r="D41" i="23"/>
  <c r="D73" i="23"/>
  <c r="D37" i="23"/>
  <c r="D40" i="23"/>
  <c r="D74" i="23"/>
  <c r="D91" i="23"/>
  <c r="D87" i="23"/>
  <c r="D88" i="23"/>
  <c r="D90" i="23"/>
  <c r="D75" i="23"/>
  <c r="D76" i="23"/>
  <c r="D34" i="23"/>
  <c r="D41" i="19"/>
  <c r="D89" i="19"/>
  <c r="D76" i="19"/>
  <c r="D75" i="19"/>
  <c r="D91" i="19"/>
  <c r="D34" i="19"/>
  <c r="D87" i="19"/>
  <c r="D70" i="19"/>
  <c r="D88" i="19"/>
  <c r="D36" i="19"/>
  <c r="D73" i="19"/>
  <c r="D71" i="19"/>
  <c r="D39" i="19"/>
  <c r="D37" i="19"/>
  <c r="D40" i="19"/>
  <c r="D92" i="24"/>
  <c r="D102" i="24" s="1"/>
  <c r="D104" i="24" s="1"/>
  <c r="D136" i="24" s="1"/>
  <c r="D77" i="24"/>
  <c r="D135" i="24" s="1"/>
  <c r="D63" i="6"/>
  <c r="D41" i="6"/>
  <c r="D40" i="6"/>
  <c r="D36" i="6"/>
  <c r="D89" i="6"/>
  <c r="D90" i="6"/>
  <c r="D73" i="6"/>
  <c r="D86" i="6"/>
  <c r="D37" i="6"/>
  <c r="D75" i="6"/>
  <c r="D70" i="6"/>
  <c r="D71" i="6"/>
  <c r="D39" i="6"/>
  <c r="D74" i="6"/>
  <c r="D88" i="6"/>
  <c r="D87" i="6"/>
  <c r="D72" i="6"/>
  <c r="D38" i="6"/>
  <c r="D76" i="6"/>
  <c r="D91" i="6"/>
  <c r="D27" i="39"/>
  <c r="D27" i="25"/>
  <c r="D70" i="23"/>
  <c r="D89" i="23"/>
  <c r="D38" i="23"/>
  <c r="D36" i="23"/>
  <c r="D39" i="23"/>
  <c r="D71" i="23"/>
  <c r="D72" i="23"/>
  <c r="D86" i="23"/>
  <c r="D133" i="22"/>
  <c r="D25" i="22"/>
  <c r="D26" i="22"/>
  <c r="D27" i="21"/>
  <c r="D38" i="21" s="1"/>
  <c r="D27" i="20"/>
  <c r="D38" i="19"/>
  <c r="D27" i="12"/>
  <c r="D86" i="12" s="1"/>
  <c r="D88" i="26" l="1"/>
  <c r="D40" i="26"/>
  <c r="D71" i="26"/>
  <c r="D34" i="26"/>
  <c r="D86" i="19"/>
  <c r="D74" i="19"/>
  <c r="D90" i="19"/>
  <c r="D35" i="19"/>
  <c r="D42" i="19"/>
  <c r="D72" i="19"/>
  <c r="D77" i="19" s="1"/>
  <c r="D135" i="19" s="1"/>
  <c r="D75" i="26"/>
  <c r="D41" i="26"/>
  <c r="D72" i="26"/>
  <c r="D73" i="26"/>
  <c r="D90" i="26"/>
  <c r="D43" i="24"/>
  <c r="D64" i="24" s="1"/>
  <c r="D66" i="24" s="1"/>
  <c r="D134" i="24" s="1"/>
  <c r="D36" i="26"/>
  <c r="D37" i="26"/>
  <c r="D43" i="6"/>
  <c r="D64" i="6" s="1"/>
  <c r="D66" i="6" s="1"/>
  <c r="D134" i="6" s="1"/>
  <c r="D43" i="19"/>
  <c r="D64" i="19" s="1"/>
  <c r="D66" i="19" s="1"/>
  <c r="D134" i="19" s="1"/>
  <c r="D42" i="26"/>
  <c r="D38" i="26"/>
  <c r="D70" i="26"/>
  <c r="D89" i="26"/>
  <c r="D91" i="26"/>
  <c r="D39" i="26"/>
  <c r="D87" i="26"/>
  <c r="D86" i="26"/>
  <c r="D63" i="26"/>
  <c r="D35" i="26"/>
  <c r="D43" i="23"/>
  <c r="D64" i="23" s="1"/>
  <c r="D66" i="23" s="1"/>
  <c r="D134" i="23" s="1"/>
  <c r="D76" i="21"/>
  <c r="D39" i="21"/>
  <c r="D35" i="39"/>
  <c r="D42" i="39"/>
  <c r="D35" i="20"/>
  <c r="D42" i="20"/>
  <c r="D63" i="21"/>
  <c r="D42" i="21"/>
  <c r="D35" i="21"/>
  <c r="D42" i="38"/>
  <c r="D35" i="38"/>
  <c r="D42" i="25"/>
  <c r="D35" i="25"/>
  <c r="D63" i="12"/>
  <c r="D42" i="12"/>
  <c r="D35" i="12"/>
  <c r="D90" i="21"/>
  <c r="D41" i="21"/>
  <c r="D70" i="21"/>
  <c r="D72" i="21"/>
  <c r="D74" i="21"/>
  <c r="D87" i="21"/>
  <c r="D89" i="21"/>
  <c r="D91" i="21"/>
  <c r="D37" i="21"/>
  <c r="D73" i="21"/>
  <c r="D63" i="38"/>
  <c r="D87" i="38"/>
  <c r="D73" i="38"/>
  <c r="D76" i="38"/>
  <c r="D75" i="38"/>
  <c r="D34" i="38"/>
  <c r="D72" i="38"/>
  <c r="D71" i="38"/>
  <c r="D74" i="38"/>
  <c r="D39" i="38"/>
  <c r="D91" i="38"/>
  <c r="D38" i="38"/>
  <c r="D40" i="38"/>
  <c r="D36" i="38"/>
  <c r="D89" i="38"/>
  <c r="D90" i="38"/>
  <c r="D41" i="38"/>
  <c r="D37" i="38"/>
  <c r="D70" i="38"/>
  <c r="D88" i="38"/>
  <c r="D86" i="38"/>
  <c r="D92" i="23"/>
  <c r="D102" i="23" s="1"/>
  <c r="D104" i="23" s="1"/>
  <c r="D136" i="23" s="1"/>
  <c r="D40" i="21"/>
  <c r="D71" i="21"/>
  <c r="D86" i="21"/>
  <c r="D75" i="21"/>
  <c r="D88" i="21"/>
  <c r="D36" i="21"/>
  <c r="D34" i="21"/>
  <c r="D92" i="19"/>
  <c r="D102" i="19" s="1"/>
  <c r="D104" i="19" s="1"/>
  <c r="D136" i="19" s="1"/>
  <c r="D41" i="12"/>
  <c r="D92" i="6"/>
  <c r="D102" i="6" s="1"/>
  <c r="D104" i="6" s="1"/>
  <c r="D136" i="6" s="1"/>
  <c r="D77" i="6"/>
  <c r="D135" i="6" s="1"/>
  <c r="D63" i="39"/>
  <c r="D71" i="39"/>
  <c r="D39" i="39"/>
  <c r="D90" i="39"/>
  <c r="D40" i="39"/>
  <c r="D91" i="39"/>
  <c r="D41" i="39"/>
  <c r="D86" i="39"/>
  <c r="D75" i="39"/>
  <c r="D74" i="39"/>
  <c r="D37" i="39"/>
  <c r="D89" i="39"/>
  <c r="D88" i="39"/>
  <c r="D73" i="39"/>
  <c r="D87" i="39"/>
  <c r="D70" i="39"/>
  <c r="D38" i="39"/>
  <c r="D72" i="39"/>
  <c r="D36" i="39"/>
  <c r="D34" i="39"/>
  <c r="D76" i="39"/>
  <c r="D63" i="25"/>
  <c r="D38" i="25"/>
  <c r="D72" i="25"/>
  <c r="D34" i="25"/>
  <c r="D37" i="25"/>
  <c r="D89" i="25"/>
  <c r="D86" i="25"/>
  <c r="D71" i="25"/>
  <c r="D74" i="25"/>
  <c r="D39" i="25"/>
  <c r="D76" i="25"/>
  <c r="D36" i="25"/>
  <c r="D88" i="25"/>
  <c r="D90" i="25"/>
  <c r="D91" i="25"/>
  <c r="D41" i="25"/>
  <c r="D40" i="25"/>
  <c r="D75" i="25"/>
  <c r="D70" i="25"/>
  <c r="D73" i="25"/>
  <c r="D87" i="25"/>
  <c r="D77" i="23"/>
  <c r="D135" i="23" s="1"/>
  <c r="D27" i="22"/>
  <c r="D63" i="20"/>
  <c r="D74" i="20"/>
  <c r="D87" i="20"/>
  <c r="D86" i="20"/>
  <c r="D70" i="20"/>
  <c r="D88" i="20"/>
  <c r="D39" i="20"/>
  <c r="D37" i="20"/>
  <c r="D71" i="20"/>
  <c r="D76" i="20"/>
  <c r="D72" i="20"/>
  <c r="D34" i="20"/>
  <c r="D41" i="20"/>
  <c r="D75" i="20"/>
  <c r="D89" i="20"/>
  <c r="D36" i="20"/>
  <c r="D40" i="20"/>
  <c r="D73" i="20"/>
  <c r="D91" i="20"/>
  <c r="D90" i="20"/>
  <c r="D38" i="20"/>
  <c r="D34" i="12"/>
  <c r="D77" i="26" l="1"/>
  <c r="D135" i="26" s="1"/>
  <c r="D43" i="20"/>
  <c r="D92" i="26"/>
  <c r="D102" i="26" s="1"/>
  <c r="D104" i="26" s="1"/>
  <c r="D136" i="26" s="1"/>
  <c r="D43" i="26"/>
  <c r="D64" i="26" s="1"/>
  <c r="D66" i="26" s="1"/>
  <c r="D134" i="26" s="1"/>
  <c r="D43" i="38"/>
  <c r="D64" i="38" s="1"/>
  <c r="D66" i="38" s="1"/>
  <c r="D134" i="38" s="1"/>
  <c r="D43" i="25"/>
  <c r="D43" i="21"/>
  <c r="D64" i="21" s="1"/>
  <c r="D66" i="21" s="1"/>
  <c r="D134" i="21" s="1"/>
  <c r="D43" i="39"/>
  <c r="D64" i="39" s="1"/>
  <c r="D66" i="39" s="1"/>
  <c r="D134" i="39" s="1"/>
  <c r="D35" i="22"/>
  <c r="D42" i="22"/>
  <c r="D92" i="21"/>
  <c r="D102" i="21" s="1"/>
  <c r="D104" i="21" s="1"/>
  <c r="D136" i="21" s="1"/>
  <c r="D77" i="21"/>
  <c r="D135" i="21" s="1"/>
  <c r="D36" i="22"/>
  <c r="D70" i="22"/>
  <c r="D92" i="38"/>
  <c r="D102" i="38" s="1"/>
  <c r="D104" i="38" s="1"/>
  <c r="D136" i="38" s="1"/>
  <c r="D77" i="38"/>
  <c r="D135" i="38" s="1"/>
  <c r="D34" i="22"/>
  <c r="D64" i="20"/>
  <c r="D66" i="20" s="1"/>
  <c r="D134" i="20" s="1"/>
  <c r="D92" i="39"/>
  <c r="D102" i="39" s="1"/>
  <c r="D104" i="39" s="1"/>
  <c r="D136" i="39" s="1"/>
  <c r="D77" i="39"/>
  <c r="D135" i="39" s="1"/>
  <c r="D77" i="25"/>
  <c r="D135" i="25" s="1"/>
  <c r="D92" i="25"/>
  <c r="D102" i="25" s="1"/>
  <c r="D104" i="25" s="1"/>
  <c r="D136" i="25" s="1"/>
  <c r="D64" i="25"/>
  <c r="D66" i="25" s="1"/>
  <c r="D134" i="25" s="1"/>
  <c r="D63" i="22"/>
  <c r="D91" i="22"/>
  <c r="D73" i="22"/>
  <c r="D75" i="22"/>
  <c r="D87" i="22"/>
  <c r="D90" i="22"/>
  <c r="D38" i="22"/>
  <c r="D39" i="22"/>
  <c r="D76" i="22"/>
  <c r="D89" i="22"/>
  <c r="D74" i="22"/>
  <c r="D88" i="22"/>
  <c r="D37" i="22"/>
  <c r="D41" i="22"/>
  <c r="D72" i="22"/>
  <c r="D86" i="22"/>
  <c r="D40" i="22"/>
  <c r="D71" i="22"/>
  <c r="D77" i="20"/>
  <c r="D135" i="20" s="1"/>
  <c r="D92" i="20"/>
  <c r="D102" i="20" s="1"/>
  <c r="D104" i="20" s="1"/>
  <c r="D136" i="20" s="1"/>
  <c r="D43" i="22" l="1"/>
  <c r="D64" i="22" s="1"/>
  <c r="D66" i="22" s="1"/>
  <c r="D134" i="22" s="1"/>
  <c r="D77" i="22"/>
  <c r="D135" i="22" s="1"/>
  <c r="D92" i="22"/>
  <c r="D102" i="22" s="1"/>
  <c r="D104" i="22" s="1"/>
  <c r="D136" i="22" s="1"/>
  <c r="F4" i="35" l="1"/>
  <c r="F5" i="35"/>
  <c r="I5" i="35" s="1"/>
  <c r="F6" i="35"/>
  <c r="I6" i="35" s="1"/>
  <c r="F7" i="35"/>
  <c r="I7" i="35" s="1"/>
  <c r="F8" i="35"/>
  <c r="I8" i="35" s="1"/>
  <c r="F9" i="35"/>
  <c r="I9" i="35" s="1"/>
  <c r="F10" i="35"/>
  <c r="I10" i="35" s="1"/>
  <c r="F11" i="35"/>
  <c r="I11" i="35" s="1"/>
  <c r="F12" i="35"/>
  <c r="I12" i="35" s="1"/>
  <c r="F13" i="35"/>
  <c r="I13" i="35" s="1"/>
  <c r="F14" i="35"/>
  <c r="I14" i="35" s="1"/>
  <c r="F15" i="35"/>
  <c r="I15" i="35" s="1"/>
  <c r="F16" i="35"/>
  <c r="I16" i="35" s="1"/>
  <c r="F17" i="35"/>
  <c r="I17" i="35" s="1"/>
  <c r="F18" i="35"/>
  <c r="I18" i="35" s="1"/>
  <c r="F19" i="35"/>
  <c r="I19" i="35" s="1"/>
  <c r="F20" i="35"/>
  <c r="I20" i="35" s="1"/>
  <c r="F21" i="35"/>
  <c r="I21" i="35" s="1"/>
  <c r="F22" i="35"/>
  <c r="I22" i="35" s="1"/>
  <c r="F23" i="35"/>
  <c r="I23" i="35" s="1"/>
  <c r="F24" i="35"/>
  <c r="I24" i="35" s="1"/>
  <c r="F25" i="35"/>
  <c r="I25" i="35" s="1"/>
  <c r="F26" i="35"/>
  <c r="I26" i="35" s="1"/>
  <c r="F27" i="35"/>
  <c r="I27" i="35" s="1"/>
  <c r="F28" i="35"/>
  <c r="I28" i="35" s="1"/>
  <c r="F29" i="35"/>
  <c r="I29" i="35" s="1"/>
  <c r="F30" i="35"/>
  <c r="I30" i="35" s="1"/>
  <c r="F31" i="35"/>
  <c r="I31" i="35" s="1"/>
  <c r="F32" i="35"/>
  <c r="I32" i="35" s="1"/>
  <c r="F33" i="35"/>
  <c r="I33" i="35" s="1"/>
  <c r="F34" i="35"/>
  <c r="I34" i="35" s="1"/>
  <c r="F35" i="35"/>
  <c r="I35" i="35" s="1"/>
  <c r="F36" i="35"/>
  <c r="I36" i="35" s="1"/>
  <c r="F37" i="35"/>
  <c r="I37" i="35" s="1"/>
  <c r="F38" i="35"/>
  <c r="I38" i="35" s="1"/>
  <c r="F39" i="35"/>
  <c r="I39" i="35" s="1"/>
  <c r="F40" i="35"/>
  <c r="I40" i="35" s="1"/>
  <c r="F41" i="35"/>
  <c r="I41" i="35" s="1"/>
  <c r="F42" i="35"/>
  <c r="I42" i="35" s="1"/>
  <c r="F43" i="35"/>
  <c r="I43" i="35" s="1"/>
  <c r="F44" i="35"/>
  <c r="I44" i="35" s="1"/>
  <c r="F45" i="35"/>
  <c r="I45" i="35" s="1"/>
  <c r="F46" i="35"/>
  <c r="I46" i="35" s="1"/>
  <c r="F47" i="35"/>
  <c r="I47" i="35" s="1"/>
  <c r="F48" i="35"/>
  <c r="I48" i="35" s="1"/>
  <c r="F49" i="35"/>
  <c r="I49" i="35" s="1"/>
  <c r="F50" i="35"/>
  <c r="I50" i="35" s="1"/>
  <c r="F51" i="35"/>
  <c r="I51" i="35" s="1"/>
  <c r="F52" i="35"/>
  <c r="I52" i="35" s="1"/>
  <c r="F53" i="35"/>
  <c r="I53" i="35" s="1"/>
  <c r="F54" i="35"/>
  <c r="I54" i="35" s="1"/>
  <c r="F55" i="35"/>
  <c r="I55" i="35" s="1"/>
  <c r="F56" i="35"/>
  <c r="I56" i="35" s="1"/>
  <c r="F57" i="35"/>
  <c r="I57" i="35" s="1"/>
  <c r="F58" i="35"/>
  <c r="I58" i="35" s="1"/>
  <c r="F59" i="35"/>
  <c r="I59" i="35" s="1"/>
  <c r="F60" i="35"/>
  <c r="I60" i="35" s="1"/>
  <c r="F61" i="35"/>
  <c r="I61" i="35" s="1"/>
  <c r="F62" i="35"/>
  <c r="I62" i="35" s="1"/>
  <c r="F63" i="35"/>
  <c r="I63" i="35" s="1"/>
  <c r="F64" i="35"/>
  <c r="I64" i="35" s="1"/>
  <c r="F65" i="35"/>
  <c r="I65" i="35" s="1"/>
  <c r="F66" i="35"/>
  <c r="I66" i="35" s="1"/>
  <c r="F67" i="35"/>
  <c r="I67" i="35" s="1"/>
  <c r="F68" i="35"/>
  <c r="I68" i="35" s="1"/>
  <c r="F69" i="35"/>
  <c r="I69" i="35" s="1"/>
  <c r="F70" i="35"/>
  <c r="I70" i="35" s="1"/>
  <c r="F71" i="35"/>
  <c r="I71" i="35" s="1"/>
  <c r="F72" i="35"/>
  <c r="I72" i="35" s="1"/>
  <c r="F73" i="35"/>
  <c r="I73" i="35" s="1"/>
  <c r="F74" i="35"/>
  <c r="I74" i="35" s="1"/>
  <c r="F75" i="35"/>
  <c r="I75" i="35" s="1"/>
  <c r="F76" i="35"/>
  <c r="I76" i="35" s="1"/>
  <c r="F77" i="35"/>
  <c r="I77" i="35" s="1"/>
  <c r="F78" i="35"/>
  <c r="I78" i="35" s="1"/>
  <c r="F79" i="35"/>
  <c r="I79" i="35" s="1"/>
  <c r="F80" i="35"/>
  <c r="I80" i="35" s="1"/>
  <c r="F81" i="35"/>
  <c r="I81" i="35" s="1"/>
  <c r="F82" i="35"/>
  <c r="I82" i="35" s="1"/>
  <c r="F83" i="35"/>
  <c r="I83" i="35" s="1"/>
  <c r="F84" i="35"/>
  <c r="I84" i="35" s="1"/>
  <c r="F85" i="35"/>
  <c r="I85" i="35" s="1"/>
  <c r="F86" i="35"/>
  <c r="I86" i="35" s="1"/>
  <c r="F87" i="35"/>
  <c r="I87" i="35" s="1"/>
  <c r="F88" i="35"/>
  <c r="I88" i="35" s="1"/>
  <c r="F89" i="35"/>
  <c r="I89" i="35" s="1"/>
  <c r="F90" i="35"/>
  <c r="I90" i="35" s="1"/>
  <c r="F91" i="35"/>
  <c r="I91" i="35" s="1"/>
  <c r="F92" i="35"/>
  <c r="I92" i="35" s="1"/>
  <c r="F93" i="35"/>
  <c r="I93" i="35" s="1"/>
  <c r="F94" i="35"/>
  <c r="I94" i="35" s="1"/>
  <c r="F95" i="35"/>
  <c r="I95" i="35" s="1"/>
  <c r="F96" i="35"/>
  <c r="I96" i="35" s="1"/>
  <c r="F97" i="35"/>
  <c r="I97" i="35" s="1"/>
  <c r="F98" i="35"/>
  <c r="I98" i="35" s="1"/>
  <c r="F99" i="35"/>
  <c r="I99" i="35" s="1"/>
  <c r="F100" i="35"/>
  <c r="I100" i="35" s="1"/>
  <c r="F101" i="35"/>
  <c r="I101" i="35" s="1"/>
  <c r="F102" i="35"/>
  <c r="I102" i="35" s="1"/>
  <c r="F103" i="35"/>
  <c r="I103" i="35" s="1"/>
  <c r="F104" i="35"/>
  <c r="I104" i="35" s="1"/>
  <c r="F105" i="35"/>
  <c r="I105" i="35" s="1"/>
  <c r="F106" i="35"/>
  <c r="I106" i="35" s="1"/>
  <c r="F107" i="35"/>
  <c r="I107" i="35" s="1"/>
  <c r="F108" i="35"/>
  <c r="I108" i="35" s="1"/>
  <c r="F109" i="35"/>
  <c r="I109" i="35" s="1"/>
  <c r="F110" i="35"/>
  <c r="I110" i="35" s="1"/>
  <c r="F111" i="35"/>
  <c r="I111" i="35" s="1"/>
  <c r="F112" i="35"/>
  <c r="I112" i="35" s="1"/>
  <c r="F113" i="35"/>
  <c r="I113" i="35" s="1"/>
  <c r="F114" i="35"/>
  <c r="I114" i="35" s="1"/>
  <c r="F115" i="35"/>
  <c r="I115" i="35" s="1"/>
  <c r="F116" i="35"/>
  <c r="I116" i="35" s="1"/>
  <c r="F117" i="35"/>
  <c r="I117" i="35" s="1"/>
  <c r="F118" i="35"/>
  <c r="I118" i="35" s="1"/>
  <c r="F119" i="35"/>
  <c r="I119" i="35" s="1"/>
  <c r="F120" i="35"/>
  <c r="I120" i="35" s="1"/>
  <c r="F121" i="35"/>
  <c r="I121" i="35" s="1"/>
  <c r="F122" i="35"/>
  <c r="I122" i="35" s="1"/>
  <c r="F123" i="35"/>
  <c r="I123" i="35" s="1"/>
  <c r="F124" i="35"/>
  <c r="I124" i="35" s="1"/>
  <c r="F125" i="35"/>
  <c r="I125" i="35" s="1"/>
  <c r="F126" i="35"/>
  <c r="I126" i="35" s="1"/>
  <c r="F127" i="35"/>
  <c r="I127" i="35" s="1"/>
  <c r="F128" i="35"/>
  <c r="I128" i="35" s="1"/>
  <c r="F129" i="35"/>
  <c r="I129" i="35" s="1"/>
  <c r="F130" i="35"/>
  <c r="I130" i="35" s="1"/>
  <c r="F131" i="35"/>
  <c r="I131" i="35" s="1"/>
  <c r="F132" i="35"/>
  <c r="I132" i="35" s="1"/>
  <c r="F133" i="35"/>
  <c r="I133" i="35" s="1"/>
  <c r="F134" i="35"/>
  <c r="I134" i="35" s="1"/>
  <c r="F135" i="35"/>
  <c r="I135" i="35" s="1"/>
  <c r="F136" i="35"/>
  <c r="I136" i="35" s="1"/>
  <c r="F137" i="35"/>
  <c r="I137" i="35" s="1"/>
  <c r="F138" i="35"/>
  <c r="I138" i="35" s="1"/>
  <c r="F139" i="35"/>
  <c r="I139" i="35" s="1"/>
  <c r="F140" i="35"/>
  <c r="I140" i="35" s="1"/>
  <c r="F141" i="35"/>
  <c r="I141" i="35" s="1"/>
  <c r="F142" i="35"/>
  <c r="I142" i="35" s="1"/>
  <c r="F143" i="35"/>
  <c r="I143" i="35" s="1"/>
  <c r="D131" i="34"/>
  <c r="D132" i="34"/>
  <c r="D133" i="34"/>
  <c r="D134" i="34"/>
  <c r="D135" i="34"/>
  <c r="D130" i="34"/>
  <c r="D124" i="34"/>
  <c r="D123" i="34"/>
  <c r="D114" i="34"/>
  <c r="D115" i="34"/>
  <c r="D116" i="34"/>
  <c r="D117" i="34"/>
  <c r="D113" i="34"/>
  <c r="D106" i="34"/>
  <c r="D107" i="34"/>
  <c r="D100" i="34"/>
  <c r="D88" i="34"/>
  <c r="D89" i="34"/>
  <c r="D90" i="34"/>
  <c r="D91" i="34"/>
  <c r="D92" i="34"/>
  <c r="D93" i="34"/>
  <c r="D94" i="34"/>
  <c r="D87" i="34"/>
  <c r="D81" i="34"/>
  <c r="D75" i="34"/>
  <c r="D76" i="34"/>
  <c r="D77" i="34"/>
  <c r="D78" i="34"/>
  <c r="D79" i="34"/>
  <c r="D80" i="34"/>
  <c r="D74" i="34"/>
  <c r="D62" i="34"/>
  <c r="D63" i="34"/>
  <c r="D64" i="34"/>
  <c r="D65" i="34"/>
  <c r="D66" i="34"/>
  <c r="D67" i="34"/>
  <c r="D68" i="34"/>
  <c r="D61" i="34"/>
  <c r="D52" i="34"/>
  <c r="D53" i="34"/>
  <c r="D54" i="34"/>
  <c r="D55" i="34"/>
  <c r="D46" i="34"/>
  <c r="D45" i="34"/>
  <c r="D37" i="34"/>
  <c r="D34" i="34"/>
  <c r="D35" i="34"/>
  <c r="D36" i="34"/>
  <c r="D38" i="34"/>
  <c r="D33" i="34"/>
  <c r="D26" i="34"/>
  <c r="D27" i="34"/>
  <c r="D22" i="34"/>
  <c r="E22" i="34" s="1"/>
  <c r="D23" i="34"/>
  <c r="D24" i="34"/>
  <c r="D25" i="34"/>
  <c r="D21" i="34"/>
  <c r="D5" i="34"/>
  <c r="D6" i="34"/>
  <c r="D7" i="34"/>
  <c r="D8" i="34"/>
  <c r="D9" i="34"/>
  <c r="D10" i="34"/>
  <c r="D11" i="34"/>
  <c r="E11" i="34" s="1"/>
  <c r="E15" i="34" s="1"/>
  <c r="E16" i="34" s="1"/>
  <c r="D12" i="34"/>
  <c r="D13" i="34"/>
  <c r="D14" i="34"/>
  <c r="D108" i="19" l="1"/>
  <c r="E47" i="34"/>
  <c r="E48" i="34" s="1"/>
  <c r="I144" i="35"/>
  <c r="E56" i="34"/>
  <c r="E57" i="34" s="1"/>
  <c r="E39" i="34"/>
  <c r="E40" i="34" s="1"/>
  <c r="D108" i="22" s="1"/>
  <c r="E28" i="34"/>
  <c r="E29" i="34" s="1"/>
  <c r="D108" i="52" s="1"/>
  <c r="E69" i="34"/>
  <c r="E70" i="34" s="1"/>
  <c r="F144" i="35"/>
  <c r="E125" i="34"/>
  <c r="E126" i="34" s="1"/>
  <c r="E136" i="34"/>
  <c r="E137" i="34" s="1"/>
  <c r="E118" i="34"/>
  <c r="E119" i="34" s="1"/>
  <c r="E108" i="34"/>
  <c r="E109" i="34" s="1"/>
  <c r="E102" i="34"/>
  <c r="E101" i="34"/>
  <c r="E95" i="34"/>
  <c r="E96" i="34" s="1"/>
  <c r="E82" i="34"/>
  <c r="E83" i="34" s="1"/>
  <c r="D109" i="52" l="1"/>
  <c r="D108" i="50"/>
  <c r="D108" i="49"/>
  <c r="D108" i="26"/>
  <c r="D108" i="25"/>
  <c r="D108" i="20"/>
  <c r="D108" i="38"/>
  <c r="D108" i="39"/>
  <c r="D108" i="23"/>
  <c r="D108" i="21"/>
  <c r="D108" i="10"/>
  <c r="D108" i="24"/>
  <c r="D108" i="12"/>
  <c r="D108" i="33"/>
  <c r="C98" i="33"/>
  <c r="D103" i="33" s="1"/>
  <c r="C92" i="33"/>
  <c r="D65" i="33"/>
  <c r="C27" i="33"/>
  <c r="D109" i="24" l="1"/>
  <c r="D112" i="24" s="1"/>
  <c r="D137" i="24" s="1"/>
  <c r="D138" i="24" s="1"/>
  <c r="D109" i="50"/>
  <c r="D112" i="50" s="1"/>
  <c r="D137" i="50" s="1"/>
  <c r="D138" i="50" s="1"/>
  <c r="D118" i="50" s="1"/>
  <c r="D119" i="50" s="1"/>
  <c r="D120" i="50" s="1"/>
  <c r="D112" i="52"/>
  <c r="D137" i="52" s="1"/>
  <c r="D138" i="52" s="1"/>
  <c r="D109" i="51"/>
  <c r="D112" i="51" s="1"/>
  <c r="D137" i="51" s="1"/>
  <c r="D138" i="51" s="1"/>
  <c r="D118" i="51" s="1"/>
  <c r="D119" i="51" s="1"/>
  <c r="D120" i="51" s="1"/>
  <c r="D109" i="49"/>
  <c r="D112" i="49" s="1"/>
  <c r="D137" i="49" s="1"/>
  <c r="D138" i="49" s="1"/>
  <c r="D118" i="49" s="1"/>
  <c r="D119" i="49" s="1"/>
  <c r="D109" i="26"/>
  <c r="D112" i="26" s="1"/>
  <c r="D137" i="26" s="1"/>
  <c r="D138" i="26" s="1"/>
  <c r="D109" i="33"/>
  <c r="D112" i="33" s="1"/>
  <c r="D137" i="33" s="1"/>
  <c r="D109" i="25"/>
  <c r="D112" i="25" s="1"/>
  <c r="D137" i="25" s="1"/>
  <c r="D138" i="25" s="1"/>
  <c r="D109" i="6"/>
  <c r="D112" i="6" s="1"/>
  <c r="D137" i="6" s="1"/>
  <c r="D138" i="6" s="1"/>
  <c r="D109" i="23"/>
  <c r="D112" i="23" s="1"/>
  <c r="D137" i="23" s="1"/>
  <c r="D138" i="23" s="1"/>
  <c r="D109" i="22"/>
  <c r="D112" i="22" s="1"/>
  <c r="D137" i="22" s="1"/>
  <c r="D138" i="22" s="1"/>
  <c r="D109" i="10"/>
  <c r="D112" i="10" s="1"/>
  <c r="D137" i="10" s="1"/>
  <c r="D109" i="21"/>
  <c r="D112" i="21" s="1"/>
  <c r="D137" i="21" s="1"/>
  <c r="D138" i="21" s="1"/>
  <c r="D109" i="20"/>
  <c r="D112" i="20" s="1"/>
  <c r="D137" i="20" s="1"/>
  <c r="D138" i="20" s="1"/>
  <c r="D109" i="38"/>
  <c r="D112" i="38" s="1"/>
  <c r="D137" i="38" s="1"/>
  <c r="D138" i="38" s="1"/>
  <c r="D109" i="19"/>
  <c r="D112" i="19" s="1"/>
  <c r="D137" i="19" s="1"/>
  <c r="D138" i="19" s="1"/>
  <c r="D109" i="39"/>
  <c r="D112" i="39" s="1"/>
  <c r="D137" i="39" s="1"/>
  <c r="D138" i="39" s="1"/>
  <c r="D109" i="12"/>
  <c r="D112" i="12" s="1"/>
  <c r="D137" i="12" s="1"/>
  <c r="D19" i="33"/>
  <c r="C77" i="33"/>
  <c r="C98" i="12"/>
  <c r="D103" i="12" s="1"/>
  <c r="C92" i="12"/>
  <c r="D65" i="12"/>
  <c r="C27" i="12"/>
  <c r="D118" i="52" l="1"/>
  <c r="D119" i="52" s="1"/>
  <c r="D124" i="52" s="1"/>
  <c r="D124" i="49"/>
  <c r="D120" i="49"/>
  <c r="D124" i="50"/>
  <c r="D125" i="50" s="1"/>
  <c r="D139" i="50" s="1"/>
  <c r="D140" i="50" s="1"/>
  <c r="C24" i="2" s="1"/>
  <c r="E24" i="2" s="1"/>
  <c r="D124" i="51"/>
  <c r="D125" i="51" s="1"/>
  <c r="D139" i="51" s="1"/>
  <c r="D140" i="51" s="1"/>
  <c r="C25" i="2" s="1"/>
  <c r="E25" i="2" s="1"/>
  <c r="D118" i="24"/>
  <c r="D119" i="24" s="1"/>
  <c r="D124" i="24" s="1"/>
  <c r="D118" i="23"/>
  <c r="D119" i="23" s="1"/>
  <c r="D124" i="23" s="1"/>
  <c r="D118" i="39"/>
  <c r="D118" i="19"/>
  <c r="D119" i="19" s="1"/>
  <c r="D124" i="19" s="1"/>
  <c r="D118" i="25"/>
  <c r="D118" i="38"/>
  <c r="D119" i="38" s="1"/>
  <c r="D118" i="20"/>
  <c r="D119" i="20" s="1"/>
  <c r="D118" i="26"/>
  <c r="D119" i="26" s="1"/>
  <c r="D118" i="22"/>
  <c r="D119" i="22" s="1"/>
  <c r="D118" i="21"/>
  <c r="D119" i="21" s="1"/>
  <c r="D118" i="6"/>
  <c r="D26" i="33"/>
  <c r="D25" i="33"/>
  <c r="D19" i="10"/>
  <c r="C77" i="12"/>
  <c r="D133" i="12"/>
  <c r="D133" i="33"/>
  <c r="D120" i="52" l="1"/>
  <c r="D125" i="52" s="1"/>
  <c r="D139" i="52" s="1"/>
  <c r="D140" i="52" s="1"/>
  <c r="D125" i="49"/>
  <c r="D139" i="49" s="1"/>
  <c r="D140" i="49" s="1"/>
  <c r="C22" i="2" s="1"/>
  <c r="E22" i="2" s="1"/>
  <c r="D120" i="38"/>
  <c r="D124" i="38"/>
  <c r="D124" i="21"/>
  <c r="D120" i="21"/>
  <c r="D120" i="23"/>
  <c r="D125" i="23" s="1"/>
  <c r="D120" i="26"/>
  <c r="D124" i="26"/>
  <c r="D120" i="22"/>
  <c r="D124" i="22"/>
  <c r="D120" i="20"/>
  <c r="D124" i="20"/>
  <c r="D119" i="39"/>
  <c r="D119" i="25"/>
  <c r="D120" i="19"/>
  <c r="D125" i="19" s="1"/>
  <c r="D119" i="6"/>
  <c r="D124" i="6" s="1"/>
  <c r="D25" i="10"/>
  <c r="D133" i="10"/>
  <c r="D26" i="10"/>
  <c r="D40" i="12"/>
  <c r="D73" i="12"/>
  <c r="D37" i="12"/>
  <c r="D39" i="12"/>
  <c r="D38" i="12"/>
  <c r="D72" i="12"/>
  <c r="D71" i="12"/>
  <c r="D36" i="12"/>
  <c r="D88" i="12"/>
  <c r="D76" i="12"/>
  <c r="D89" i="12"/>
  <c r="D70" i="12"/>
  <c r="D90" i="12"/>
  <c r="D74" i="12"/>
  <c r="D87" i="12"/>
  <c r="D91" i="12"/>
  <c r="D75" i="12"/>
  <c r="D27" i="33"/>
  <c r="D86" i="33" s="1"/>
  <c r="D125" i="38" l="1"/>
  <c r="D125" i="22"/>
  <c r="D125" i="21"/>
  <c r="D125" i="26"/>
  <c r="D125" i="20"/>
  <c r="D124" i="25"/>
  <c r="D120" i="25"/>
  <c r="D124" i="39"/>
  <c r="D120" i="39"/>
  <c r="D120" i="6"/>
  <c r="D125" i="6" s="1"/>
  <c r="D43" i="12"/>
  <c r="D64" i="12" s="1"/>
  <c r="D66" i="12" s="1"/>
  <c r="D134" i="12" s="1"/>
  <c r="D42" i="33"/>
  <c r="D35" i="33"/>
  <c r="D27" i="10"/>
  <c r="D74" i="10" s="1"/>
  <c r="D72" i="33"/>
  <c r="D34" i="33"/>
  <c r="D89" i="33"/>
  <c r="D36" i="33"/>
  <c r="D90" i="33"/>
  <c r="D76" i="33"/>
  <c r="D38" i="33"/>
  <c r="D71" i="33"/>
  <c r="D74" i="33"/>
  <c r="D87" i="33"/>
  <c r="D40" i="33"/>
  <c r="D37" i="33"/>
  <c r="D88" i="33"/>
  <c r="D91" i="33"/>
  <c r="D41" i="33"/>
  <c r="D39" i="33"/>
  <c r="D75" i="33"/>
  <c r="D70" i="33"/>
  <c r="D73" i="33"/>
  <c r="D92" i="12"/>
  <c r="D102" i="12" s="1"/>
  <c r="D104" i="12" s="1"/>
  <c r="D136" i="12" s="1"/>
  <c r="D77" i="12"/>
  <c r="D63" i="33"/>
  <c r="D125" i="39" l="1"/>
  <c r="D125" i="25"/>
  <c r="D43" i="33"/>
  <c r="D64" i="33" s="1"/>
  <c r="D66" i="33" s="1"/>
  <c r="D134" i="33" s="1"/>
  <c r="D76" i="10"/>
  <c r="D89" i="10"/>
  <c r="D36" i="10"/>
  <c r="D91" i="10"/>
  <c r="D70" i="10"/>
  <c r="D39" i="10"/>
  <c r="D73" i="10"/>
  <c r="D37" i="10"/>
  <c r="D41" i="10"/>
  <c r="D90" i="10"/>
  <c r="D71" i="10"/>
  <c r="D87" i="10"/>
  <c r="D72" i="10"/>
  <c r="D75" i="10"/>
  <c r="D40" i="10"/>
  <c r="D88" i="10"/>
  <c r="D34" i="10"/>
  <c r="D38" i="10"/>
  <c r="D63" i="10"/>
  <c r="D35" i="10"/>
  <c r="D42" i="10"/>
  <c r="D135" i="12"/>
  <c r="D138" i="12" s="1"/>
  <c r="D92" i="33"/>
  <c r="D102" i="33" s="1"/>
  <c r="D104" i="33" s="1"/>
  <c r="D136" i="33" s="1"/>
  <c r="D77" i="33"/>
  <c r="D77" i="10" l="1"/>
  <c r="D135" i="10" s="1"/>
  <c r="D118" i="12"/>
  <c r="D102" i="10"/>
  <c r="D104" i="10" s="1"/>
  <c r="D136" i="10" s="1"/>
  <c r="D43" i="10"/>
  <c r="D64" i="10" s="1"/>
  <c r="D66" i="10" s="1"/>
  <c r="D134" i="10" s="1"/>
  <c r="D135" i="33"/>
  <c r="D138" i="33" s="1"/>
  <c r="D118" i="33" s="1"/>
  <c r="D119" i="12" l="1"/>
  <c r="D138" i="10"/>
  <c r="D124" i="12" l="1"/>
  <c r="D120" i="12"/>
  <c r="D118" i="10"/>
  <c r="D119" i="33"/>
  <c r="D124" i="33" s="1"/>
  <c r="D139" i="25"/>
  <c r="D140" i="25" s="1"/>
  <c r="D139" i="21"/>
  <c r="D140" i="21" s="1"/>
  <c r="D139" i="38"/>
  <c r="D140" i="38" s="1"/>
  <c r="D139" i="23"/>
  <c r="D140" i="23" s="1"/>
  <c r="D139" i="39"/>
  <c r="D140" i="39" s="1"/>
  <c r="D139" i="19"/>
  <c r="D140" i="19" s="1"/>
  <c r="D139" i="6"/>
  <c r="D140" i="6" s="1"/>
  <c r="D139" i="22"/>
  <c r="D140" i="22" s="1"/>
  <c r="D139" i="26"/>
  <c r="D140" i="26" s="1"/>
  <c r="D139" i="20"/>
  <c r="D140" i="20" s="1"/>
  <c r="D125" i="12" l="1"/>
  <c r="D139" i="12" s="1"/>
  <c r="D140" i="12" s="1"/>
  <c r="C23" i="2" s="1"/>
  <c r="E23" i="2" s="1"/>
  <c r="D120" i="33"/>
  <c r="D119" i="10"/>
  <c r="C12" i="2"/>
  <c r="E12" i="2" s="1"/>
  <c r="C18" i="2"/>
  <c r="E18" i="2" s="1"/>
  <c r="C17" i="2"/>
  <c r="E17" i="2" s="1"/>
  <c r="C10" i="2"/>
  <c r="E10" i="2" s="1"/>
  <c r="C11" i="2"/>
  <c r="E11" i="2" s="1"/>
  <c r="C15" i="2"/>
  <c r="E15" i="2" s="1"/>
  <c r="C14" i="2"/>
  <c r="E14" i="2" s="1"/>
  <c r="C19" i="2"/>
  <c r="E19" i="2" s="1"/>
  <c r="C13" i="2"/>
  <c r="E13" i="2" s="1"/>
  <c r="C16" i="2"/>
  <c r="E16" i="2" s="1"/>
  <c r="D120" i="10" l="1"/>
  <c r="D124" i="10"/>
  <c r="D125" i="33"/>
  <c r="D139" i="33" s="1"/>
  <c r="D140" i="33" s="1"/>
  <c r="C8" i="2" s="1"/>
  <c r="C9" i="2"/>
  <c r="E9" i="2" s="1"/>
  <c r="D125" i="10" l="1"/>
  <c r="D139" i="10" s="1"/>
  <c r="D140" i="10" s="1"/>
  <c r="E8" i="2"/>
  <c r="C21" i="2" l="1"/>
  <c r="E21" i="2" s="1"/>
  <c r="J6" i="46" l="1"/>
  <c r="D120" i="24"/>
  <c r="D125" i="24" l="1"/>
  <c r="D139" i="24" s="1"/>
  <c r="D140" i="24" s="1"/>
  <c r="C20" i="2" l="1"/>
  <c r="E20" i="2" s="1"/>
  <c r="E26" i="2" s="1"/>
  <c r="C5" i="46" l="1"/>
  <c r="C9" i="46" s="1"/>
  <c r="E27" i="2"/>
  <c r="D5" i="46" s="1"/>
  <c r="L5" i="46" s="1"/>
  <c r="E28" i="2" l="1"/>
  <c r="D9" i="46" l="1"/>
  <c r="L9" i="46" s="1"/>
  <c r="J5" i="46"/>
  <c r="J9" i="46" l="1"/>
</calcChain>
</file>

<file path=xl/sharedStrings.xml><?xml version="1.0" encoding="utf-8"?>
<sst xmlns="http://schemas.openxmlformats.org/spreadsheetml/2006/main" count="4690" uniqueCount="609">
  <si>
    <t>PLANILHA DE FORMAÇÃO DE PREÇOS PARA A EXECUÇÃO DOS SERVIÇOS DE MANUTENÇÃO PREDIAL</t>
  </si>
  <si>
    <t>Item e Subitens que compõe a contratação</t>
  </si>
  <si>
    <t>Item</t>
  </si>
  <si>
    <t>Subitem</t>
  </si>
  <si>
    <t>Descrição</t>
  </si>
  <si>
    <t xml:space="preserve"> Custo Mensal </t>
  </si>
  <si>
    <t xml:space="preserve"> Custo Anual </t>
  </si>
  <si>
    <t>1.1</t>
  </si>
  <si>
    <t>1.2</t>
  </si>
  <si>
    <t>1.3</t>
  </si>
  <si>
    <t>1.4</t>
  </si>
  <si>
    <t xml:space="preserve">TOTAL </t>
  </si>
  <si>
    <t>QUADRO-RESUMO DO VALOR DOS SERVIÇOS</t>
  </si>
  <si>
    <t>Nº do Contrato:</t>
  </si>
  <si>
    <t xml:space="preserve">Nº do Processo: </t>
  </si>
  <si>
    <t>Dispensa Eletrônica CJF 01/2023</t>
  </si>
  <si>
    <t>Tipo de Serviço</t>
  </si>
  <si>
    <t xml:space="preserve">Valor unitário por posto de trabalho </t>
  </si>
  <si>
    <t>Qtde. de Postos</t>
  </si>
  <si>
    <t>Valor mensal por posto</t>
  </si>
  <si>
    <t>(A)</t>
  </si>
  <si>
    <t>(B)</t>
  </si>
  <si>
    <t>(C)</t>
  </si>
  <si>
    <t>(D) = (B x C)</t>
  </si>
  <si>
    <t>I</t>
  </si>
  <si>
    <t>Bombeiro Hidráulico</t>
  </si>
  <si>
    <t>II</t>
  </si>
  <si>
    <t>Eletricista</t>
  </si>
  <si>
    <t>III</t>
  </si>
  <si>
    <t>Encarregado manutenção</t>
  </si>
  <si>
    <t>IV</t>
  </si>
  <si>
    <t>Estoquista/Ferramenteiro</t>
  </si>
  <si>
    <t>V</t>
  </si>
  <si>
    <t>Jardineiro</t>
  </si>
  <si>
    <t>VI</t>
  </si>
  <si>
    <t>Lavador</t>
  </si>
  <si>
    <t>VII</t>
  </si>
  <si>
    <t>Marceneiro</t>
  </si>
  <si>
    <t>VIII</t>
  </si>
  <si>
    <t>Pedreiro</t>
  </si>
  <si>
    <t>IX</t>
  </si>
  <si>
    <t>Pintor/Gesseiro</t>
  </si>
  <si>
    <t>X</t>
  </si>
  <si>
    <t>Serralheiro</t>
  </si>
  <si>
    <t>XI</t>
  </si>
  <si>
    <t>Engenheiro</t>
  </si>
  <si>
    <t>XII</t>
  </si>
  <si>
    <t>Técnico em telefonia 1</t>
  </si>
  <si>
    <t>XIII</t>
  </si>
  <si>
    <t>Oficial mecânico de refrigeração</t>
  </si>
  <si>
    <t>XIV</t>
  </si>
  <si>
    <t>Ajudante Geral de Manutenção
e Reparos</t>
  </si>
  <si>
    <t>XV</t>
  </si>
  <si>
    <t>Técnico em edificações</t>
  </si>
  <si>
    <t>XVI</t>
  </si>
  <si>
    <t>Eletricista plantonista - Diurno</t>
  </si>
  <si>
    <t>XVII</t>
  </si>
  <si>
    <t>Eletricista plantonista - Noturno</t>
  </si>
  <si>
    <t>XVIII</t>
  </si>
  <si>
    <t>Bombeiro Hidráulico plantonista - Diurno</t>
  </si>
  <si>
    <t>Valor Mensal dos Serviços (I + II + N)</t>
  </si>
  <si>
    <t>VALOR TOTAL (12 meses)</t>
  </si>
  <si>
    <t>PLANILHA DE CUSTOS E FORMAÇÃO DE PREÇOS</t>
  </si>
  <si>
    <t>Dados para composição dos custos referentes a mão de obra</t>
  </si>
  <si>
    <t>Tipo de Serviço (mesmo serviço com características distintas)</t>
  </si>
  <si>
    <t>BOMBEIRO HIDRÁULICO (5X2hs)</t>
  </si>
  <si>
    <t>Classificação Brasileira de Ocupações (CBO)</t>
  </si>
  <si>
    <t>Salário da Categoria Profissional</t>
  </si>
  <si>
    <t>Sindicato da Categoria Profissional (vinculada à execução contratual)</t>
  </si>
  <si>
    <t>Data-Base da Categoria (dia/mês/ano)</t>
  </si>
  <si>
    <t>Nº da Convenção Coletiva de trabalho (CCT)</t>
  </si>
  <si>
    <t>CCT DF 000297/2023</t>
  </si>
  <si>
    <t>Módulo 1 - Composição da Remuneração</t>
  </si>
  <si>
    <t>Composição da Remuneração</t>
  </si>
  <si>
    <t>Valor (R$)</t>
  </si>
  <si>
    <t>A</t>
  </si>
  <si>
    <t>Salário-Base</t>
  </si>
  <si>
    <t>B</t>
  </si>
  <si>
    <t>Adicional de Periculosidade</t>
  </si>
  <si>
    <t>-</t>
  </si>
  <si>
    <t>C</t>
  </si>
  <si>
    <t>D</t>
  </si>
  <si>
    <t>Adicional Noturno</t>
  </si>
  <si>
    <t>E</t>
  </si>
  <si>
    <t>Adicional de Hora Noturna Reduzida</t>
  </si>
  <si>
    <t>F</t>
  </si>
  <si>
    <t>Outros (especificar)</t>
  </si>
  <si>
    <t>Total</t>
  </si>
  <si>
    <t>Nota 1: O Módulo 1 refere-se ao valor mensal devido ao empregado pela prestação do serviço no período de 12 meses.</t>
  </si>
  <si>
    <t>Módulo 2 - Encargos e Benefícios Anuais, Mensais e Diários</t>
  </si>
  <si>
    <t>2.1</t>
  </si>
  <si>
    <t>Percentual (%)</t>
  </si>
  <si>
    <t>13º (décimo terceiro) Salário</t>
  </si>
  <si>
    <t>Nota 1: Como a planilha de custos e formação de preços é calculada mensalmente, provisiona-se proporcionalmente 1/11 (um onze avos) dos valores referentes a gratificação natalina, férias e adicional de férias. (Redação dada pela Instrução Normativa CJF nº 1, de 2016)</t>
  </si>
  <si>
    <t>Nota 2: O adicional de férias contido no Submódulo 2.1 corresponde a 1/3 (um terço) da remuneração que por sua vez é divido por 11 (onze) conforme Nota 1 acima.</t>
  </si>
  <si>
    <t>Nota 3: Levando em consideração a vigência contratual a rubrica férias tem como objetivo principal suprir a necessidade do pagamento das férias remuneradas ao final do contrato de 12 meses.</t>
  </si>
  <si>
    <t>Submódulo 2.2 - Encargos Previdenciários (GPS), Fundo de Garantia por Tempo de Serviço (FGTS) e outras contribuições.</t>
  </si>
  <si>
    <t>2.2</t>
  </si>
  <si>
    <t>GPS, FGTS e outras contribuições</t>
  </si>
  <si>
    <t>INSS</t>
  </si>
  <si>
    <t>Salário Educação</t>
  </si>
  <si>
    <t>RATAjustado (RAT x FAP)</t>
  </si>
  <si>
    <t>SESC ou SESI</t>
  </si>
  <si>
    <t>SENAI - SENAC</t>
  </si>
  <si>
    <t>SEBRAE</t>
  </si>
  <si>
    <t>G</t>
  </si>
  <si>
    <t>INCRA</t>
  </si>
  <si>
    <t>H</t>
  </si>
  <si>
    <t>FGTS</t>
  </si>
  <si>
    <t>SECONCI</t>
  </si>
  <si>
    <t>Nota 1: O percentual do INSS poderá sofrer alteração de acordo com a "Desoneração da Folha de Pagamento" (Lei 12.546/2011).</t>
  </si>
  <si>
    <t>Nota 2: Os percentuais dos encargos previdenciários, do FGTS e demais contribuições são aqueles estabelecidos pela legislação vigente.</t>
  </si>
  <si>
    <t>Nota 3: O RAT a depender do grau de risco do serviço irá variar entre 1%, para risco leve, de 2%, para risco médio, e de 3% de risco grave. Deverá ser ajustado ao fator acidentário previdenciário (FAP).</t>
  </si>
  <si>
    <t>Nota 4: Esses percentuais incidem sobre o Módulo 1, o Submódulo 2.1.</t>
  </si>
  <si>
    <t>Nota 5: Os percentuais do Submódulo 2.2 já incidem sobre remuneração, 13º salário, férias e adicional de férias.</t>
  </si>
  <si>
    <t>Submódulo 2.3 - Benefícios Mensais e Diários.</t>
  </si>
  <si>
    <t>2.3</t>
  </si>
  <si>
    <t>Benefícios Mensais e Diários</t>
  </si>
  <si>
    <t>Dias úteis</t>
  </si>
  <si>
    <t>Transporte (2 de 3,80 + 2 de 5,50) isento de desconto conforme CCT</t>
  </si>
  <si>
    <t>Assistência Odontológica</t>
  </si>
  <si>
    <t>Assistência Funeral</t>
  </si>
  <si>
    <t>Nota 1: O valor informado deverá ser o custo real do benefício (descontado o valor eventualmente pago pelo empregado).</t>
  </si>
  <si>
    <t>Nota 2: Observar a previsão dos benefícios contidos em Acordos, Convenções e Dissídios Coletivos de Trabalho..</t>
  </si>
  <si>
    <t>Quadro-Resumo do Módulo 2 - Encargos e Benefícios anuais, mensais e diários</t>
  </si>
  <si>
    <t>Encargos e Benefícios Anuais, Mensais e Diários</t>
  </si>
  <si>
    <t>Módulo 3 - Provisão para Rescisão</t>
  </si>
  <si>
    <t>Provisão para Rescisão</t>
  </si>
  <si>
    <t>Aviso Prévio Indenizado</t>
  </si>
  <si>
    <t>Incidência do FGTS sobre o Aviso Prévio Indenizado</t>
  </si>
  <si>
    <t>Multa do FGTS e contribuição social sobre o Aviso Prévio Indenizado</t>
  </si>
  <si>
    <t>Aviso Prévio Trabalhado</t>
  </si>
  <si>
    <t>Incidência de GPS, FGTS e outras contribuições sobre o Aviso Prévio Trabalhado</t>
  </si>
  <si>
    <t>Multa do FGTS e contribuição social sobre o Aviso Prévio Trabalhado</t>
  </si>
  <si>
    <t>Multa do FGTS</t>
  </si>
  <si>
    <t>Nota 1: O percentual de 1,94% indicado no Aviso Prévio Trabalhado torna-se custo não renovável decorridos 12 meses.</t>
  </si>
  <si>
    <t>Nota 2: Os percentuais do Módulo 3 já incidem sobre remuneração, 13º salário, férias e adicional de férias.</t>
  </si>
  <si>
    <t>Módulo 4 - Custo de Reposição do Profissional Ausente</t>
  </si>
  <si>
    <t>Nota 1: Os itens que contemplam o módulo 4 se referem ao custo dos dias trabalhados pelo repositor/substituto, quando o empregado alocado na prestação de serviço estiver ausente, conforme as previsões estabelecidas na legislação.</t>
  </si>
  <si>
    <t>Submódulo 4.1 - Substituto nas Ausências Legais</t>
  </si>
  <si>
    <t>4.1</t>
  </si>
  <si>
    <t>Substituto nas Ausências Legais</t>
  </si>
  <si>
    <t>Substituto na cobertura de Férias</t>
  </si>
  <si>
    <t>Substituto na cobertura de Ausências Legais</t>
  </si>
  <si>
    <t>Substituto na cobertura de Licença-Paternidade</t>
  </si>
  <si>
    <t>Substituto na cobertura de Ausência por acidente de trabalho</t>
  </si>
  <si>
    <t>Substituto na cobertura de Afastamento Maternidade</t>
  </si>
  <si>
    <t>Substituto na cobertura de outras ausências (licença por doença)</t>
  </si>
  <si>
    <t>Nota 1: Os percentuais do Submódulo 4.1 já incidem sobre remuneração, 13º salário, férias e adicional de férias.</t>
  </si>
  <si>
    <t>Submódulo 4.2 - Substituto na Intrajornada</t>
  </si>
  <si>
    <t>4.2</t>
  </si>
  <si>
    <t>Substituto na Intrajornada </t>
  </si>
  <si>
    <t>Substituto na cobertura de Intervalo para repouso ou alimentação</t>
  </si>
  <si>
    <t>Quadro-Resumo do Módulo 4 - Custo de Reposição do Profissional Ausente</t>
  </si>
  <si>
    <t>Custo de Reposição do Profissional Ausente</t>
  </si>
  <si>
    <t>Substituto na Intrajornada</t>
  </si>
  <si>
    <t>Módulo 5 - Insumos Diversos</t>
  </si>
  <si>
    <t>Insumos Diversos</t>
  </si>
  <si>
    <t>Uniformes</t>
  </si>
  <si>
    <t>Materiais (EPIs + Ferramental)</t>
  </si>
  <si>
    <t>Equipamentos</t>
  </si>
  <si>
    <t>Nota: Valores mensais por empregado.</t>
  </si>
  <si>
    <t>Módulo 6 - Custos Indiretos, Tributos e Lucro</t>
  </si>
  <si>
    <t>Regime de tributação:</t>
  </si>
  <si>
    <t>Custos Indiretos, Tributos e Lucro</t>
  </si>
  <si>
    <t>Custos Indiretos</t>
  </si>
  <si>
    <t>Lucro</t>
  </si>
  <si>
    <t>Tributos (C.1 + C.2 + C.3 + D)</t>
  </si>
  <si>
    <t xml:space="preserve">C.1. </t>
  </si>
  <si>
    <t>Tributos Federais (PIS)</t>
  </si>
  <si>
    <t>C.2.</t>
  </si>
  <si>
    <t>Tributos Federais (COFINS)</t>
  </si>
  <si>
    <t>C.3.</t>
  </si>
  <si>
    <t>Tributos Estaduais/Municipais (ISS)</t>
  </si>
  <si>
    <t>Contribuição Previdenciária sobre a Receita Bruta - CPRB</t>
  </si>
  <si>
    <t>Nota 1: Custos Indiretos, Tributos e Lucro por empregado.</t>
  </si>
  <si>
    <t>Nota 2: A empresa que indicar "desoneração" do Submódulo 2.2 deverá incluir uma rubrica para tributação da Contribuição Previdenciária sobre a Receita Bruta - CPRB.</t>
  </si>
  <si>
    <t>QUADRO-RESUMO DO CUSTO POR EMPREGADO</t>
  </si>
  <si>
    <t>Mão de obra vinculada à execução contratual (valor por empregado)</t>
  </si>
  <si>
    <t>Valor(R$)</t>
  </si>
  <si>
    <t>Subtotal (A + B +C+ D+E)</t>
  </si>
  <si>
    <t>Valor Total por Empregado/posto</t>
  </si>
  <si>
    <t>BOMBEIRO HIDRÁULICO DIURNO 12X36hs</t>
  </si>
  <si>
    <t>ELETRICISTA 44HS</t>
  </si>
  <si>
    <t>Adicional de Periculosidade (30% do salário base)</t>
  </si>
  <si>
    <t>Adicional de Insalubridade</t>
  </si>
  <si>
    <t>Adicional Noturno (20%)</t>
  </si>
  <si>
    <t>Valor Total por Empregado/Posto</t>
  </si>
  <si>
    <t>ELETRICISTA DIURNO 12X36hs</t>
  </si>
  <si>
    <t>ELETRICISTA NOTURNO 12X36hs</t>
  </si>
  <si>
    <t>ENCARREGADO DE MANUTENÇÃO (44H)</t>
  </si>
  <si>
    <t xml:space="preserve">Adicional de Periculosidade </t>
  </si>
  <si>
    <t>Nota 3: Levando em consideração a vigência contratual prevista, a rubrica férias tem como objetivo principal suprir a necessidade do pagamento das férias remuneradas ao final do contrato de 12 meses.</t>
  </si>
  <si>
    <t>ESTOQUISTA FERRAMENTEIRO (44H)</t>
  </si>
  <si>
    <t>JARDINEIRO (44H)</t>
  </si>
  <si>
    <t>LAVADOR (44H)</t>
  </si>
  <si>
    <t>MARCENEIRO (44H)</t>
  </si>
  <si>
    <t>PEDREIRO (44H)</t>
  </si>
  <si>
    <t>PINTOR GESSEIRO (44H)</t>
  </si>
  <si>
    <t>SERRALHEIRO (44H)</t>
  </si>
  <si>
    <t>ENGENHEIRO (44H)</t>
  </si>
  <si>
    <t>Auxílio Creche (empregadas mãe)</t>
  </si>
  <si>
    <t>TÉCNICO EM TELEFONIA/CABISTA (44H)</t>
  </si>
  <si>
    <t>Nota 3: Levando em consideração a vigência contratual prevista no art. 57 da Lei nº 8.666, de 23 de junho de 1993, a rubrica férias tem como objetivo principal suprir a necessidade do pagamento das férias remuneradas ao final do contrato de 12 meses.</t>
  </si>
  <si>
    <t>OFICIAL MECANICO REFRIGERAÇÃO (44H)</t>
  </si>
  <si>
    <t>Adicional de Periculosidade (30% sobre o salário base)</t>
  </si>
  <si>
    <t>Nota 1: Como a planilha de custos e formação de preços é calculada mensalmente, provisiona-se proporcionalmente 1/11 (um onze avos) dos valores referentes a gratificação natalina, férias e adicional de férias. (Redação dada pela Instrução Normativa CJF nº 1, de 2013)</t>
  </si>
  <si>
    <t>Materiais (EPIs + Ferramentas)</t>
  </si>
  <si>
    <t>Valor Total por Empregado  / Posto</t>
  </si>
  <si>
    <t>AJUDANTE DE MANUTENÇÃO E REPAROS</t>
  </si>
  <si>
    <t>TÉCNICO EM EDIFICAÇÕES</t>
  </si>
  <si>
    <t>UNIFORMES</t>
  </si>
  <si>
    <t>POSTO: ENCARREGADO DE MANUTENÇÃO</t>
  </si>
  <si>
    <t>Tipo de Uniforme</t>
  </si>
  <si>
    <t>Valor Unitário</t>
  </si>
  <si>
    <t xml:space="preserve"> Valor Total
Semestre</t>
  </si>
  <si>
    <t>Valor Anual</t>
  </si>
  <si>
    <t>CALÇA – Jeans azul. Confeccionada em tecido algodão poliéster, tipo brim, padrão ou similar.</t>
  </si>
  <si>
    <t>CAMISA - algodão – tipo gola polo com 02 (dois) botões, manga curta, bolso lado esquerdo, na cor branca.</t>
  </si>
  <si>
    <t>CAMISA – algodão – tipo gola polo com 02 (dois) botões, manga longa, bolso lado esquerdo, na cor branca.</t>
  </si>
  <si>
    <t>PAR DE BOTINA - Calçado de segurança, confeccionado em couro vacum curtido ao cromo, no modelo em elástico, com palmilha de montagem em couro no sistema strobel, solado poliuretano monodensidade e bidensidade injetado diretamente no cabedal e baqueado. Referência: Botina de segurança Dynatus ou similar.</t>
  </si>
  <si>
    <t>PARES DE MEIAS – algodão, preta.</t>
  </si>
  <si>
    <t>BONÉ ÁRABE – Com aba longa para proteger contra ação do sol sobre pescoço, cabeça e ombro.</t>
  </si>
  <si>
    <t>Valores estimados no contrato da Real JG</t>
  </si>
  <si>
    <t>BLAZER/CALÇA –  em tecido de micro-fibra, externo e interno poliéster na cor preta, sendo o paletó forrado internamente, inclusive manga em tecido tipo cetim, e calça social com dois bolsos na frente tipo faca e dois bolsos traseiros</t>
  </si>
  <si>
    <t>CAMISA SOCIAL –  em tecido, gola com intertela, 100% algodão na cor branca</t>
  </si>
  <si>
    <t>GRAVATA –  em tecido poliéster, na cor preta</t>
  </si>
  <si>
    <t>CINTO SOCIAL –  em couro legítimo cor preta</t>
  </si>
  <si>
    <t>PARES DE SAPATOS –  Modelo social, em pelica, cor preta, provida de palmilha acolchoada, com salto em borracha e solado em couro com proteção antiderrapante</t>
  </si>
  <si>
    <t>Total anual</t>
  </si>
  <si>
    <t>Total mensal</t>
  </si>
  <si>
    <t>POSTO: AJUDANTE, BOMBEIRO HIDRÁULICO, ELETRICISTA, ESTOQUISTA, JARDINEIRO, MARCENEIRO, OFICIAL MECÂNICO, PEDREIRO, PINTOR/GESSEIRO, SERRALHEIRO, TÉCNICO TELEFONIA/CABISTA</t>
  </si>
  <si>
    <t>Valores estimados no atual T.A da Saga Serviços</t>
  </si>
  <si>
    <t>JALECO LONGO - Confeccionado em tecido algodão poliéster.</t>
  </si>
  <si>
    <t>CAMISA - algodão – tipo gola polo com 02 (dois) botões, manga curta, bolso lado esquerdo, na cor azul (marinho).</t>
  </si>
  <si>
    <t>CAMISA –  algodão – tipo gola polo com 02 (dois) botões, manga longa, bolso lado esquerdo, na cor azul (marinho)</t>
  </si>
  <si>
    <t>POSTO: LAVADOR</t>
  </si>
  <si>
    <t>CALÇA - Jeans azul. Confeccionada em tecido algodão poliéster, tipo brim, padrão ou similar.</t>
  </si>
  <si>
    <t>CAMISA -  algodão – tipo gola polo com 02 (dois) botões, manga curta, bolso lado esquerdo, na cor azul (marinho).</t>
  </si>
  <si>
    <t>CAMISA – algodão – tipo gola polo com 02 (dois) botões, manga longa, bolso lado esquerdo, na cor azul (marinho)</t>
  </si>
  <si>
    <t>BOTA - Bota de borracha cano longo vulcanizada e com solado antiderrapante, ideais para utilização na construção civil, postos de combustíveis, locais úmidos, lamacentos e encharcados.</t>
  </si>
  <si>
    <t xml:space="preserve">Total </t>
  </si>
  <si>
    <t>EPIS</t>
  </si>
  <si>
    <t xml:space="preserve">Orçamento - internet </t>
  </si>
  <si>
    <t>EPIs COMUNS PARA TODOS OS POSTOS</t>
  </si>
  <si>
    <t>Tipo de EPI</t>
  </si>
  <si>
    <t>Óculos de segurança transparente contra impacto e antirriscos, com lente única em policarbonato que possibilitam uma excelente cobertura frontal e lateral aos olhos do usuário</t>
  </si>
  <si>
    <t>Capacete de segurança aba frontal, com suspensão de polietileno sem jugular</t>
  </si>
  <si>
    <t>EPIs ELÉTRICA</t>
  </si>
  <si>
    <t>Par de calçado de segurança para eletricista. Marca de referência: Fujiwara, Marluvas ou equivalente</t>
  </si>
  <si>
    <t>Par de luvas de cobertura em vaqueta, para proteger a luva de segurança de baixa tensão. Marca de referência: SIG, Orion ou equivalente</t>
  </si>
  <si>
    <t>Par de luvas de segurança para baixa tensão, 500V e pico 2500V, classe 00</t>
  </si>
  <si>
    <t>Par de luvas para proteção tricotada em nylon, recoberta na palma em poliuretano, punho em elástico. Marca de referência: Danny flex DA-12.200C ou equivalente</t>
  </si>
  <si>
    <t>EPIs HIDRÁULICA</t>
  </si>
  <si>
    <t>Par de luvas de látex, espessura mínima 0,62mm. Marca de referência Mucambo, Promat ou equivalente</t>
  </si>
  <si>
    <t>Par de luvas de PVC cano longo, 60cm, áspera. Marca de referência Indacol, Promat ou equivalente</t>
  </si>
  <si>
    <t xml:space="preserve">Protetor facial em policarbonato incolor de 24cm de largura por 40cm de altura. </t>
  </si>
  <si>
    <t>Respirador descartável de meia peça facial, com nível de proteção PFF2 sem válvula</t>
  </si>
  <si>
    <t>Macacão de saneamento completo com capuz (macacão de segurança, confeccionado em tela de poliéster revestida de PVC em ambas as faces KP400, capuz com cordão para ajuste, mangas compridas, fechamento frontal através de ziper de plástico e velcro, costuras através de solda eletrônica</t>
  </si>
  <si>
    <t>Par de botas de PVC pretas, cano médio, sem forro</t>
  </si>
  <si>
    <t>Par de botinas de segurança sem biqueira, com elástico</t>
  </si>
  <si>
    <t>Avental impermeável 1,20x0,70m</t>
  </si>
  <si>
    <t>EPIs AR CONDICIONADO - OFICIAL MECÂNICO</t>
  </si>
  <si>
    <t>Par de luvas de segurança com palma pigmentada</t>
  </si>
  <si>
    <t>Par de luvas para solda</t>
  </si>
  <si>
    <t>Par de luvas de segurança para baixa tensão, CA: 500V / CC: 750V. Marca de referência: SIG, Orion ou equivalente</t>
  </si>
  <si>
    <t>Talabarte de segurança, 2 mosquetões travam dupla *53* mm de abertura, com absorvedor de energia</t>
  </si>
  <si>
    <t>Trava quedas em aço para corda de 12mm, extensor de 25 x 300mm, com mosquetão tipo gancho trava dupla</t>
  </si>
  <si>
    <t>Cinturão de segurança tipo paraquedista, fivela em aço, ajuste no suspensório, cintura e pernas</t>
  </si>
  <si>
    <t>EPIs MARCENARIA</t>
  </si>
  <si>
    <t>Par de luvas em neoprene com 3 dedos vazados. Marca de referência: Irwin ou equivalente</t>
  </si>
  <si>
    <t>Par de luvas de couro com palma em vaqueta, punho 20 cm</t>
  </si>
  <si>
    <t>Avental de segurança confeccionado em raspa de couro sem emenda e sem costura - tamanho único</t>
  </si>
  <si>
    <t>Máscara com carvão ativado. Marca de referência 3M modelo 8713 ou equivalente</t>
  </si>
  <si>
    <t>Protetor auricular de inserção, tipo plug, em silicone, com atenuação de no mínimo 18 (dezoito) decibéis</t>
  </si>
  <si>
    <t>Protetor auditivo tipo concha, atenuação 21 dB</t>
  </si>
  <si>
    <t>EPIs AJUDANTE APOIO GERAL</t>
  </si>
  <si>
    <t>EPIs LAVADOR</t>
  </si>
  <si>
    <t>Par de luvas de Látex antiderrapante, forro C/PO, punho médio, proteção química</t>
  </si>
  <si>
    <t>EPIs JARDINEIRO</t>
  </si>
  <si>
    <t>Protetor facial de tela com ajuste</t>
  </si>
  <si>
    <t>Par de perneira em PVC, proteção contra animais peçonhentos, fechamento em velcro</t>
  </si>
  <si>
    <t>Avental para jardinagem, confeccionado em algodão, com dois bolsos</t>
  </si>
  <si>
    <t>Par de luvas multitato confeccionada em algodão, punho com elástico</t>
  </si>
  <si>
    <t>EPIs PEDREIRO</t>
  </si>
  <si>
    <t>EPIs SERRALHEIRO</t>
  </si>
  <si>
    <t>Valor Total</t>
  </si>
  <si>
    <t>Respirador semi facial para 01 filtro</t>
  </si>
  <si>
    <t>Máscara de Solda com escurecimento automático e regulagem</t>
  </si>
  <si>
    <r>
      <t>FERRAMENTAL (LISTA</t>
    </r>
    <r>
      <rPr>
        <b/>
        <sz val="10"/>
        <color rgb="FFFF0000"/>
        <rFont val="Calibri "/>
      </rPr>
      <t xml:space="preserve"> NÃO </t>
    </r>
    <r>
      <rPr>
        <b/>
        <sz val="10"/>
        <color theme="0"/>
        <rFont val="Calibri "/>
      </rPr>
      <t>EXAUSTIVA)</t>
    </r>
  </si>
  <si>
    <t>IN RFB Nº 1700/2017  
Anexo III Capítulo 82</t>
  </si>
  <si>
    <t>Unid.</t>
  </si>
  <si>
    <t>Quant.</t>
  </si>
  <si>
    <t>Valor 
Unitário</t>
  </si>
  <si>
    <t>Vida útil (anos)</t>
  </si>
  <si>
    <t>Taxa Anual de depreciação</t>
  </si>
  <si>
    <t>Alavanca 1" x 1,80m</t>
  </si>
  <si>
    <t>und</t>
  </si>
  <si>
    <t xml:space="preserve">Alicate amperimetro digital para 1000A                          -    </t>
  </si>
  <si>
    <t xml:space="preserve">Alicate chato com cabo isolado 6" </t>
  </si>
  <si>
    <t>Alicate Coaxial - RG 58/59/62/72</t>
  </si>
  <si>
    <t xml:space="preserve">Alicate Crimpar RJ45 Cat5 Cat6 tipo AMP </t>
  </si>
  <si>
    <t>Alicate de bico aço cromado cabo isolado p/ 1000 v.</t>
  </si>
  <si>
    <t xml:space="preserve">Alicate de bico fino com prot. P/1000v 6" </t>
  </si>
  <si>
    <t>Alicate de corte diagonal  aço cromado cabo isolado 6" p/ 1000 v</t>
  </si>
  <si>
    <t>Alicate de prensa  terminais (mc3,mc4)</t>
  </si>
  <si>
    <t>Alicate de pressão 10"</t>
  </si>
  <si>
    <t>Alicate de Pressão 12"</t>
  </si>
  <si>
    <t>Alicate desencapador (2,5 a 6mm²)</t>
  </si>
  <si>
    <t>Alicate para crimpar cabo coaxial</t>
  </si>
  <si>
    <t xml:space="preserve">Alicate prensa terminais com catraca até 6mm² </t>
  </si>
  <si>
    <t>Alicate universal  8”  profissional  aço  cromado cabo isolado.</t>
  </si>
  <si>
    <t xml:space="preserve">Alicate universal com proteção p/1000v 8" </t>
  </si>
  <si>
    <t>Aparador de grama 1800W</t>
  </si>
  <si>
    <t>Arco de serra regulável 10 a 12"</t>
  </si>
  <si>
    <t>Cavadeira articulada 180cm</t>
  </si>
  <si>
    <t xml:space="preserve">Chave de Corrente Cap. 4" </t>
  </si>
  <si>
    <t>Chave de fenda ¼ x5”</t>
  </si>
  <si>
    <t>Chave de fenda ¼ x6”</t>
  </si>
  <si>
    <t xml:space="preserve">Chave de Fenda 12" </t>
  </si>
  <si>
    <t>Chave de fenda 1x8 x5”</t>
  </si>
  <si>
    <t xml:space="preserve">Chave de fenda 5/16x10 </t>
  </si>
  <si>
    <t xml:space="preserve">Chave de fenda de 1/4 x 4" </t>
  </si>
  <si>
    <t xml:space="preserve">Chave de fenda de 1/4" x 6" </t>
  </si>
  <si>
    <t xml:space="preserve">Chave de fenda de 1/4" x 8" </t>
  </si>
  <si>
    <t xml:space="preserve">Chave de fenda de 1/4x5" </t>
  </si>
  <si>
    <t xml:space="preserve">Chave de fenda de 1/8 x 5" </t>
  </si>
  <si>
    <t xml:space="preserve">Chave de fenda de 3/16 x 5" </t>
  </si>
  <si>
    <t xml:space="preserve">Chave de fenda de 3/16" x 6" </t>
  </si>
  <si>
    <t xml:space="preserve">Chave de fenda de 5/16 x 10" </t>
  </si>
  <si>
    <t>Chave de fenda philips  1/4 x 4”</t>
  </si>
  <si>
    <t>Chave de fenda philips  1x8 x3”</t>
  </si>
  <si>
    <t>Chave de fenda philips  3/16 x 4”</t>
  </si>
  <si>
    <t>Chave de fenda philips  3/16 x3”</t>
  </si>
  <si>
    <t xml:space="preserve">Chave de grifo de 18" </t>
  </si>
  <si>
    <t>Chave de teste digital com display.</t>
  </si>
  <si>
    <t>Chave inglesa 6"</t>
  </si>
  <si>
    <t>Chave inglesa 8"</t>
  </si>
  <si>
    <t>Chave philips 1/4x4”</t>
  </si>
  <si>
    <t>Chave philips 1/4x6”</t>
  </si>
  <si>
    <t>Chave phillips  3/16x6”</t>
  </si>
  <si>
    <t xml:space="preserve">Chave phillips 1/8" x 2" </t>
  </si>
  <si>
    <t xml:space="preserve">Chave phillips 3/16" x 3" </t>
  </si>
  <si>
    <t xml:space="preserve">Chave phillips 3/16" x 4" </t>
  </si>
  <si>
    <t>Chave phillips 3/16x 5”</t>
  </si>
  <si>
    <t xml:space="preserve">Chave phillips 3/16x5" </t>
  </si>
  <si>
    <t xml:space="preserve">Chave phillips 5/16x10" </t>
  </si>
  <si>
    <t xml:space="preserve">Chave phillips cotoco 1/4" x 1.1/2" </t>
  </si>
  <si>
    <t>Chave phillips de 1/4 x 5"</t>
  </si>
  <si>
    <t xml:space="preserve">Chave phillips de 1/8 x 5" </t>
  </si>
  <si>
    <t>Colher para pedreiro 8"</t>
  </si>
  <si>
    <t>Corta tubos comprimento de 3-32mm</t>
  </si>
  <si>
    <t>Desempenadeira de Aço Inox 12x30cm</t>
  </si>
  <si>
    <t>Desempenadeira plastica lisa 18x30cm</t>
  </si>
  <si>
    <t>Enxada larga 2.5 com cabo de madeira com 145cm</t>
  </si>
  <si>
    <t>Escada de aluminio extensível 7 degraus</t>
  </si>
  <si>
    <t>Escada de aluminio, 5 degraus, dobrável, degraus antiderrapantes</t>
  </si>
  <si>
    <t xml:space="preserve">Esmeril Bancada 360W 6" 1/2cv </t>
  </si>
  <si>
    <t xml:space="preserve">Esmerilhadeira Industrial 9" 6500 RPM BOSCH </t>
  </si>
  <si>
    <t>Espátula Plástica 150x80mm</t>
  </si>
  <si>
    <t>Espátulas em Inox cabo de madeira 10 cm</t>
  </si>
  <si>
    <t>Espátulas em Inox cabo de madeira 12cm</t>
  </si>
  <si>
    <t>Esquadro aço carbono 30 cm</t>
  </si>
  <si>
    <t>Estilete Emborrachado Profissional 18mm</t>
  </si>
  <si>
    <t xml:space="preserve">Ferramenta de Inserção Patch Panel </t>
  </si>
  <si>
    <t>Ferro de solda 100 W 2</t>
  </si>
  <si>
    <t>Ferro de solda 60W</t>
  </si>
  <si>
    <t>Flangeadores Capacidade de 1/8 à 3/4</t>
  </si>
  <si>
    <t>Forcado para cascalho, 10 dentes, cabo de madeira 74cm</t>
  </si>
  <si>
    <t>Furadeira impacto a Bateria 20V com carregador Ref: Dewalt</t>
  </si>
  <si>
    <t>Furadeira impacto a cabo 750w variável e reversível</t>
  </si>
  <si>
    <t>Identificador de Cabo Ref: MTC-183 Minipa</t>
  </si>
  <si>
    <t>Jodo de Chave canhão de 6 a 22 mm cano longo</t>
  </si>
  <si>
    <t>Jogo Bits para parafusadeira 25pçs Ref: Bosch</t>
  </si>
  <si>
    <t>Jogo chave allen  13 peças Ref: Irwin</t>
  </si>
  <si>
    <t>Jogo chave cotoco fenda 3.16" x 1.1/2" e 1.4" x 1.1/2" e
phillips: 3.16" x 1.1/2" e 1/4" x 1.1/2"</t>
  </si>
  <si>
    <t>Jogo chave de estria de 1/4 a 1.1/4"</t>
  </si>
  <si>
    <t>Jogo chave Grifo completo 08-10-12-14-18"</t>
  </si>
  <si>
    <t>Jogo de brocas aço rápido 1 a 13mm</t>
  </si>
  <si>
    <t>Jogo de brocas chata para madeira 6 peças de 3/8-1/2-5/8-3/4-7/8-1"</t>
  </si>
  <si>
    <t>Jogo de brocas para concreto 3 a 10mm</t>
  </si>
  <si>
    <t>Jogo de brocas para madeira 3 a 10mm</t>
  </si>
  <si>
    <t>Jogo de calibres de folgas de 0.05 - 1.00 mm 20 lâminas</t>
  </si>
  <si>
    <t xml:space="preserve">Jogo de chave allen  de 1/8" à 1/2' </t>
  </si>
  <si>
    <t xml:space="preserve">Jogo de chave Boca completo 1/4" a 1.1/4" </t>
  </si>
  <si>
    <t>Jogo de Chave canhão (6 a 14)</t>
  </si>
  <si>
    <t>Jogo de Chave combinada 6 a 22mm</t>
  </si>
  <si>
    <t xml:space="preserve">Jogo de Chave TORX com 12 Peças </t>
  </si>
  <si>
    <t>Jogo de lima  bastarda 8"</t>
  </si>
  <si>
    <t xml:space="preserve">Jogo de saca pino paraleo 6 peças </t>
  </si>
  <si>
    <t>Jogo de serra copo bi metálicas 15 peças  16-19-22-25-32-35-38-44-51-57-64-76mm</t>
  </si>
  <si>
    <t>Jogo de serra copo para gesso, madeira e PVC 15 peças 3-2.1/2-2.1/4-2-
1.3/4-1.1/2-1.3/8-1.1/4-1.1/8-1-7/8-3/4</t>
  </si>
  <si>
    <t xml:space="preserve">Jogo de Tarracha de 1/2" à 2" 6 peças </t>
  </si>
  <si>
    <t>Jogo de trinchas cerda mista com 6 unidades - 1/2"-3/4"-1"-2"-2.1/2-3"</t>
  </si>
  <si>
    <t>Jogo de vazador completo 12 peças Ref: Rocast</t>
  </si>
  <si>
    <t>Jogo formão 4 peças aço cromo de 1/4-1/2-23/22-15/16"</t>
  </si>
  <si>
    <t>Jogo soquete e Chave catraca (jogo completo)</t>
  </si>
  <si>
    <t>Kit saca polias, 3 garras, 100-150-200-250mm</t>
  </si>
  <si>
    <t>Lanternas tática LED</t>
  </si>
  <si>
    <t>Lima redonda 12" cabo emborrachado</t>
  </si>
  <si>
    <t>Lixadeira angular 7"</t>
  </si>
  <si>
    <t xml:space="preserve">Maçarico para Impermeabilização </t>
  </si>
  <si>
    <t>Marreta de 3Kg cabo de madeira</t>
  </si>
  <si>
    <t>Marreta de 5Kg cabo de madeira</t>
  </si>
  <si>
    <t>Marreta de borracha 800g cabo de madeira</t>
  </si>
  <si>
    <t>Martelo bola 200g</t>
  </si>
  <si>
    <t>Martelo de unha 18mm</t>
  </si>
  <si>
    <t>Martelo de unha 25mm</t>
  </si>
  <si>
    <t xml:space="preserve">Morsa/torno de bancada 6" </t>
  </si>
  <si>
    <t>Multímetro digital com teste de continuidade</t>
  </si>
  <si>
    <t>Nivel bolha de mão em alumínio 30cm</t>
  </si>
  <si>
    <t>Pá de bico com cabo de madeira 120cm</t>
  </si>
  <si>
    <t>Pá de bico pequena com cabo de madeira 45cm</t>
  </si>
  <si>
    <t xml:space="preserve">Paquímetro 150mm DIGITAL </t>
  </si>
  <si>
    <t>Parafusadeira e furadeira com cabo de 4 metros</t>
  </si>
  <si>
    <t>Pé de Cabra aço forjado 36"x19mm</t>
  </si>
  <si>
    <t>Peneira areia, 55cm aro redondo em madeira</t>
  </si>
  <si>
    <t>Pente em alunínio para aletas e serpentinas</t>
  </si>
  <si>
    <t>Picareta estreita com cabo de madeira 90cm</t>
  </si>
  <si>
    <t>Pistola par apintura alta pressão</t>
  </si>
  <si>
    <t>Ponteiro de aço forjado de 250x19mm com protetor</t>
  </si>
  <si>
    <t xml:space="preserve">Prumo de face 1000g </t>
  </si>
  <si>
    <t xml:space="preserve">Rádio comunicador alcance de até 56 km, 22 canais </t>
  </si>
  <si>
    <t>Rebitador</t>
  </si>
  <si>
    <t>Rebitador tipo alavanca</t>
  </si>
  <si>
    <t xml:space="preserve">Régua de alumínio para pedreiro 2m </t>
  </si>
  <si>
    <t>Riscador de formica cabo de madeira</t>
  </si>
  <si>
    <t>Serrote profissional 18" cabo em madeira</t>
  </si>
  <si>
    <t>Sugador de solda</t>
  </si>
  <si>
    <t>Talhadeira 12" com protetor</t>
  </si>
  <si>
    <t xml:space="preserve">Tesoura Aviação Reta 10" </t>
  </si>
  <si>
    <t>Tesoura de poda para jardim</t>
  </si>
  <si>
    <t>Tesourão de poda extensível 46,5 a 78cm</t>
  </si>
  <si>
    <t>Trena 8m</t>
  </si>
  <si>
    <t>Trena de 10m</t>
  </si>
  <si>
    <t xml:space="preserve">Trena de 5m </t>
  </si>
  <si>
    <t xml:space="preserve">Trena longa aberta 50 metros x 10mm </t>
  </si>
  <si>
    <t>Ventosa dupla 100kg</t>
  </si>
  <si>
    <t>VALOR TOTAL</t>
  </si>
  <si>
    <t>VALOR MENSAL POR POSTO</t>
  </si>
  <si>
    <t>Nota: Valor orçado com base em preços pagos pela Administração pública em outros contratos.</t>
  </si>
  <si>
    <t>CUSTOS UNITÁRIOS SERVIÇOS ESPECIALIZADOS</t>
  </si>
  <si>
    <t>Objeto</t>
  </si>
  <si>
    <t xml:space="preserve">Unidade de medida </t>
  </si>
  <si>
    <t xml:space="preserve">Quant </t>
  </si>
  <si>
    <t xml:space="preserve"> Valor</t>
  </si>
  <si>
    <t>Unitário</t>
  </si>
  <si>
    <t>MANUTENÇÃO INTEGRAL DE ASSISTÊNCIA TÉCNICA E CONSERVAÇÃO DO GRUPO GERADOR</t>
  </si>
  <si>
    <t>mês</t>
  </si>
  <si>
    <t>Manutenção corretiva</t>
  </si>
  <si>
    <t>MANUTENÇÃO INTEGRAL E SERVIÇOS DE ASSISTÊNCIA TÉCNICA DOS ELEVADORES</t>
  </si>
  <si>
    <t>PRESTAÇÃO DE SERVIÇO DE CHAVEIRO</t>
  </si>
  <si>
    <t>3.1</t>
  </si>
  <si>
    <t>Cópia de chave simples</t>
  </si>
  <si>
    <t>3.2</t>
  </si>
  <si>
    <t>Cópia de chave de cabeça plástica para veículo</t>
  </si>
  <si>
    <t>3.3</t>
  </si>
  <si>
    <t>Abertura de fechadura</t>
  </si>
  <si>
    <t>3.4</t>
  </si>
  <si>
    <t>Troca de segredo de fechadura</t>
  </si>
  <si>
    <t>3.5</t>
  </si>
  <si>
    <t>Modelagem de fechadura</t>
  </si>
  <si>
    <t>3.6</t>
  </si>
  <si>
    <t>Conserto de fechadura</t>
  </si>
  <si>
    <t>3.7</t>
  </si>
  <si>
    <t>Mestragem de fechadura</t>
  </si>
  <si>
    <t>3.8</t>
  </si>
  <si>
    <t>Extração de chave quebrada em fechadura</t>
  </si>
  <si>
    <t>3.9</t>
  </si>
  <si>
    <t>Abertura e troca de segredo de cilindro de fechadura de veiculo</t>
  </si>
  <si>
    <t>3.10</t>
  </si>
  <si>
    <t>Abertura e troca de segredo de cofre</t>
  </si>
  <si>
    <t>Subtotal do item de serviços de Chaveiro</t>
  </si>
  <si>
    <r>
      <t>MANUTENÇÃO INTEGRAL DO SISTEMA DE UPS (</t>
    </r>
    <r>
      <rPr>
        <i/>
        <sz val="10"/>
        <color rgb="FF000000"/>
        <rFont val="Calibri "/>
      </rPr>
      <t>Uninterruptible Power Suply</t>
    </r>
    <r>
      <rPr>
        <sz val="10"/>
        <color rgb="FF000000"/>
        <rFont val="Calibri "/>
      </rPr>
      <t>)</t>
    </r>
  </si>
  <si>
    <t>MANUTENÇÃO INTEGRAL DO SISTEMA DE ALARME DE INCÊNDIO</t>
  </si>
  <si>
    <t>SUBTOTAL 1.2</t>
  </si>
  <si>
    <t>CUSTOS UNITÁRIOS MATERIAIS E PEÇAS DE REPOSIÇÃO</t>
  </si>
  <si>
    <t>Quant. (A)</t>
  </si>
  <si>
    <t>Valor B)</t>
  </si>
  <si>
    <t>BDI ( C )</t>
  </si>
  <si>
    <t>Valor Total ( D )</t>
  </si>
  <si>
    <t>Materiais e peças de reposição</t>
  </si>
  <si>
    <t>anual</t>
  </si>
  <si>
    <t>SUBTOTAL 1.3</t>
  </si>
  <si>
    <r>
      <t xml:space="preserve">1- Para formação da proposta, a proponente deverá considerar: 
Coluna” Valor  (B)” = valor anual estimado pela proponente para utilização durante os 12 
meses de contrato; 
Coluna “BDI (C)” = Porcentagem do BDI ofertado pela proponente; 
Coluna “Valor Total (D)” = A*B*(1+C). 
</t>
    </r>
    <r>
      <rPr>
        <sz val="10"/>
        <rFont val="Calibri "/>
      </rPr>
      <t xml:space="preserve">2-  O valor da linha "Subtotal 1.3" corresponde ao custo anual que deverá ser preenchido no subitem 
1.3 da Tabela 1 -  FORMAÇÃO DE PREÇOS; 
</t>
    </r>
    <r>
      <rPr>
        <sz val="10"/>
        <color theme="1"/>
        <rFont val="Calibri "/>
      </rPr>
      <t xml:space="preserve">3- Para preenchimento do “Valor Mensal” no subitem 1.3 da Tabela 1 -  FORMAÇÃO DE PREÇOS deverá ser considerado o 
equivalente a 1/12 do “Custo Anual”. </t>
    </r>
  </si>
  <si>
    <t xml:space="preserve">base estimativa  </t>
  </si>
  <si>
    <t>% desconto</t>
  </si>
  <si>
    <t>Valor ofertado pela empresa</t>
  </si>
  <si>
    <t xml:space="preserve">1-  O valor da linha "Subtotal 1.3" corresponde ao custo anual que deverá ser preenchido no subitem 1.3 da Tabela 1 </t>
  </si>
  <si>
    <t>CUSTOS UNITÁRIOS SERVIÇOS EVENTUAIS</t>
  </si>
  <si>
    <t>Valor (B)</t>
  </si>
  <si>
    <t xml:space="preserve">Serviços eventuais </t>
  </si>
  <si>
    <t>SUBTOTAL 1.4</t>
  </si>
  <si>
    <t xml:space="preserve">1- Para formação da proposta, a proponente deverá considerar: 
Coluna” Valor  (B)” = valor anual estimado pela proponente para utilização durante os 12 
meses de contrato; 
Coluna “BDI (C)” = Porcentagem do BDI ofertado pela proponente; 
Coluna “Valor Total (D)” = A*B*(1+C). 
2-  O valor da linha "Subtotal 1.4" corresponde ao custo anual que deverá ser preenchido no subitem 
1.4 da Tabela 1 -  FORMAÇÃO DE PREÇOS;
3- Para preenchimento do “Valor Mensal” no subitem 1.4 da Tabela 1 - FORMAÇÃO DE PREÇOS deverá ser considerado o equivalente a 1/12 do “Custo Anual”. </t>
  </si>
  <si>
    <t>Serviços eventuais</t>
  </si>
  <si>
    <t>1-  O valor da linha "Subtotal 1.4" corresponde ao custo anual que deverá ser preenchido no subitem 1.4 da Tabela 1.</t>
  </si>
  <si>
    <t>COMPOSIÇÃO DO BDI - TABELA NÃO-DESONERADA</t>
  </si>
  <si>
    <t>Empresas sujeitas ao regime de Incidência Cumulativa (LUCRO PRESUMIDO)</t>
  </si>
  <si>
    <t xml:space="preserve">SERVIÇOS </t>
  </si>
  <si>
    <t>MATERIAIS</t>
  </si>
  <si>
    <t>EQUIPAMENTOS</t>
  </si>
  <si>
    <t>ITEM</t>
  </si>
  <si>
    <t>DESCRIÇÃO</t>
  </si>
  <si>
    <t>%</t>
  </si>
  <si>
    <t>ADMINISTRAÇÃO CENTRAL (AC)</t>
  </si>
  <si>
    <t>TRIBUTOS (T)</t>
  </si>
  <si>
    <t>LUCRO (L)</t>
  </si>
  <si>
    <t>DESPESAS FINANCEIRAS (DF)</t>
  </si>
  <si>
    <t>01.1</t>
  </si>
  <si>
    <t>Cofins</t>
  </si>
  <si>
    <t>SEGUROS, RISCOS E GARANTIAS (SRG)</t>
  </si>
  <si>
    <t>01.2</t>
  </si>
  <si>
    <t>PIS</t>
  </si>
  <si>
    <t>03.1</t>
  </si>
  <si>
    <t>Seguro+Garantia</t>
  </si>
  <si>
    <t>01.3</t>
  </si>
  <si>
    <t>CPRB</t>
  </si>
  <si>
    <t>04.1</t>
  </si>
  <si>
    <t>03.2</t>
  </si>
  <si>
    <t>Risco</t>
  </si>
  <si>
    <t>BDI (%):</t>
  </si>
  <si>
    <t>04.2</t>
  </si>
  <si>
    <t>05.1</t>
  </si>
  <si>
    <t>05.2</t>
  </si>
  <si>
    <t>04.3</t>
  </si>
  <si>
    <t>05.3</t>
  </si>
  <si>
    <t>ISS</t>
  </si>
  <si>
    <t>05.4</t>
  </si>
  <si>
    <t>Fórmula do BDI</t>
  </si>
  <si>
    <t>MÃO-DE-OBRA E SERVIÇOS</t>
  </si>
  <si>
    <t>SERVIÇOS</t>
  </si>
  <si>
    <r>
      <t xml:space="preserve">BDI =       </t>
    </r>
    <r>
      <rPr>
        <u/>
        <sz val="10"/>
        <color theme="1"/>
        <rFont val="Calibri "/>
      </rPr>
      <t>(1 + AC + SRG) x (1 + DF) x (1 + L)</t>
    </r>
    <r>
      <rPr>
        <sz val="10"/>
        <rFont val="Calibri "/>
      </rPr>
      <t xml:space="preserve"> – 1                                  </t>
    </r>
  </si>
  <si>
    <r>
      <t xml:space="preserve">BDI =       </t>
    </r>
    <r>
      <rPr>
        <u/>
        <sz val="10"/>
        <color theme="1"/>
        <rFont val="Calibri "/>
      </rPr>
      <t>(1 + AC + SRG) x (1 + DF)</t>
    </r>
    <r>
      <rPr>
        <sz val="10"/>
        <rFont val="Calibri "/>
      </rPr>
      <t xml:space="preserve"> – 1                                  </t>
    </r>
  </si>
  <si>
    <r>
      <t xml:space="preserve">BDI =          </t>
    </r>
    <r>
      <rPr>
        <u/>
        <sz val="10"/>
        <color theme="1"/>
        <rFont val="Calibri "/>
      </rPr>
      <t xml:space="preserve">          1           </t>
    </r>
    <r>
      <rPr>
        <sz val="10"/>
        <rFont val="Calibri "/>
      </rPr>
      <t xml:space="preserve">–  1                                  </t>
    </r>
  </si>
  <si>
    <t xml:space="preserve">                                         (1 – T)</t>
  </si>
  <si>
    <t xml:space="preserve">                                  (1 – T)</t>
  </si>
  <si>
    <t xml:space="preserve">                         (1 – T)</t>
  </si>
  <si>
    <t>Em que:</t>
  </si>
  <si>
    <t>AC = Taxa de Administração Central</t>
  </si>
  <si>
    <t xml:space="preserve"> </t>
  </si>
  <si>
    <t>SRG = Taxa de Seguros + Txa de Riscos + Taxa de Garantias</t>
  </si>
  <si>
    <t>DF = Taxa de Despesas Financeiras</t>
  </si>
  <si>
    <t>L = Taxa de Lucro</t>
  </si>
  <si>
    <t>T = Taxa de Tributos ( PIS, Confins, ISS e CPRB)</t>
  </si>
  <si>
    <t xml:space="preserve">Observações:
1- Os parâmetros para taxas de BDI estão especificados no acórdão TCU 2622/2013 para CONSTRUÇÃO DE EDIFÍCIOS.
2 - Os percentuais de PIS e COFINS devem ser indicados de acordo com sua situação tributária da empresa.
3 - Caso as licitantes trabalhem no regime de desoneração da folha de pagamento, deverão ser incluído na planilha de composição do BDI o percentual de 4,50% referente a Contribuição Previdenciária sobre a Receita Bruta - CPRB.
</t>
  </si>
  <si>
    <t>Lucro real</t>
  </si>
  <si>
    <t>2 postos ou 2 empregado por posto</t>
  </si>
  <si>
    <t>VALOR TOTAL (60 meses)</t>
  </si>
  <si>
    <t>Nota 1: O valores informados deverá prever o custo real do benefício (incluir desconto referente ao custeio do empregado).</t>
  </si>
  <si>
    <t>Salário mínimo R$ 1.320,00 (Lei n. 14.663 de 28/08/2023</t>
  </si>
  <si>
    <t>SEAC-DF x SINDISERVICOS/DF</t>
  </si>
  <si>
    <t>CCT DF 000037/2023</t>
  </si>
  <si>
    <t>Auxílio Saúde (cláusula 17ª da CCT)</t>
  </si>
  <si>
    <t>Assistência Odontológica (cláusula 17ª da CCT)</t>
  </si>
  <si>
    <t>Transporte (2 de 3,80 + 2 de 5,50 - 6% do salário-base)</t>
  </si>
  <si>
    <t>Auxílio-Refeição/Alimentação (R$ 40,50 por dia)</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</si>
  <si>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das Empresas de Asseio, Conservação, Trabalhos temporários e Servicos Terceirizaveis do DF e o Sindicato dos Empregados de Empresas de Asseio, Conservacao, Trab Temporario, Prest Servicos e Serv Terceirizaveis do DF - SINDISERVICOS/DF.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</si>
  <si>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ver percentual de insalubridade</t>
  </si>
  <si>
    <t>Nota 2: Observar a previsão dos benefícios contidos em Acordos, Convenções e Dissídios Coletivos de Trabalho.</t>
  </si>
  <si>
    <t>Nota 4: O referencial para estimativa dos percentuais de Custos Indiretos e Lucro é a Nota Técnica n. 01/2013 do CJF</t>
  </si>
  <si>
    <t>Nota 3: A estimativa dos tributos (C) foi com base no Lucro real. Os tributos devem ser cotados de acordo com a forma de tribuação da empresa</t>
  </si>
  <si>
    <t>Nota 4: O referencial para estimativa dos percentuais de Custos Indiretos e Lucro é a Nota Técnica n. 01/2013 do CJF.</t>
  </si>
  <si>
    <t>Nota 3: A estimativa dos tributos (C) foi com base no Lucro real. Os tributos devem ser cotados de acordo com a forma de tribuação da empresa.</t>
  </si>
  <si>
    <t>Adicional de Insalubridade (20% sobre o valor do piso salaria - cláusula 12ª CCT - R$ 1.515,92)</t>
  </si>
  <si>
    <t>SENGE DF X SINAENCO</t>
  </si>
  <si>
    <t>CCT DF 000372/2023 de 23/06/2023</t>
  </si>
  <si>
    <t>1º/05/2023</t>
  </si>
  <si>
    <t>Piso salarial</t>
  </si>
  <si>
    <t>Auxílio-Refeição/Alimentação (R$35,00 por dia - 10% de Coparticipação)</t>
  </si>
  <si>
    <t>Auxílio saúde</t>
  </si>
  <si>
    <t>Assistência odontológica</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</si>
  <si>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dos Engenheiros do Distrito Federal - SENGE-DF e o Sindicato Nacional Empr Arquitetura e Engenharia Consultiva - SINAENCO.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</si>
  <si>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ver base para esse salario</t>
  </si>
  <si>
    <t>01/05/2023 a 30/04/2025</t>
  </si>
  <si>
    <t>,</t>
  </si>
  <si>
    <t>Seguro de vida/Assistência Funeral</t>
  </si>
  <si>
    <t>Serviços de mão de obra</t>
  </si>
  <si>
    <t>Serviços de Manutenção Especializada</t>
  </si>
  <si>
    <t>Fornecimento de materiais e peças de reposição*</t>
  </si>
  <si>
    <t>Serviços Eventuais*</t>
  </si>
  <si>
    <t xml:space="preserve"> Valor Total (60 meses)</t>
  </si>
  <si>
    <t>1- Os valores mensal, anual e total (60 meses) da linha "Subtotal 1.2" deverão ser transferidos para o subitem 1.2 da Tabela 1 
2- Os valores mensais dos subitens unitários correspondem a 1/12 (um doze avos) do valor total anual;
3- Os valores anuais dos subitens correspondem ao produto do valor unitário e do quantitativo total;</t>
  </si>
  <si>
    <t>Custo Total (60 meses)</t>
  </si>
  <si>
    <t>Qtd semestral</t>
  </si>
  <si>
    <t>Qtd
Semestral</t>
  </si>
  <si>
    <t>Qtd.
Semestral</t>
  </si>
  <si>
    <t>Contratação de empresa especializada em Engenharia para a prestação de serviços contínuos de manutenção predial preventiva, corretiva e preditiva, incluindo pequenas adaptações e reformas, por meio de postos de trabalhos, com fornecimento de ferramentas, insumos, peças, equipamentos e materiais de reposição, assim como para a realização de serviços de manutenção especializada e serviços eventuais, nos sistemas, equipamentos e instalações prediais, além de serviços auxiliares, instrumentais ou acessórios de apoio operacional a serviços de engenharia na sede do Conselho da Justiça Federal situado no SCES, Trecho III, Polo 08, Lote 09 e, do prédio da Gráfica localizado no endereço SAAN Quadra 01 Lotes 10/70, ambos em Brasília - DF</t>
  </si>
  <si>
    <t>Auxílio-Refeição/Alimentação (R$40,50 por dia)</t>
  </si>
  <si>
    <t>STICOMBE Brasília x SINDUSCON-DF</t>
  </si>
  <si>
    <t>Adicional de Férias</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</si>
  <si>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dos Trababalhadores na Insdústria da Construção e do Mobiliario de Brasília - STICOMB e o Sindicato da Industria da Construção Civil do DF - SINDUSCON-DF.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</si>
  <si>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Café da Manhã (R$ 5,75 por dia - cláusula 13ª da CCT)</t>
  </si>
  <si>
    <t>Auxílio-Refeição/Alimentação (R$ 24,25 - 9% de co-participação do empregado por dia)  cláusula 13ª da CCT</t>
  </si>
  <si>
    <t>Adicional de Insalubridade (40% sobre o valor do salário mínimo)</t>
  </si>
  <si>
    <t>CCT DF n. 000297/2023
vigência 1º/05/2023 a 30/04/2025</t>
  </si>
  <si>
    <t>13º (décimo terceiro) Salário e Adicional de Férias</t>
  </si>
  <si>
    <t>13º (décimo terceiro) Salários e Adicional de Férias</t>
  </si>
  <si>
    <t xml:space="preserve"> Adicional de Férias</t>
  </si>
  <si>
    <t>Auxílio Saúde</t>
  </si>
  <si>
    <t xml:space="preserve">SEAC DF X SINTEC DF
</t>
  </si>
  <si>
    <t>CCT 2023/2024 - DF000382/2023
vigência: 1°/05/2023 a 30/04/2024</t>
  </si>
  <si>
    <t>Auxílio-Refeição/Alimentação (R$ 40,50)  cláusula 13ª da CCT</t>
  </si>
  <si>
    <r>
      <rPr>
        <b/>
        <sz val="10"/>
        <color theme="1"/>
        <rFont val="Calibri "/>
      </rPr>
      <t>Nota</t>
    </r>
    <r>
      <rPr>
        <sz val="10"/>
        <color theme="1"/>
        <rFont val="Calibri "/>
      </rPr>
      <t xml:space="preserve">:
</t>
    </r>
    <r>
      <rPr>
        <b/>
        <sz val="10"/>
        <color theme="1"/>
        <rFont val="Calibri "/>
      </rPr>
      <t>1</t>
    </r>
    <r>
      <rPr>
        <sz val="10"/>
        <color theme="1"/>
        <rFont val="Calibri "/>
      </rPr>
      <t xml:space="preserve">. Utilizou-se, para essa categoria, a Convenção Coletiva de Trabalho firmada entre o Sindicato das Empresas de Asseio, Conservação, Trabalhos temporários e Servicos Terceirizaveis do DF - SEAC/DF e o Sindicato dos Técnicos Industriais de Nivel Medio do DF - SINTEC-DF.
</t>
    </r>
    <r>
      <rPr>
        <b/>
        <sz val="10"/>
        <color theme="1"/>
        <rFont val="Calibri "/>
      </rPr>
      <t>2</t>
    </r>
    <r>
      <rPr>
        <sz val="10"/>
        <color theme="1"/>
        <rFont val="Calibri "/>
      </rPr>
      <t xml:space="preserve">. O valor da remuneração (Módulo I - A) foi definido com base nos salários praticados em contrato vigente deste CJF, indicados pela unidade requisitante, constante no termo de ferência.
</t>
    </r>
    <r>
      <rPr>
        <b/>
        <sz val="10"/>
        <color theme="1"/>
        <rFont val="Calibri "/>
      </rPr>
      <t>3</t>
    </r>
    <r>
      <rPr>
        <sz val="10"/>
        <color theme="1"/>
        <rFont val="Calibri "/>
      </rPr>
      <t xml:space="preserve">.  Os valores desta simulação referente ao auxílio-alimentação e percentual de adicionais (periculosidade/noturno) foram incluídos com base da Convenção Coletiva da Categoria.
</t>
    </r>
    <r>
      <rPr>
        <b/>
        <sz val="10"/>
        <color theme="1"/>
        <rFont val="Calibri "/>
      </rPr>
      <t>4</t>
    </r>
    <r>
      <rPr>
        <sz val="10"/>
        <color theme="1"/>
        <rFont val="Calibri "/>
      </rPr>
      <t xml:space="preserve">. Os percentuais dos Módulo 2 - Submódulo 1 (13º salário e adicional de férias), Submódulo 2 (encargos previdenciários, FGTS e outras contribuições), Submódulo 3 (Benefícios Mensais E Diários), Módulo 3 - Provisão para rescisão e Módulo 4- Custo de Reposição do Profissional Ausente utilizados foram com base nas orientações da Planilha de Custo e Formação de Preços da IN 5/2017-MPOG e Nota Técnica n. 1/2013-CJF
</t>
    </r>
    <r>
      <rPr>
        <b/>
        <sz val="10"/>
        <color theme="1"/>
        <rFont val="Calibri "/>
      </rPr>
      <t>5</t>
    </r>
    <r>
      <rPr>
        <sz val="10"/>
        <color theme="1"/>
        <rFont val="Calibri "/>
      </rPr>
      <t xml:space="preserve">. Os percentuais dos valores do Módulo 6 – custos indiretos, lucro e tributos - foram extraídos da Nota Técnica n. 1/2013-CJF.
</t>
    </r>
  </si>
  <si>
    <t> Submódulo 2.1 - 13º (décimo terceiro) Salário e  Adicional de Férias</t>
  </si>
  <si>
    <t> Submódulo 2.1 - 13º (décimo terceiro) Salário e Adicional de Férias</t>
  </si>
  <si>
    <t xml:space="preserve">Adicional Noturno </t>
  </si>
  <si>
    <t>Adicional Noturno - 
(salário base + adic. Pericul / 220 * 20%) * (7/52,30*60)*15</t>
  </si>
  <si>
    <t>Adicional de Periculosidade (sobre salário base)</t>
  </si>
  <si>
    <t>Adicional de Insalubridade (20% sobre o valor do piso salaria - cláusula 12ª CCT - R$ 1.515,92 )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</si>
</sst>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0.00_-;\-[$R$-416]* #,##0.00_-;_-[$R$-416]* &quot;-&quot;??_-;_-@_-"/>
    <numFmt numFmtId="166" formatCode="0.0000%"/>
    <numFmt numFmtId="167" formatCode="_(&quot;R$ &quot;* #,##0.00_);_(&quot;R$ &quot;* \(#,##0.00\);_(&quot;R$ &quot;* &quot;-&quot;??_);_(@_)"/>
    <numFmt numFmtId="168" formatCode="_(* #,##0.00_);_(* \(#,##0.00\);_(* \-??_);_(@_)"/>
    <numFmt numFmtId="169" formatCode="&quot;R$&quot;\ #,##0.00"/>
    <numFmt numFmtId="170" formatCode="0.000%"/>
    <numFmt numFmtId="171" formatCode="#,##0.00;[Red]#,##0.00"/>
  </numFmts>
  <fonts count="22">
    <font>
      <sz val="11"/>
      <color theme="1"/>
      <name val="Calibri"/>
      <family val="2"/>
      <scheme val="minor"/>
    </font>
    <font>
      <sz val="11"/>
      <color theme="1"/>
      <name val="Calibri"/>
      <family val="2"/>
      <scheme val="minor"/>
    </font>
    <font>
      <sz val="10"/>
      <name val="Arial"/>
      <family val="2"/>
    </font>
    <font>
      <sz val="10"/>
      <color theme="1"/>
      <name val="Times New Roman"/>
      <family val="2"/>
    </font>
    <font>
      <sz val="11"/>
      <color indexed="8"/>
      <name val="Calibri"/>
      <family val="2"/>
    </font>
    <font>
      <sz val="10"/>
      <color theme="1"/>
      <name val="Calibri "/>
    </font>
    <font>
      <b/>
      <sz val="10"/>
      <color theme="0"/>
      <name val="Calibri "/>
    </font>
    <font>
      <b/>
      <sz val="10"/>
      <color rgb="FFFF0000"/>
      <name val="Calibri "/>
    </font>
    <font>
      <sz val="10"/>
      <name val="Calibri "/>
    </font>
    <font>
      <b/>
      <sz val="10"/>
      <color rgb="FF000000"/>
      <name val="Calibri "/>
    </font>
    <font>
      <sz val="10"/>
      <color rgb="FF000000"/>
      <name val="Calibri "/>
    </font>
    <font>
      <b/>
      <sz val="10"/>
      <name val="Calibri "/>
    </font>
    <font>
      <b/>
      <sz val="10"/>
      <color theme="1"/>
      <name val="Calibri "/>
    </font>
    <font>
      <b/>
      <u/>
      <sz val="10"/>
      <color theme="1"/>
      <name val="Calibri "/>
    </font>
    <font>
      <sz val="10"/>
      <color rgb="FFFFFFFF"/>
      <name val="Calibri "/>
    </font>
    <font>
      <u/>
      <sz val="10"/>
      <color theme="1"/>
      <name val="Calibri "/>
    </font>
    <font>
      <i/>
      <sz val="10"/>
      <color rgb="FF000000"/>
      <name val="Calibri "/>
    </font>
    <font>
      <b/>
      <sz val="10"/>
      <color indexed="8"/>
      <name val="Calibri "/>
    </font>
    <font>
      <b/>
      <sz val="10"/>
      <color theme="1"/>
      <name val="Arial"/>
      <family val="2"/>
    </font>
    <font>
      <sz val="10"/>
      <color theme="1"/>
      <name val="Arial"/>
      <family val="2"/>
    </font>
    <font>
      <sz val="12"/>
      <color theme="1"/>
      <name val="Calibri"/>
      <family val="2"/>
    </font>
    <font>
      <strike/>
      <sz val="12"/>
      <color theme="1"/>
      <name val="Calibri"/>
      <family val="2"/>
    </font>
  </fonts>
  <fills count="1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3F698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D9D9D9"/>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rgb="FFF2F2F2"/>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34998626667073579"/>
        <bgColor indexed="64"/>
      </patternFill>
    </fill>
    <fill>
      <patternFill patternType="solid">
        <fgColor rgb="FFFF00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s>
  <cellStyleXfs count="46">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0" borderId="0"/>
    <xf numFmtId="167" fontId="2" fillId="0" borderId="0" applyFill="0" applyBorder="0" applyAlignment="0" applyProtection="0"/>
    <xf numFmtId="167" fontId="2" fillId="0" borderId="0" applyFill="0" applyBorder="0" applyAlignment="0" applyProtection="0"/>
    <xf numFmtId="0" fontId="2" fillId="0" borderId="0"/>
    <xf numFmtId="9" fontId="2" fillId="0" borderId="0" applyFill="0" applyBorder="0" applyAlignment="0" applyProtection="0"/>
    <xf numFmtId="168" fontId="2" fillId="0" borderId="0" applyFill="0" applyBorder="0" applyAlignment="0" applyProtection="0"/>
    <xf numFmtId="0" fontId="3" fillId="0" borderId="0"/>
    <xf numFmtId="0" fontId="1" fillId="0" borderId="0"/>
    <xf numFmtId="167" fontId="1" fillId="0" borderId="0" applyFont="0" applyFill="0" applyBorder="0" applyAlignment="0" applyProtection="0"/>
    <xf numFmtId="0" fontId="1" fillId="0" borderId="0"/>
    <xf numFmtId="44" fontId="4" fillId="0" borderId="0" applyFont="0" applyFill="0" applyBorder="0" applyAlignment="0" applyProtection="0"/>
    <xf numFmtId="0" fontId="3" fillId="0" borderId="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cellStyleXfs>
  <cellXfs count="417">
    <xf numFmtId="0" fontId="0" fillId="0" borderId="0" xfId="0"/>
    <xf numFmtId="0" fontId="5" fillId="3" borderId="0" xfId="15" applyFont="1" applyFill="1"/>
    <xf numFmtId="0" fontId="5" fillId="0" borderId="0" xfId="0" applyFont="1"/>
    <xf numFmtId="164" fontId="5" fillId="0" borderId="0" xfId="2" applyFont="1"/>
    <xf numFmtId="0" fontId="5" fillId="0" borderId="36" xfId="0" applyFont="1" applyBorder="1" applyAlignment="1">
      <alignment horizontal="center" vertical="center"/>
    </xf>
    <xf numFmtId="164" fontId="5" fillId="17" borderId="30" xfId="2" applyFont="1" applyFill="1" applyBorder="1" applyAlignment="1">
      <alignment horizontal="center" vertical="center"/>
    </xf>
    <xf numFmtId="8" fontId="5" fillId="10" borderId="33" xfId="0" applyNumberFormat="1" applyFont="1" applyFill="1" applyBorder="1" applyAlignment="1">
      <alignment horizontal="center" vertical="center"/>
    </xf>
    <xf numFmtId="0" fontId="5" fillId="0" borderId="26" xfId="0" applyFont="1" applyBorder="1"/>
    <xf numFmtId="0" fontId="5" fillId="0" borderId="0" xfId="0" applyFont="1" applyAlignment="1">
      <alignment horizontal="center"/>
    </xf>
    <xf numFmtId="44" fontId="5" fillId="0" borderId="0" xfId="0" applyNumberFormat="1" applyFont="1" applyAlignment="1">
      <alignment horizontal="center" vertical="center"/>
    </xf>
    <xf numFmtId="10" fontId="5" fillId="10" borderId="30" xfId="3" applyNumberFormat="1" applyFont="1" applyFill="1" applyBorder="1" applyAlignment="1">
      <alignment horizontal="center" vertical="center"/>
    </xf>
    <xf numFmtId="0" fontId="5" fillId="0" borderId="0" xfId="0" applyFont="1" applyAlignment="1">
      <alignment horizontal="left"/>
    </xf>
    <xf numFmtId="0" fontId="8" fillId="0" borderId="0" xfId="0" applyFont="1" applyAlignment="1">
      <alignment vertical="center" wrapText="1"/>
    </xf>
    <xf numFmtId="0" fontId="5" fillId="0" borderId="0" xfId="0" applyFont="1" applyAlignment="1">
      <alignment vertical="center" wrapText="1"/>
    </xf>
    <xf numFmtId="0" fontId="9" fillId="11"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Border="1" applyAlignment="1">
      <alignment horizontal="center" vertical="center" wrapText="1"/>
    </xf>
    <xf numFmtId="8" fontId="10"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8" fontId="9" fillId="11" borderId="1" xfId="0" applyNumberFormat="1" applyFont="1" applyFill="1" applyBorder="1" applyAlignment="1">
      <alignment horizontal="center" vertical="center" wrapText="1"/>
    </xf>
    <xf numFmtId="0" fontId="9" fillId="0" borderId="0" xfId="0" applyFont="1" applyAlignment="1">
      <alignment horizontal="center" vertical="center" wrapText="1"/>
    </xf>
    <xf numFmtId="8" fontId="9" fillId="0" borderId="0" xfId="0" applyNumberFormat="1" applyFont="1" applyAlignment="1">
      <alignment horizontal="center" vertical="center" wrapText="1"/>
    </xf>
    <xf numFmtId="0" fontId="10" fillId="10" borderId="1" xfId="0" applyFont="1" applyFill="1" applyBorder="1" applyAlignment="1">
      <alignment horizontal="justify" vertical="center" wrapText="1"/>
    </xf>
    <xf numFmtId="0" fontId="10" fillId="10" borderId="1" xfId="0" applyFont="1" applyFill="1" applyBorder="1" applyAlignment="1">
      <alignment horizontal="center" vertical="center" wrapText="1"/>
    </xf>
    <xf numFmtId="8" fontId="10" fillId="10" borderId="1" xfId="0" applyNumberFormat="1" applyFont="1" applyFill="1" applyBorder="1" applyAlignment="1">
      <alignment horizontal="center" vertical="center" wrapText="1"/>
    </xf>
    <xf numFmtId="8" fontId="9" fillId="7"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10" borderId="1" xfId="0" applyFont="1" applyFill="1" applyBorder="1" applyAlignment="1">
      <alignment vertical="center" wrapText="1"/>
    </xf>
    <xf numFmtId="0" fontId="10" fillId="0" borderId="1" xfId="0" applyFont="1" applyBorder="1" applyAlignment="1">
      <alignment vertical="center" wrapText="1"/>
    </xf>
    <xf numFmtId="0" fontId="5" fillId="0" borderId="0" xfId="0" applyFont="1" applyAlignment="1">
      <alignment horizontal="center" vertical="center" wrapText="1"/>
    </xf>
    <xf numFmtId="44" fontId="5" fillId="0" borderId="0" xfId="14" applyFont="1" applyAlignment="1">
      <alignment vertical="center" wrapText="1"/>
    </xf>
    <xf numFmtId="167" fontId="5" fillId="0" borderId="0" xfId="14" applyNumberFormat="1" applyFont="1" applyAlignment="1">
      <alignment vertical="center" wrapText="1"/>
    </xf>
    <xf numFmtId="0" fontId="5" fillId="0" borderId="0" xfId="0" applyFont="1" applyAlignment="1">
      <alignment vertical="center"/>
    </xf>
    <xf numFmtId="0" fontId="12" fillId="2" borderId="1" xfId="0" applyFont="1" applyFill="1" applyBorder="1" applyAlignment="1">
      <alignment horizontal="center" vertical="center"/>
    </xf>
    <xf numFmtId="0" fontId="5" fillId="0" borderId="1" xfId="0" applyFont="1" applyBorder="1" applyAlignment="1">
      <alignment horizontal="center" vertical="center"/>
    </xf>
    <xf numFmtId="0" fontId="12" fillId="5" borderId="1" xfId="0" applyFont="1" applyFill="1" applyBorder="1" applyAlignment="1">
      <alignment horizontal="center" vertical="center"/>
    </xf>
    <xf numFmtId="0" fontId="12" fillId="0" borderId="1" xfId="0" applyFont="1" applyBorder="1" applyAlignment="1">
      <alignment horizontal="center" vertical="center"/>
    </xf>
    <xf numFmtId="0" fontId="5" fillId="0" borderId="1" xfId="0" applyFont="1" applyBorder="1" applyAlignment="1">
      <alignment horizontal="left" vertical="center"/>
    </xf>
    <xf numFmtId="43" fontId="12" fillId="2" borderId="1" xfId="1" applyFont="1" applyFill="1" applyBorder="1" applyAlignment="1">
      <alignment horizontal="center" vertical="center"/>
    </xf>
    <xf numFmtId="165" fontId="5" fillId="2" borderId="1" xfId="1" applyNumberFormat="1" applyFont="1" applyFill="1" applyBorder="1" applyAlignment="1">
      <alignment horizontal="center" vertical="center"/>
    </xf>
    <xf numFmtId="43" fontId="12" fillId="5" borderId="1" xfId="1" applyFont="1" applyFill="1" applyBorder="1" applyAlignment="1">
      <alignment horizontal="center" vertical="center"/>
    </xf>
    <xf numFmtId="0" fontId="12" fillId="2" borderId="1" xfId="0" applyFont="1" applyFill="1" applyBorder="1" applyAlignment="1">
      <alignment horizontal="center" vertical="center" wrapText="1"/>
    </xf>
    <xf numFmtId="0" fontId="5" fillId="0" borderId="1" xfId="0" applyFont="1" applyBorder="1" applyAlignment="1">
      <alignment vertical="center"/>
    </xf>
    <xf numFmtId="10" fontId="5" fillId="0" borderId="1" xfId="3" applyNumberFormat="1" applyFont="1" applyBorder="1" applyAlignment="1">
      <alignment vertical="center"/>
    </xf>
    <xf numFmtId="43" fontId="5" fillId="2" borderId="1" xfId="1" applyFont="1" applyFill="1" applyBorder="1" applyAlignment="1">
      <alignment vertical="center"/>
    </xf>
    <xf numFmtId="10" fontId="12" fillId="5" borderId="1" xfId="3" applyNumberFormat="1" applyFont="1" applyFill="1" applyBorder="1" applyAlignment="1">
      <alignment vertical="center"/>
    </xf>
    <xf numFmtId="43" fontId="12" fillId="5" borderId="1" xfId="1" applyFont="1" applyFill="1" applyBorder="1" applyAlignment="1">
      <alignment vertical="center"/>
    </xf>
    <xf numFmtId="0" fontId="12" fillId="11" borderId="1" xfId="0" applyFont="1" applyFill="1" applyBorder="1" applyAlignment="1">
      <alignment horizontal="center" vertical="center"/>
    </xf>
    <xf numFmtId="10" fontId="5" fillId="0" borderId="1" xfId="0" applyNumberFormat="1" applyFont="1" applyBorder="1" applyAlignment="1">
      <alignment vertical="center"/>
    </xf>
    <xf numFmtId="10" fontId="12" fillId="11" borderId="1" xfId="0" applyNumberFormat="1" applyFont="1" applyFill="1" applyBorder="1" applyAlignment="1">
      <alignment vertical="center"/>
    </xf>
    <xf numFmtId="43" fontId="12" fillId="11" borderId="1" xfId="1" applyFont="1" applyFill="1" applyBorder="1" applyAlignment="1">
      <alignment vertical="center"/>
    </xf>
    <xf numFmtId="0" fontId="5" fillId="3" borderId="1" xfId="0" applyFont="1" applyFill="1" applyBorder="1" applyAlignment="1">
      <alignment horizontal="center" vertical="center"/>
    </xf>
    <xf numFmtId="0" fontId="5" fillId="0" borderId="1" xfId="0" applyFont="1" applyBorder="1" applyAlignment="1">
      <alignment horizontal="left" vertical="center" wrapText="1"/>
    </xf>
    <xf numFmtId="166" fontId="5" fillId="0" borderId="1" xfId="0" applyNumberFormat="1" applyFont="1" applyBorder="1" applyAlignment="1">
      <alignment vertical="center"/>
    </xf>
    <xf numFmtId="10" fontId="5" fillId="0" borderId="1" xfId="0" applyNumberFormat="1" applyFont="1" applyBorder="1" applyAlignment="1">
      <alignment horizontal="right" vertical="center"/>
    </xf>
    <xf numFmtId="0" fontId="12" fillId="0" borderId="3" xfId="0" applyFont="1" applyBorder="1" applyAlignment="1">
      <alignment horizontal="center" vertical="center"/>
    </xf>
    <xf numFmtId="0" fontId="5" fillId="0" borderId="4" xfId="0" applyFont="1" applyBorder="1" applyAlignment="1">
      <alignment vertical="center" wrapText="1"/>
    </xf>
    <xf numFmtId="43" fontId="5" fillId="0" borderId="1" xfId="1" applyFont="1" applyBorder="1" applyAlignment="1">
      <alignment vertical="center"/>
    </xf>
    <xf numFmtId="0" fontId="5" fillId="2" borderId="1" xfId="0" applyFont="1" applyFill="1" applyBorder="1" applyAlignment="1">
      <alignment vertical="center"/>
    </xf>
    <xf numFmtId="8" fontId="5" fillId="2" borderId="1" xfId="1" applyNumberFormat="1" applyFont="1" applyFill="1" applyBorder="1" applyAlignment="1">
      <alignment vertical="center"/>
    </xf>
    <xf numFmtId="43" fontId="5" fillId="2" borderId="1" xfId="1" applyFont="1" applyFill="1" applyBorder="1" applyAlignment="1">
      <alignment horizontal="center" vertical="center"/>
    </xf>
    <xf numFmtId="10" fontId="12" fillId="5" borderId="1" xfId="0" applyNumberFormat="1" applyFont="1" applyFill="1" applyBorder="1" applyAlignment="1">
      <alignment vertical="center"/>
    </xf>
    <xf numFmtId="43" fontId="12" fillId="6" borderId="1" xfId="1" applyFont="1" applyFill="1" applyBorder="1" applyAlignment="1">
      <alignment vertical="center"/>
    </xf>
    <xf numFmtId="0" fontId="12" fillId="5" borderId="1" xfId="0" applyFont="1" applyFill="1" applyBorder="1" applyAlignment="1">
      <alignment horizontal="center"/>
    </xf>
    <xf numFmtId="0" fontId="12" fillId="0" borderId="1" xfId="0" applyFont="1" applyBorder="1" applyAlignment="1">
      <alignment horizontal="center"/>
    </xf>
    <xf numFmtId="165" fontId="5" fillId="2" borderId="1" xfId="1" quotePrefix="1" applyNumberFormat="1" applyFont="1" applyFill="1" applyBorder="1" applyAlignment="1">
      <alignment horizontal="center" vertical="center"/>
    </xf>
    <xf numFmtId="43" fontId="5" fillId="2" borderId="1" xfId="1" applyFont="1" applyFill="1" applyBorder="1"/>
    <xf numFmtId="43" fontId="12" fillId="5" borderId="1" xfId="1" applyFont="1" applyFill="1" applyBorder="1"/>
    <xf numFmtId="10" fontId="5" fillId="0" borderId="0" xfId="0" applyNumberFormat="1" applyFont="1"/>
    <xf numFmtId="0" fontId="12" fillId="2" borderId="1" xfId="0" applyFont="1" applyFill="1" applyBorder="1" applyAlignment="1">
      <alignment horizontal="center"/>
    </xf>
    <xf numFmtId="0" fontId="5" fillId="3" borderId="1" xfId="0" applyFont="1" applyFill="1" applyBorder="1" applyAlignment="1">
      <alignment horizontal="center"/>
    </xf>
    <xf numFmtId="0" fontId="5" fillId="2" borderId="1" xfId="0" applyFont="1" applyFill="1" applyBorder="1"/>
    <xf numFmtId="43" fontId="6" fillId="6" borderId="1" xfId="1" applyFont="1" applyFill="1" applyBorder="1" applyAlignment="1">
      <alignment vertical="center"/>
    </xf>
    <xf numFmtId="43" fontId="8" fillId="2" borderId="1" xfId="1" applyFont="1" applyFill="1" applyBorder="1" applyAlignment="1">
      <alignment horizontal="center" vertical="center"/>
    </xf>
    <xf numFmtId="170" fontId="5" fillId="0" borderId="1" xfId="0" applyNumberFormat="1" applyFont="1" applyBorder="1" applyAlignment="1">
      <alignment horizontal="right" vertical="center"/>
    </xf>
    <xf numFmtId="165" fontId="8" fillId="2" borderId="1" xfId="1" applyNumberFormat="1" applyFont="1" applyFill="1" applyBorder="1" applyAlignment="1">
      <alignment horizontal="center" vertical="center"/>
    </xf>
    <xf numFmtId="43" fontId="12" fillId="2" borderId="1" xfId="1" applyFont="1" applyFill="1" applyBorder="1" applyAlignment="1">
      <alignment vertical="center"/>
    </xf>
    <xf numFmtId="0" fontId="6" fillId="4" borderId="1" xfId="0" applyFont="1" applyFill="1" applyBorder="1" applyAlignment="1">
      <alignment horizontal="center" vertical="center"/>
    </xf>
    <xf numFmtId="10" fontId="5" fillId="0" borderId="1" xfId="0" applyNumberFormat="1" applyFont="1" applyBorder="1" applyAlignment="1">
      <alignment horizontal="center" vertical="center"/>
    </xf>
    <xf numFmtId="166" fontId="5" fillId="0" borderId="1" xfId="0" applyNumberFormat="1" applyFont="1" applyBorder="1" applyAlignment="1">
      <alignment horizontal="center" vertical="center"/>
    </xf>
    <xf numFmtId="10" fontId="8" fillId="0" borderId="1" xfId="0" applyNumberFormat="1" applyFont="1" applyBorder="1" applyAlignment="1">
      <alignment horizontal="center" vertical="center"/>
    </xf>
    <xf numFmtId="10" fontId="12" fillId="5" borderId="1" xfId="3" applyNumberFormat="1" applyFont="1" applyFill="1" applyBorder="1" applyAlignment="1">
      <alignment horizontal="center" vertical="center"/>
    </xf>
    <xf numFmtId="44" fontId="12" fillId="5" borderId="1" xfId="1" applyNumberFormat="1" applyFont="1" applyFill="1" applyBorder="1" applyAlignment="1">
      <alignment vertical="center"/>
    </xf>
    <xf numFmtId="44" fontId="6" fillId="4" borderId="1" xfId="1" applyNumberFormat="1" applyFont="1" applyFill="1" applyBorder="1" applyAlignment="1">
      <alignment vertical="center"/>
    </xf>
    <xf numFmtId="0" fontId="6" fillId="6" borderId="18" xfId="0" applyFont="1" applyFill="1" applyBorder="1" applyAlignment="1">
      <alignment horizontal="center" vertical="center" wrapText="1"/>
    </xf>
    <xf numFmtId="0" fontId="6" fillId="3" borderId="0" xfId="0" applyFont="1" applyFill="1" applyAlignment="1">
      <alignment horizontal="center" vertical="center" wrapText="1"/>
    </xf>
    <xf numFmtId="0" fontId="12" fillId="11" borderId="18" xfId="0" applyFont="1" applyFill="1" applyBorder="1" applyAlignment="1">
      <alignment horizontal="center" vertical="center" wrapText="1"/>
    </xf>
    <xf numFmtId="0" fontId="12" fillId="11" borderId="23" xfId="0" applyFont="1" applyFill="1" applyBorder="1" applyAlignment="1">
      <alignment horizontal="center" vertical="center"/>
    </xf>
    <xf numFmtId="0" fontId="12" fillId="11" borderId="19"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16" xfId="0" applyFont="1" applyBorder="1" applyAlignment="1">
      <alignment horizontal="center" vertical="center" wrapText="1"/>
    </xf>
    <xf numFmtId="0" fontId="5" fillId="0" borderId="7" xfId="0" applyFont="1" applyBorder="1" applyAlignment="1">
      <alignment vertical="center" wrapText="1"/>
    </xf>
    <xf numFmtId="164" fontId="5" fillId="0" borderId="7" xfId="2" applyFont="1" applyFill="1" applyBorder="1" applyAlignment="1">
      <alignment vertical="center" wrapText="1"/>
    </xf>
    <xf numFmtId="0" fontId="5" fillId="0" borderId="7" xfId="0" applyFont="1" applyBorder="1" applyAlignment="1">
      <alignment horizontal="center" vertical="center" wrapText="1"/>
    </xf>
    <xf numFmtId="164" fontId="5" fillId="0" borderId="8" xfId="2" applyFont="1" applyFill="1" applyBorder="1" applyAlignment="1">
      <alignment vertical="center" wrapText="1"/>
    </xf>
    <xf numFmtId="164" fontId="5" fillId="3" borderId="0" xfId="2" applyFont="1" applyFill="1" applyBorder="1" applyAlignment="1">
      <alignment vertical="center" wrapText="1"/>
    </xf>
    <xf numFmtId="0" fontId="12" fillId="0" borderId="10" xfId="0" applyFont="1" applyBorder="1" applyAlignment="1">
      <alignment horizontal="center" vertical="center" wrapText="1"/>
    </xf>
    <xf numFmtId="164" fontId="5" fillId="0" borderId="1" xfId="2" applyFont="1" applyFill="1" applyBorder="1" applyAlignment="1">
      <alignment vertical="center" wrapText="1"/>
    </xf>
    <xf numFmtId="164" fontId="5" fillId="0" borderId="9" xfId="2" applyFont="1" applyFill="1" applyBorder="1" applyAlignment="1">
      <alignment vertical="center" wrapText="1"/>
    </xf>
    <xf numFmtId="164" fontId="5" fillId="0" borderId="13" xfId="2" applyFont="1" applyFill="1" applyBorder="1" applyAlignment="1">
      <alignment vertical="center" wrapText="1"/>
    </xf>
    <xf numFmtId="164" fontId="6" fillId="3" borderId="0" xfId="0" applyNumberFormat="1" applyFont="1" applyFill="1" applyAlignment="1">
      <alignment vertical="center" wrapText="1"/>
    </xf>
    <xf numFmtId="44" fontId="6" fillId="6" borderId="13" xfId="0" applyNumberFormat="1" applyFont="1" applyFill="1" applyBorder="1" applyAlignment="1">
      <alignment vertical="center" wrapText="1"/>
    </xf>
    <xf numFmtId="44" fontId="6" fillId="3" borderId="0" xfId="0" applyNumberFormat="1" applyFont="1" applyFill="1" applyAlignment="1">
      <alignment vertic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164" fontId="5" fillId="0" borderId="0" xfId="2" applyFont="1" applyFill="1" applyBorder="1" applyAlignment="1">
      <alignment vertical="center" wrapText="1"/>
    </xf>
    <xf numFmtId="164" fontId="6" fillId="0" borderId="0" xfId="0" applyNumberFormat="1" applyFont="1" applyAlignment="1">
      <alignment vertical="center" wrapText="1"/>
    </xf>
    <xf numFmtId="44" fontId="6" fillId="0" borderId="0" xfId="0" applyNumberFormat="1" applyFont="1" applyAlignment="1">
      <alignment vertical="center" wrapText="1"/>
    </xf>
    <xf numFmtId="0" fontId="5" fillId="0" borderId="0" xfId="0" applyFont="1" applyAlignment="1">
      <alignment horizontal="justify" vertical="center"/>
    </xf>
    <xf numFmtId="0" fontId="5" fillId="3" borderId="0" xfId="15" applyFont="1" applyFill="1" applyAlignment="1">
      <alignment horizontal="center"/>
    </xf>
    <xf numFmtId="0" fontId="13" fillId="3" borderId="0" xfId="15" applyFont="1" applyFill="1" applyAlignment="1">
      <alignment horizontal="center"/>
    </xf>
    <xf numFmtId="0" fontId="14" fillId="12" borderId="33" xfId="15" applyFont="1" applyFill="1" applyBorder="1" applyAlignment="1">
      <alignment horizontal="center" vertical="center" wrapText="1"/>
    </xf>
    <xf numFmtId="0" fontId="14" fillId="12" borderId="26" xfId="15" applyFont="1" applyFill="1" applyBorder="1" applyAlignment="1">
      <alignment horizontal="center" vertical="center" wrapText="1"/>
    </xf>
    <xf numFmtId="0" fontId="12" fillId="3" borderId="31" xfId="15" applyFont="1" applyFill="1" applyBorder="1" applyAlignment="1">
      <alignment horizontal="center" vertical="center" wrapText="1"/>
    </xf>
    <xf numFmtId="0" fontId="12" fillId="3" borderId="30" xfId="15" applyFont="1" applyFill="1" applyBorder="1" applyAlignment="1">
      <alignment vertical="center" wrapText="1"/>
    </xf>
    <xf numFmtId="10" fontId="12" fillId="3" borderId="30" xfId="15" applyNumberFormat="1" applyFont="1" applyFill="1" applyBorder="1" applyAlignment="1">
      <alignment horizontal="center" vertical="center" wrapText="1"/>
    </xf>
    <xf numFmtId="0" fontId="5" fillId="3" borderId="31" xfId="15" applyFont="1" applyFill="1" applyBorder="1" applyAlignment="1">
      <alignment horizontal="center" vertical="center" wrapText="1"/>
    </xf>
    <xf numFmtId="0" fontId="5" fillId="3" borderId="30" xfId="15" applyFont="1" applyFill="1" applyBorder="1" applyAlignment="1">
      <alignment vertical="center" wrapText="1"/>
    </xf>
    <xf numFmtId="10" fontId="5" fillId="3" borderId="30" xfId="15" applyNumberFormat="1" applyFont="1" applyFill="1" applyBorder="1" applyAlignment="1">
      <alignment horizontal="center" vertical="center" wrapText="1"/>
    </xf>
    <xf numFmtId="10" fontId="12" fillId="3" borderId="26" xfId="15" applyNumberFormat="1" applyFont="1" applyFill="1" applyBorder="1" applyAlignment="1">
      <alignment horizontal="center" vertical="center" wrapText="1"/>
    </xf>
    <xf numFmtId="0" fontId="5" fillId="3" borderId="0" xfId="15" applyFont="1" applyFill="1" applyAlignment="1">
      <alignment horizontal="center" vertical="center" wrapText="1"/>
    </xf>
    <xf numFmtId="0" fontId="5" fillId="3" borderId="0" xfId="15" applyFont="1" applyFill="1" applyAlignment="1">
      <alignment vertical="center" wrapText="1"/>
    </xf>
    <xf numFmtId="10" fontId="5" fillId="3" borderId="0" xfId="15" applyNumberFormat="1" applyFont="1" applyFill="1" applyAlignment="1">
      <alignment horizontal="center" vertical="center" wrapText="1"/>
    </xf>
    <xf numFmtId="0" fontId="12" fillId="3" borderId="0" xfId="15" applyFont="1" applyFill="1" applyAlignment="1">
      <alignment horizontal="right" vertical="center" wrapText="1"/>
    </xf>
    <xf numFmtId="10" fontId="12" fillId="3" borderId="0" xfId="15" applyNumberFormat="1" applyFont="1" applyFill="1" applyAlignment="1">
      <alignment horizontal="center" vertical="center" wrapText="1"/>
    </xf>
    <xf numFmtId="0" fontId="5" fillId="0" borderId="0" xfId="15" applyFont="1" applyAlignment="1">
      <alignment vertical="center"/>
    </xf>
    <xf numFmtId="0" fontId="9" fillId="9" borderId="31" xfId="0" applyFont="1" applyFill="1" applyBorder="1" applyAlignment="1">
      <alignment horizontal="center" vertical="center"/>
    </xf>
    <xf numFmtId="0" fontId="9" fillId="9" borderId="30" xfId="0" applyFont="1" applyFill="1" applyBorder="1" applyAlignment="1">
      <alignment horizontal="center" vertical="center" wrapText="1"/>
    </xf>
    <xf numFmtId="0" fontId="9" fillId="9" borderId="24" xfId="0" applyFont="1" applyFill="1" applyBorder="1" applyAlignment="1">
      <alignment horizontal="center" vertical="center"/>
    </xf>
    <xf numFmtId="0" fontId="9" fillId="9" borderId="33" xfId="0" applyFont="1" applyFill="1" applyBorder="1" applyAlignment="1">
      <alignment horizontal="center" vertical="center"/>
    </xf>
    <xf numFmtId="0" fontId="10" fillId="10" borderId="31" xfId="0" applyFont="1" applyFill="1" applyBorder="1" applyAlignment="1">
      <alignment vertical="center" wrapText="1"/>
    </xf>
    <xf numFmtId="0" fontId="10" fillId="10" borderId="30" xfId="0" applyFont="1" applyFill="1" applyBorder="1" applyAlignment="1">
      <alignment horizontal="center" vertical="center"/>
    </xf>
    <xf numFmtId="43" fontId="10" fillId="10" borderId="30" xfId="1" applyFont="1" applyFill="1" applyBorder="1" applyAlignment="1">
      <alignment horizontal="center" vertical="center"/>
    </xf>
    <xf numFmtId="8" fontId="9" fillId="9" borderId="33" xfId="0" applyNumberFormat="1" applyFont="1" applyFill="1" applyBorder="1" applyAlignment="1">
      <alignment horizontal="center" vertical="center" wrapText="1"/>
    </xf>
    <xf numFmtId="0" fontId="10" fillId="10" borderId="31" xfId="0" applyFont="1" applyFill="1" applyBorder="1" applyAlignment="1">
      <alignment horizontal="center" vertical="center"/>
    </xf>
    <xf numFmtId="0" fontId="10" fillId="10" borderId="30" xfId="0" applyFont="1" applyFill="1" applyBorder="1" applyAlignment="1">
      <alignment vertical="center" wrapText="1"/>
    </xf>
    <xf numFmtId="4" fontId="10" fillId="10" borderId="30" xfId="0" applyNumberFormat="1" applyFont="1" applyFill="1" applyBorder="1" applyAlignment="1">
      <alignment horizontal="center" vertical="center"/>
    </xf>
    <xf numFmtId="164" fontId="9" fillId="9" borderId="30" xfId="0" applyNumberFormat="1" applyFont="1" applyFill="1" applyBorder="1" applyAlignment="1">
      <alignment horizontal="center" vertical="center" wrapText="1"/>
    </xf>
    <xf numFmtId="8" fontId="10" fillId="10" borderId="30" xfId="0" applyNumberFormat="1" applyFont="1" applyFill="1" applyBorder="1" applyAlignment="1">
      <alignment horizontal="center" vertical="center"/>
    </xf>
    <xf numFmtId="0" fontId="9" fillId="13" borderId="32" xfId="0" applyFont="1" applyFill="1" applyBorder="1" applyAlignment="1">
      <alignment horizontal="center" vertical="center" wrapText="1"/>
    </xf>
    <xf numFmtId="0" fontId="9" fillId="13" borderId="30" xfId="0" applyFont="1" applyFill="1" applyBorder="1" applyAlignment="1">
      <alignment horizontal="center" vertical="center" wrapText="1"/>
    </xf>
    <xf numFmtId="0" fontId="10" fillId="16" borderId="31" xfId="0" applyFont="1" applyFill="1" applyBorder="1" applyAlignment="1">
      <alignment horizontal="center" vertical="center"/>
    </xf>
    <xf numFmtId="0" fontId="10" fillId="16" borderId="30" xfId="0" applyFont="1" applyFill="1" applyBorder="1" applyAlignment="1">
      <alignment vertical="center" wrapText="1"/>
    </xf>
    <xf numFmtId="0" fontId="10" fillId="16" borderId="30" xfId="0" applyFont="1" applyFill="1" applyBorder="1" applyAlignment="1">
      <alignment horizontal="center" vertical="center"/>
    </xf>
    <xf numFmtId="164" fontId="10" fillId="16" borderId="30" xfId="2" applyFont="1" applyFill="1" applyBorder="1" applyAlignment="1">
      <alignment horizontal="center" vertical="center"/>
    </xf>
    <xf numFmtId="164" fontId="10" fillId="3" borderId="30" xfId="2" applyFont="1" applyFill="1" applyBorder="1" applyAlignment="1">
      <alignment horizontal="center" vertical="center"/>
    </xf>
    <xf numFmtId="0" fontId="5" fillId="16" borderId="31" xfId="0" applyFont="1" applyFill="1" applyBorder="1" applyAlignment="1">
      <alignment horizontal="center" vertical="center"/>
    </xf>
    <xf numFmtId="0" fontId="5" fillId="16" borderId="30" xfId="0" applyFont="1" applyFill="1" applyBorder="1" applyAlignment="1">
      <alignment horizontal="center" vertical="center"/>
    </xf>
    <xf numFmtId="164" fontId="9" fillId="9" borderId="30" xfId="2" applyFont="1" applyFill="1" applyBorder="1" applyAlignment="1">
      <alignment horizontal="center" vertical="center"/>
    </xf>
    <xf numFmtId="0" fontId="6" fillId="4" borderId="1" xfId="0" applyFont="1" applyFill="1" applyBorder="1" applyAlignment="1">
      <alignment horizontal="center" vertical="center" wrapText="1"/>
    </xf>
    <xf numFmtId="1" fontId="6" fillId="4" borderId="1" xfId="0" applyNumberFormat="1" applyFont="1" applyFill="1" applyBorder="1" applyAlignment="1">
      <alignment horizontal="center" vertical="center"/>
    </xf>
    <xf numFmtId="44" fontId="6" fillId="4" borderId="1" xfId="0" applyNumberFormat="1" applyFont="1" applyFill="1" applyBorder="1" applyAlignment="1">
      <alignment horizontal="center" vertical="center" wrapText="1"/>
    </xf>
    <xf numFmtId="0" fontId="5" fillId="0" borderId="1" xfId="0" applyFont="1" applyBorder="1"/>
    <xf numFmtId="1" fontId="5" fillId="0" borderId="1" xfId="0" applyNumberFormat="1" applyFont="1" applyBorder="1" applyAlignment="1">
      <alignment horizontal="center" vertical="center"/>
    </xf>
    <xf numFmtId="169" fontId="5" fillId="0" borderId="1" xfId="0" applyNumberFormat="1" applyFont="1" applyBorder="1"/>
    <xf numFmtId="169" fontId="5" fillId="0" borderId="1" xfId="0" applyNumberFormat="1" applyFont="1" applyBorder="1" applyAlignment="1">
      <alignment horizontal="right" vertical="center"/>
    </xf>
    <xf numFmtId="9" fontId="5" fillId="0" borderId="1" xfId="0" applyNumberFormat="1" applyFont="1" applyBorder="1" applyAlignment="1">
      <alignment horizontal="center" vertical="center"/>
    </xf>
    <xf numFmtId="169" fontId="5" fillId="0" borderId="1" xfId="0" applyNumberFormat="1" applyFont="1" applyBorder="1" applyAlignment="1">
      <alignment horizontal="center" vertical="center"/>
    </xf>
    <xf numFmtId="0" fontId="5" fillId="3" borderId="1" xfId="0" applyFont="1" applyFill="1" applyBorder="1"/>
    <xf numFmtId="0" fontId="5" fillId="3" borderId="1" xfId="0" applyFont="1" applyFill="1" applyBorder="1" applyAlignment="1">
      <alignment vertical="center"/>
    </xf>
    <xf numFmtId="169" fontId="5" fillId="3" borderId="1" xfId="0" applyNumberFormat="1" applyFont="1" applyFill="1" applyBorder="1"/>
    <xf numFmtId="0" fontId="5" fillId="3" borderId="0" xfId="0" applyFont="1" applyFill="1"/>
    <xf numFmtId="0" fontId="5" fillId="0" borderId="1" xfId="0" applyFont="1" applyBorder="1" applyAlignment="1">
      <alignment wrapText="1"/>
    </xf>
    <xf numFmtId="0" fontId="5" fillId="3" borderId="1" xfId="0" applyFont="1" applyFill="1" applyBorder="1" applyAlignment="1">
      <alignment horizontal="left" vertical="center" wrapText="1"/>
    </xf>
    <xf numFmtId="0" fontId="5" fillId="0" borderId="1" xfId="0" applyFont="1" applyBorder="1" applyAlignment="1">
      <alignment horizontal="left"/>
    </xf>
    <xf numFmtId="44" fontId="12" fillId="7" borderId="6" xfId="0" applyNumberFormat="1" applyFont="1" applyFill="1" applyBorder="1" applyAlignment="1">
      <alignment horizontal="right"/>
    </xf>
    <xf numFmtId="169" fontId="12" fillId="7" borderId="1" xfId="0" applyNumberFormat="1" applyFont="1" applyFill="1" applyBorder="1" applyAlignment="1">
      <alignment horizontal="right" vertical="center"/>
    </xf>
    <xf numFmtId="44" fontId="12" fillId="7" borderId="1" xfId="0" applyNumberFormat="1" applyFont="1" applyFill="1" applyBorder="1" applyAlignment="1">
      <alignment horizontal="right" vertical="center"/>
    </xf>
    <xf numFmtId="44" fontId="5" fillId="0" borderId="0" xfId="0" applyNumberFormat="1" applyFont="1"/>
    <xf numFmtId="44" fontId="5" fillId="0" borderId="0" xfId="0" applyNumberFormat="1" applyFont="1" applyAlignment="1">
      <alignment horizontal="right"/>
    </xf>
    <xf numFmtId="0" fontId="5" fillId="0" borderId="0" xfId="0" applyFont="1" applyAlignment="1">
      <alignment horizontal="center" vertical="center"/>
    </xf>
    <xf numFmtId="44" fontId="5" fillId="0" borderId="0" xfId="0" applyNumberFormat="1" applyFont="1" applyAlignment="1">
      <alignment horizontal="right" vertical="center"/>
    </xf>
    <xf numFmtId="0" fontId="5" fillId="3" borderId="0" xfId="0" applyFont="1" applyFill="1" applyAlignment="1">
      <alignment vertical="center"/>
    </xf>
    <xf numFmtId="0" fontId="5" fillId="3" borderId="0" xfId="0" applyFont="1" applyFill="1" applyAlignment="1">
      <alignment horizontal="center" vertical="center"/>
    </xf>
    <xf numFmtId="0" fontId="12" fillId="0" borderId="0" xfId="0" applyFont="1" applyAlignment="1">
      <alignment vertical="center" wrapText="1"/>
    </xf>
    <xf numFmtId="0" fontId="5" fillId="5" borderId="0" xfId="15" applyFont="1" applyFill="1"/>
    <xf numFmtId="0" fontId="10" fillId="5" borderId="31" xfId="0" applyFont="1" applyFill="1" applyBorder="1" applyAlignment="1">
      <alignment horizontal="center" vertical="center"/>
    </xf>
    <xf numFmtId="0" fontId="10" fillId="5" borderId="30" xfId="0" applyFont="1" applyFill="1" applyBorder="1" applyAlignment="1">
      <alignment vertical="center" wrapText="1"/>
    </xf>
    <xf numFmtId="0" fontId="10" fillId="5" borderId="30"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vertical="center"/>
    </xf>
    <xf numFmtId="0" fontId="12" fillId="5" borderId="1" xfId="0" applyFont="1" applyFill="1" applyBorder="1" applyAlignment="1">
      <alignment vertical="center" wrapText="1"/>
    </xf>
    <xf numFmtId="164" fontId="10" fillId="10" borderId="1" xfId="2" applyFont="1" applyFill="1" applyBorder="1" applyAlignment="1">
      <alignment horizontal="right" vertical="center"/>
    </xf>
    <xf numFmtId="164" fontId="10" fillId="0" borderId="9" xfId="2" applyFont="1" applyBorder="1" applyAlignment="1">
      <alignment horizontal="right" vertical="center"/>
    </xf>
    <xf numFmtId="164" fontId="10" fillId="10" borderId="9" xfId="2" applyFont="1" applyFill="1" applyBorder="1" applyAlignment="1">
      <alignment horizontal="right" vertical="center"/>
    </xf>
    <xf numFmtId="0" fontId="12" fillId="0" borderId="1" xfId="0" applyFont="1" applyBorder="1" applyAlignment="1">
      <alignment vertical="center"/>
    </xf>
    <xf numFmtId="0" fontId="17" fillId="0" borderId="1" xfId="0" applyFont="1" applyBorder="1" applyAlignment="1">
      <alignment horizontal="center" vertical="center"/>
    </xf>
    <xf numFmtId="0" fontId="17" fillId="0" borderId="1" xfId="0" applyFont="1" applyBorder="1" applyAlignment="1">
      <alignment vertical="center"/>
    </xf>
    <xf numFmtId="169" fontId="5" fillId="0" borderId="0" xfId="0" applyNumberFormat="1" applyFont="1"/>
    <xf numFmtId="0" fontId="18" fillId="5" borderId="1" xfId="0" applyFont="1" applyFill="1" applyBorder="1" applyAlignment="1">
      <alignment horizontal="center" vertical="center"/>
    </xf>
    <xf numFmtId="10" fontId="2" fillId="0" borderId="1" xfId="0" applyNumberFormat="1" applyFont="1" applyBorder="1" applyAlignment="1">
      <alignment vertical="center"/>
    </xf>
    <xf numFmtId="43" fontId="19" fillId="2" borderId="1" xfId="1" applyFont="1" applyFill="1" applyBorder="1" applyAlignment="1">
      <alignment vertical="center"/>
    </xf>
    <xf numFmtId="10" fontId="19" fillId="2" borderId="1" xfId="0" applyNumberFormat="1" applyFont="1" applyFill="1" applyBorder="1" applyAlignment="1">
      <alignment vertical="center"/>
    </xf>
    <xf numFmtId="43" fontId="19" fillId="2" borderId="1" xfId="1" applyFont="1" applyFill="1" applyBorder="1" applyAlignment="1">
      <alignment horizontal="center" vertical="center"/>
    </xf>
    <xf numFmtId="10" fontId="19" fillId="3" borderId="1" xfId="0" applyNumberFormat="1" applyFont="1" applyFill="1" applyBorder="1" applyAlignment="1">
      <alignment vertical="center"/>
    </xf>
    <xf numFmtId="43" fontId="19" fillId="3" borderId="1" xfId="1" applyFont="1" applyFill="1" applyBorder="1" applyAlignment="1">
      <alignment horizontal="center" vertical="center"/>
    </xf>
    <xf numFmtId="10" fontId="18" fillId="5" borderId="1" xfId="0" applyNumberFormat="1" applyFont="1" applyFill="1" applyBorder="1" applyAlignment="1">
      <alignment vertical="center"/>
    </xf>
    <xf numFmtId="44" fontId="18" fillId="5" borderId="1" xfId="1" applyNumberFormat="1" applyFont="1" applyFill="1" applyBorder="1" applyAlignment="1">
      <alignment vertical="center"/>
    </xf>
    <xf numFmtId="171" fontId="18" fillId="5" borderId="1" xfId="1" applyNumberFormat="1" applyFont="1" applyFill="1" applyBorder="1" applyAlignment="1">
      <alignment vertical="center"/>
    </xf>
    <xf numFmtId="10" fontId="8" fillId="0" borderId="1" xfId="0" applyNumberFormat="1" applyFont="1" applyBorder="1" applyAlignment="1">
      <alignment vertical="center"/>
    </xf>
    <xf numFmtId="0" fontId="20" fillId="0" borderId="33" xfId="0" applyFont="1" applyBorder="1" applyAlignment="1">
      <alignment horizontal="center" vertical="center"/>
    </xf>
    <xf numFmtId="0" fontId="20" fillId="0" borderId="31" xfId="0" applyFont="1" applyBorder="1" applyAlignment="1">
      <alignment horizontal="center" vertical="center"/>
    </xf>
    <xf numFmtId="0" fontId="21" fillId="0" borderId="31" xfId="0" applyFont="1" applyBorder="1" applyAlignment="1">
      <alignment horizontal="center" vertical="center"/>
    </xf>
    <xf numFmtId="10" fontId="19" fillId="0" borderId="1" xfId="0" applyNumberFormat="1" applyFont="1" applyBorder="1" applyAlignment="1">
      <alignment vertical="center"/>
    </xf>
    <xf numFmtId="0" fontId="12" fillId="0" borderId="37" xfId="0" applyFont="1" applyBorder="1" applyAlignment="1">
      <alignment horizontal="center" vertical="center" wrapText="1"/>
    </xf>
    <xf numFmtId="164" fontId="5" fillId="0" borderId="6" xfId="2" applyFont="1" applyFill="1" applyBorder="1" applyAlignment="1">
      <alignment vertical="center" wrapText="1"/>
    </xf>
    <xf numFmtId="0" fontId="5" fillId="0" borderId="6" xfId="0" applyFont="1" applyBorder="1" applyAlignment="1">
      <alignment horizontal="center" vertical="center" wrapText="1"/>
    </xf>
    <xf numFmtId="164" fontId="5" fillId="0" borderId="38" xfId="2" applyFont="1" applyFill="1" applyBorder="1" applyAlignment="1">
      <alignment vertical="center" wrapText="1"/>
    </xf>
    <xf numFmtId="0" fontId="5" fillId="0" borderId="6" xfId="0" applyFont="1" applyBorder="1" applyAlignment="1">
      <alignment vertical="center" wrapText="1"/>
    </xf>
    <xf numFmtId="0" fontId="12" fillId="0" borderId="1" xfId="0" applyFont="1" applyBorder="1" applyAlignment="1">
      <alignment horizontal="center" vertical="center" wrapText="1"/>
    </xf>
    <xf numFmtId="0" fontId="12" fillId="0" borderId="14" xfId="0" applyFont="1" applyBorder="1" applyAlignment="1">
      <alignment horizontal="center" vertical="center" wrapText="1"/>
    </xf>
    <xf numFmtId="164" fontId="6" fillId="6" borderId="40" xfId="0" applyNumberFormat="1" applyFont="1" applyFill="1" applyBorder="1" applyAlignment="1">
      <alignment vertical="center" wrapText="1"/>
    </xf>
    <xf numFmtId="0" fontId="10" fillId="3" borderId="1" xfId="0" applyFont="1" applyFill="1" applyBorder="1" applyAlignment="1">
      <alignment horizontal="justify" vertical="center" wrapText="1"/>
    </xf>
    <xf numFmtId="0" fontId="10" fillId="3" borderId="1" xfId="0" applyFont="1" applyFill="1" applyBorder="1" applyAlignment="1">
      <alignment horizontal="center" vertical="center" wrapText="1"/>
    </xf>
    <xf numFmtId="8" fontId="10" fillId="3" borderId="1" xfId="0" applyNumberFormat="1" applyFont="1" applyFill="1" applyBorder="1" applyAlignment="1">
      <alignment horizontal="center" vertical="center" wrapText="1"/>
    </xf>
    <xf numFmtId="164" fontId="5" fillId="3" borderId="30" xfId="2" applyFont="1" applyFill="1" applyBorder="1" applyAlignment="1">
      <alignment horizontal="center" vertical="center"/>
    </xf>
    <xf numFmtId="10" fontId="5" fillId="3" borderId="24" xfId="3" applyNumberFormat="1" applyFont="1" applyFill="1" applyBorder="1" applyAlignment="1">
      <alignment horizontal="center" vertical="center"/>
    </xf>
    <xf numFmtId="164" fontId="5" fillId="0" borderId="0" xfId="0" applyNumberFormat="1" applyFont="1"/>
    <xf numFmtId="16" fontId="5" fillId="0" borderId="0" xfId="0" applyNumberFormat="1" applyFont="1" applyAlignment="1">
      <alignment vertical="center"/>
    </xf>
    <xf numFmtId="43" fontId="5" fillId="0" borderId="0" xfId="0" applyNumberFormat="1" applyFont="1" applyAlignment="1">
      <alignment vertical="center"/>
    </xf>
    <xf numFmtId="164" fontId="9" fillId="16" borderId="30" xfId="2" applyFont="1" applyFill="1" applyBorder="1" applyAlignment="1">
      <alignment horizontal="center" vertical="center"/>
    </xf>
    <xf numFmtId="44" fontId="5" fillId="0" borderId="1" xfId="0" applyNumberFormat="1" applyFont="1" applyBorder="1" applyAlignment="1">
      <alignment vertical="center"/>
    </xf>
    <xf numFmtId="44" fontId="5" fillId="0" borderId="0" xfId="0" applyNumberFormat="1" applyFont="1" applyAlignment="1">
      <alignment vertical="center"/>
    </xf>
    <xf numFmtId="0" fontId="9" fillId="5" borderId="1" xfId="0" applyFont="1" applyFill="1" applyBorder="1" applyAlignment="1">
      <alignment horizontal="center" vertical="center" wrapText="1"/>
    </xf>
    <xf numFmtId="0" fontId="9" fillId="10" borderId="42"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9" xfId="0" applyFont="1" applyFill="1" applyBorder="1" applyAlignment="1">
      <alignment horizontal="center" vertical="center"/>
    </xf>
    <xf numFmtId="0" fontId="5" fillId="0" borderId="2" xfId="0" applyFont="1" applyBorder="1" applyAlignment="1">
      <alignment vertical="center"/>
    </xf>
    <xf numFmtId="0" fontId="10" fillId="0" borderId="1" xfId="0" applyFont="1" applyBorder="1" applyAlignment="1">
      <alignment horizontal="center" vertical="center"/>
    </xf>
    <xf numFmtId="164" fontId="9" fillId="11" borderId="1" xfId="2" applyFont="1" applyFill="1" applyBorder="1" applyAlignment="1">
      <alignment horizontal="right" vertical="center"/>
    </xf>
    <xf numFmtId="164" fontId="9" fillId="11" borderId="9" xfId="2" applyFont="1" applyFill="1" applyBorder="1" applyAlignment="1">
      <alignment horizontal="right" vertical="center"/>
    </xf>
    <xf numFmtId="0" fontId="5" fillId="11" borderId="14" xfId="0" applyFont="1" applyFill="1" applyBorder="1" applyAlignment="1">
      <alignment vertical="center"/>
    </xf>
    <xf numFmtId="44" fontId="5" fillId="11" borderId="14" xfId="0" applyNumberFormat="1" applyFont="1" applyFill="1" applyBorder="1" applyAlignment="1">
      <alignment vertical="center"/>
    </xf>
    <xf numFmtId="44" fontId="12" fillId="11" borderId="1" xfId="0" applyNumberFormat="1" applyFont="1" applyFill="1" applyBorder="1" applyAlignment="1">
      <alignment vertical="center"/>
    </xf>
    <xf numFmtId="0" fontId="8" fillId="0" borderId="1" xfId="0" applyFont="1" applyBorder="1" applyAlignment="1">
      <alignment horizontal="left" vertical="center" wrapText="1"/>
    </xf>
    <xf numFmtId="9" fontId="5" fillId="0" borderId="1" xfId="0" applyNumberFormat="1" applyFont="1" applyBorder="1" applyAlignment="1">
      <alignment vertical="center"/>
    </xf>
    <xf numFmtId="0" fontId="7" fillId="0" borderId="36" xfId="0" applyFont="1" applyBorder="1" applyAlignment="1">
      <alignment horizontal="left" vertical="center" wrapText="1"/>
    </xf>
    <xf numFmtId="0" fontId="7" fillId="0" borderId="0" xfId="0" applyFont="1" applyAlignment="1">
      <alignment horizontal="left" vertical="center" wrapText="1"/>
    </xf>
    <xf numFmtId="0" fontId="7" fillId="0" borderId="34"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30" xfId="0" applyFont="1" applyBorder="1" applyAlignment="1">
      <alignment horizontal="left" vertical="center" wrapText="1"/>
    </xf>
    <xf numFmtId="0" fontId="9" fillId="11" borderId="1" xfId="0" applyFont="1" applyFill="1" applyBorder="1" applyAlignment="1">
      <alignment horizontal="center" vertical="center"/>
    </xf>
    <xf numFmtId="0" fontId="12" fillId="9" borderId="36" xfId="0" applyFont="1" applyFill="1" applyBorder="1" applyAlignment="1">
      <alignment horizontal="center" vertical="center" wrapText="1"/>
    </xf>
    <xf numFmtId="0" fontId="12" fillId="9" borderId="0" xfId="0" applyFont="1" applyFill="1" applyAlignment="1">
      <alignment horizontal="center" vertical="center" wrapText="1"/>
    </xf>
    <xf numFmtId="0" fontId="9" fillId="13" borderId="36" xfId="0" applyFont="1" applyFill="1" applyBorder="1" applyAlignment="1">
      <alignment horizontal="center" vertical="center"/>
    </xf>
    <xf numFmtId="0" fontId="9" fillId="13" borderId="0" xfId="0" applyFont="1" applyFill="1" applyAlignment="1">
      <alignment horizontal="center" vertical="center"/>
    </xf>
    <xf numFmtId="0" fontId="10" fillId="10" borderId="36" xfId="0" applyFont="1" applyFill="1" applyBorder="1" applyAlignment="1">
      <alignment horizontal="left" vertical="center" wrapText="1"/>
    </xf>
    <xf numFmtId="0" fontId="10" fillId="10" borderId="0" xfId="0" applyFont="1" applyFill="1" applyAlignment="1">
      <alignment horizontal="left" vertical="center" wrapText="1"/>
    </xf>
    <xf numFmtId="0" fontId="6" fillId="6" borderId="3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9" fillId="0" borderId="20" xfId="0" applyFont="1" applyBorder="1" applyAlignment="1">
      <alignment horizontal="center" vertical="center"/>
    </xf>
    <xf numFmtId="0" fontId="9" fillId="0" borderId="27" xfId="0" applyFont="1" applyBorder="1" applyAlignment="1">
      <alignment horizontal="center" vertical="center"/>
    </xf>
    <xf numFmtId="0" fontId="12" fillId="11" borderId="17"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6" fillId="6" borderId="24"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10" fillId="0" borderId="36" xfId="0" applyFont="1" applyBorder="1" applyAlignment="1">
      <alignment horizontal="left" vertical="center"/>
    </xf>
    <xf numFmtId="0" fontId="10" fillId="0" borderId="0" xfId="0" applyFont="1" applyAlignment="1">
      <alignment horizontal="left" vertical="center"/>
    </xf>
    <xf numFmtId="0" fontId="9" fillId="0" borderId="36" xfId="0" applyFont="1" applyBorder="1" applyAlignment="1">
      <alignment horizontal="center" vertical="center"/>
    </xf>
    <xf numFmtId="0" fontId="9" fillId="0" borderId="0" xfId="0" applyFont="1" applyAlignment="1">
      <alignment horizontal="center" vertical="center"/>
    </xf>
    <xf numFmtId="0" fontId="10" fillId="5" borderId="36" xfId="0" applyFont="1" applyFill="1" applyBorder="1" applyAlignment="1">
      <alignment horizontal="left" vertical="center"/>
    </xf>
    <xf numFmtId="0" fontId="10" fillId="5" borderId="0" xfId="0" applyFont="1" applyFill="1" applyAlignment="1">
      <alignment horizontal="left" vertical="center"/>
    </xf>
    <xf numFmtId="0" fontId="12" fillId="0" borderId="24" xfId="0" applyFont="1" applyBorder="1" applyAlignment="1">
      <alignment horizontal="center" vertical="center"/>
    </xf>
    <xf numFmtId="0" fontId="12" fillId="0" borderId="23" xfId="0" applyFont="1" applyBorder="1" applyAlignment="1">
      <alignment horizontal="center" vertical="center"/>
    </xf>
    <xf numFmtId="0" fontId="12" fillId="0" borderId="26" xfId="0" applyFont="1" applyBorder="1" applyAlignment="1">
      <alignment horizontal="center" vertical="center"/>
    </xf>
    <xf numFmtId="0" fontId="6" fillId="6" borderId="41"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12" fillId="0" borderId="0" xfId="0" applyFont="1" applyAlignment="1">
      <alignment horizontal="center" vertical="center" wrapText="1"/>
    </xf>
    <xf numFmtId="0" fontId="6" fillId="0" borderId="0" xfId="0" applyFont="1" applyAlignment="1">
      <alignment horizontal="center"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6" fillId="4" borderId="0" xfId="0" applyFont="1" applyFill="1" applyAlignment="1">
      <alignment horizontal="center" vertical="center"/>
    </xf>
    <xf numFmtId="0" fontId="11" fillId="5" borderId="3"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4" xfId="0" applyFont="1" applyFill="1" applyBorder="1" applyAlignment="1">
      <alignment horizontal="center" vertical="center"/>
    </xf>
    <xf numFmtId="0" fontId="12" fillId="5" borderId="3"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5" fillId="0" borderId="3" xfId="0" applyFont="1" applyBorder="1" applyAlignment="1">
      <alignment horizontal="right" vertical="center"/>
    </xf>
    <xf numFmtId="0" fontId="5" fillId="0" borderId="4" xfId="0" applyFont="1" applyBorder="1" applyAlignment="1">
      <alignment horizontal="right" vertical="center"/>
    </xf>
    <xf numFmtId="164" fontId="8" fillId="0" borderId="3" xfId="2" applyFont="1" applyBorder="1" applyAlignment="1">
      <alignment horizontal="right" vertical="center"/>
    </xf>
    <xf numFmtId="164" fontId="8" fillId="0" borderId="4" xfId="2" applyFont="1" applyBorder="1" applyAlignment="1">
      <alignment horizontal="right"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4" fontId="5" fillId="0" borderId="3" xfId="0" applyNumberFormat="1" applyFont="1" applyBorder="1" applyAlignment="1">
      <alignment horizontal="right" vertical="center"/>
    </xf>
    <xf numFmtId="14" fontId="5" fillId="0" borderId="4" xfId="0" applyNumberFormat="1" applyFont="1" applyBorder="1" applyAlignment="1">
      <alignment horizontal="right" vertical="center"/>
    </xf>
    <xf numFmtId="14" fontId="5" fillId="0" borderId="3" xfId="0" applyNumberFormat="1" applyFont="1" applyBorder="1" applyAlignment="1">
      <alignment horizontal="right" vertical="center" wrapText="1"/>
    </xf>
    <xf numFmtId="0" fontId="11" fillId="5" borderId="1" xfId="0" applyFont="1" applyFill="1" applyBorder="1" applyAlignment="1">
      <alignment horizontal="center" vertical="center"/>
    </xf>
    <xf numFmtId="0" fontId="5" fillId="0" borderId="0" xfId="0" applyFont="1" applyAlignment="1">
      <alignment horizontal="left" vertical="center" wrapText="1"/>
    </xf>
    <xf numFmtId="0" fontId="12" fillId="5" borderId="1" xfId="0" applyFont="1" applyFill="1" applyBorder="1" applyAlignment="1">
      <alignment horizontal="center" vertical="center"/>
    </xf>
    <xf numFmtId="0" fontId="5" fillId="0" borderId="2" xfId="0" applyFont="1" applyBorder="1" applyAlignment="1">
      <alignment horizontal="left" vertical="center" wrapText="1"/>
    </xf>
    <xf numFmtId="0" fontId="12" fillId="5" borderId="3" xfId="0" applyFont="1" applyFill="1" applyBorder="1" applyAlignment="1">
      <alignment horizontal="center" vertical="center"/>
    </xf>
    <xf numFmtId="0" fontId="12" fillId="5" borderId="4" xfId="0" applyFont="1" applyFill="1" applyBorder="1" applyAlignment="1">
      <alignment horizontal="center" vertical="center"/>
    </xf>
    <xf numFmtId="0" fontId="6" fillId="4"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5" fillId="0" borderId="0" xfId="0" applyFont="1" applyAlignment="1">
      <alignment horizontal="left" vertical="top" wrapText="1"/>
    </xf>
    <xf numFmtId="0" fontId="12"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9" fillId="0" borderId="0" xfId="0" applyFont="1" applyAlignment="1">
      <alignment horizontal="left" vertical="top" wrapText="1"/>
    </xf>
    <xf numFmtId="0" fontId="12" fillId="2" borderId="3"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2" fillId="3" borderId="1"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11" borderId="1" xfId="0" applyFont="1" applyFill="1" applyBorder="1" applyAlignment="1">
      <alignment horizontal="center" vertical="center" wrapText="1"/>
    </xf>
    <xf numFmtId="0" fontId="12" fillId="11" borderId="1" xfId="0" applyFont="1" applyFill="1" applyBorder="1" applyAlignment="1">
      <alignment horizontal="center" vertical="center"/>
    </xf>
    <xf numFmtId="0" fontId="5" fillId="0" borderId="1" xfId="0" applyFont="1" applyBorder="1" applyAlignment="1">
      <alignment horizontal="right" vertical="center"/>
    </xf>
    <xf numFmtId="164" fontId="12" fillId="0" borderId="1" xfId="2" applyFont="1" applyBorder="1" applyAlignment="1">
      <alignment horizontal="right" vertical="center"/>
    </xf>
    <xf numFmtId="0" fontId="6" fillId="4" borderId="0" xfId="0" applyFont="1" applyFill="1" applyAlignment="1">
      <alignment horizontal="center"/>
    </xf>
    <xf numFmtId="0" fontId="11" fillId="5" borderId="1" xfId="0" applyFont="1" applyFill="1" applyBorder="1" applyAlignment="1">
      <alignment horizontal="center"/>
    </xf>
    <xf numFmtId="0" fontId="12" fillId="5" borderId="1" xfId="0" applyFont="1" applyFill="1" applyBorder="1" applyAlignment="1">
      <alignment horizontal="center"/>
    </xf>
    <xf numFmtId="0" fontId="5" fillId="0" borderId="2" xfId="0" applyFont="1" applyBorder="1" applyAlignment="1">
      <alignment horizontal="left" vertical="top" wrapText="1"/>
    </xf>
    <xf numFmtId="0" fontId="6" fillId="4" borderId="2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22" xfId="0" applyFont="1" applyFill="1" applyBorder="1" applyAlignment="1">
      <alignment horizontal="center" vertical="center"/>
    </xf>
    <xf numFmtId="14" fontId="5" fillId="0" borderId="0" xfId="0" applyNumberFormat="1" applyFont="1" applyAlignment="1">
      <alignment horizontal="right" vertical="center" wrapText="1"/>
    </xf>
    <xf numFmtId="14" fontId="5" fillId="0" borderId="0" xfId="0" applyNumberFormat="1" applyFont="1" applyAlignment="1">
      <alignment horizontal="right" vertical="center"/>
    </xf>
    <xf numFmtId="14" fontId="5" fillId="0" borderId="1" xfId="0" applyNumberFormat="1" applyFont="1" applyBorder="1" applyAlignment="1">
      <alignment horizontal="right" vertical="center"/>
    </xf>
    <xf numFmtId="14" fontId="5" fillId="0" borderId="3" xfId="0" applyNumberFormat="1" applyFont="1" applyBorder="1" applyAlignment="1">
      <alignment horizontal="left" vertical="top" wrapText="1"/>
    </xf>
    <xf numFmtId="14" fontId="5" fillId="0" borderId="4" xfId="0" applyNumberFormat="1" applyFont="1" applyBorder="1" applyAlignment="1">
      <alignment horizontal="left" vertical="top" wrapText="1"/>
    </xf>
    <xf numFmtId="0" fontId="6" fillId="4" borderId="14" xfId="0" applyFont="1" applyFill="1" applyBorder="1" applyAlignment="1">
      <alignment horizontal="center" vertical="center"/>
    </xf>
    <xf numFmtId="0" fontId="12" fillId="2" borderId="3" xfId="0" applyFont="1" applyFill="1" applyBorder="1" applyAlignment="1">
      <alignment horizontal="center"/>
    </xf>
    <xf numFmtId="0" fontId="12" fillId="2" borderId="5" xfId="0" applyFont="1" applyFill="1" applyBorder="1" applyAlignment="1">
      <alignment horizontal="center"/>
    </xf>
    <xf numFmtId="0" fontId="12" fillId="2" borderId="4" xfId="0" applyFont="1" applyFill="1" applyBorder="1" applyAlignment="1">
      <alignment horizontal="center"/>
    </xf>
    <xf numFmtId="0" fontId="5" fillId="0" borderId="3" xfId="0" applyFont="1" applyBorder="1" applyAlignment="1">
      <alignment horizontal="left" vertical="center" wrapText="1"/>
    </xf>
    <xf numFmtId="0" fontId="12" fillId="5" borderId="3" xfId="0" applyFont="1" applyFill="1" applyBorder="1" applyAlignment="1">
      <alignment horizontal="center"/>
    </xf>
    <xf numFmtId="0" fontId="12" fillId="5" borderId="5" xfId="0" applyFont="1" applyFill="1" applyBorder="1" applyAlignment="1">
      <alignment horizontal="center"/>
    </xf>
    <xf numFmtId="0" fontId="12" fillId="5" borderId="4" xfId="0" applyFont="1" applyFill="1" applyBorder="1" applyAlignment="1">
      <alignment horizontal="center"/>
    </xf>
    <xf numFmtId="0" fontId="12" fillId="3" borderId="3" xfId="0" applyFont="1" applyFill="1" applyBorder="1" applyAlignment="1">
      <alignment horizontal="left" wrapText="1"/>
    </xf>
    <xf numFmtId="0" fontId="12" fillId="3" borderId="4" xfId="0" applyFont="1" applyFill="1" applyBorder="1" applyAlignment="1">
      <alignment horizontal="left" wrapText="1"/>
    </xf>
    <xf numFmtId="0" fontId="12" fillId="3" borderId="3" xfId="0" applyFont="1" applyFill="1" applyBorder="1" applyAlignment="1">
      <alignment horizontal="center" wrapText="1"/>
    </xf>
    <xf numFmtId="0" fontId="12" fillId="3" borderId="4" xfId="0" applyFont="1" applyFill="1" applyBorder="1" applyAlignment="1">
      <alignment horizontal="center" wrapText="1"/>
    </xf>
    <xf numFmtId="0" fontId="12" fillId="5" borderId="3" xfId="0" applyFont="1" applyFill="1" applyBorder="1" applyAlignment="1">
      <alignment horizontal="center" vertical="top" wrapText="1"/>
    </xf>
    <xf numFmtId="0" fontId="12" fillId="5" borderId="5" xfId="0" applyFont="1" applyFill="1" applyBorder="1" applyAlignment="1">
      <alignment horizontal="center" vertical="top" wrapText="1"/>
    </xf>
    <xf numFmtId="0" fontId="12" fillId="5" borderId="4" xfId="0" applyFont="1" applyFill="1" applyBorder="1" applyAlignment="1">
      <alignment horizontal="center"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top" wrapText="1"/>
    </xf>
    <xf numFmtId="0" fontId="9" fillId="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6" fillId="4"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2" fillId="7" borderId="21" xfId="0" applyFont="1" applyFill="1" applyBorder="1" applyAlignment="1">
      <alignment horizontal="center"/>
    </xf>
    <xf numFmtId="0" fontId="12" fillId="7" borderId="2" xfId="0" applyFont="1" applyFill="1" applyBorder="1" applyAlignment="1">
      <alignment horizontal="center"/>
    </xf>
    <xf numFmtId="0" fontId="12" fillId="7" borderId="22" xfId="0" applyFont="1" applyFill="1" applyBorder="1" applyAlignment="1">
      <alignment horizontal="center"/>
    </xf>
    <xf numFmtId="0" fontId="12" fillId="7" borderId="3" xfId="0" applyFont="1" applyFill="1" applyBorder="1" applyAlignment="1">
      <alignment horizontal="right" indent="2"/>
    </xf>
    <xf numFmtId="0" fontId="12" fillId="7" borderId="5" xfId="0" applyFont="1" applyFill="1" applyBorder="1" applyAlignment="1">
      <alignment horizontal="right" indent="2"/>
    </xf>
    <xf numFmtId="0" fontId="12" fillId="7" borderId="4" xfId="0" applyFont="1" applyFill="1" applyBorder="1" applyAlignment="1">
      <alignment horizontal="right" indent="2"/>
    </xf>
    <xf numFmtId="0" fontId="12" fillId="14" borderId="24" xfId="0" applyFont="1" applyFill="1" applyBorder="1" applyAlignment="1">
      <alignment horizontal="center"/>
    </xf>
    <xf numFmtId="0" fontId="12" fillId="14" borderId="23" xfId="0" applyFont="1" applyFill="1" applyBorder="1" applyAlignment="1">
      <alignment horizontal="center"/>
    </xf>
    <xf numFmtId="0" fontId="12" fillId="14" borderId="26" xfId="0" applyFont="1" applyFill="1" applyBorder="1" applyAlignment="1">
      <alignment horizontal="center"/>
    </xf>
    <xf numFmtId="0" fontId="5" fillId="0" borderId="24" xfId="0" applyFont="1" applyBorder="1" applyAlignment="1">
      <alignment horizontal="left" vertical="center" wrapText="1"/>
    </xf>
    <xf numFmtId="0" fontId="5" fillId="0" borderId="23" xfId="0" applyFont="1" applyBorder="1" applyAlignment="1">
      <alignment horizontal="left" vertical="center"/>
    </xf>
    <xf numFmtId="0" fontId="5" fillId="0" borderId="26" xfId="0" applyFont="1" applyBorder="1" applyAlignment="1">
      <alignment horizontal="left" vertical="center"/>
    </xf>
    <xf numFmtId="0" fontId="12" fillId="13" borderId="35" xfId="0" applyFont="1" applyFill="1" applyBorder="1" applyAlignment="1">
      <alignment horizontal="center" vertical="center"/>
    </xf>
    <xf numFmtId="0" fontId="12" fillId="13" borderId="31" xfId="0" applyFont="1" applyFill="1" applyBorder="1" applyAlignment="1">
      <alignment horizontal="center" vertical="center"/>
    </xf>
    <xf numFmtId="0" fontId="9" fillId="13" borderId="35" xfId="0" applyFont="1" applyFill="1" applyBorder="1" applyAlignment="1">
      <alignment horizontal="center" vertical="center"/>
    </xf>
    <xf numFmtId="0" fontId="9" fillId="13" borderId="31" xfId="0" applyFont="1" applyFill="1" applyBorder="1" applyAlignment="1">
      <alignment horizontal="center" vertical="center"/>
    </xf>
    <xf numFmtId="0" fontId="9" fillId="13" borderId="35" xfId="0" applyFont="1" applyFill="1" applyBorder="1" applyAlignment="1">
      <alignment horizontal="center" vertical="center" wrapText="1"/>
    </xf>
    <xf numFmtId="0" fontId="9" fillId="13" borderId="31" xfId="0" applyFont="1" applyFill="1" applyBorder="1" applyAlignment="1">
      <alignment horizontal="center" vertical="center" wrapText="1"/>
    </xf>
    <xf numFmtId="0" fontId="10" fillId="16" borderId="24" xfId="0" applyFont="1" applyFill="1" applyBorder="1" applyAlignment="1">
      <alignment vertical="center" wrapText="1"/>
    </xf>
    <xf numFmtId="0" fontId="10" fillId="16" borderId="23" xfId="0" applyFont="1" applyFill="1" applyBorder="1" applyAlignment="1">
      <alignment vertical="center" wrapText="1"/>
    </xf>
    <xf numFmtId="0" fontId="10" fillId="16" borderId="26" xfId="0" applyFont="1" applyFill="1" applyBorder="1" applyAlignment="1">
      <alignment vertical="center" wrapText="1"/>
    </xf>
    <xf numFmtId="0" fontId="9" fillId="9" borderId="24" xfId="0" applyFont="1" applyFill="1" applyBorder="1" applyAlignment="1">
      <alignment horizontal="right" vertical="center"/>
    </xf>
    <xf numFmtId="0" fontId="9" fillId="9" borderId="23" xfId="0" applyFont="1" applyFill="1" applyBorder="1" applyAlignment="1">
      <alignment horizontal="right" vertical="center"/>
    </xf>
    <xf numFmtId="0" fontId="9" fillId="9" borderId="26" xfId="0" applyFont="1" applyFill="1" applyBorder="1" applyAlignment="1">
      <alignment horizontal="right" vertical="center"/>
    </xf>
    <xf numFmtId="0" fontId="9" fillId="5" borderId="24" xfId="0" applyFont="1" applyFill="1" applyBorder="1" applyAlignment="1">
      <alignment horizontal="center" vertical="center"/>
    </xf>
    <xf numFmtId="0" fontId="9" fillId="5" borderId="23" xfId="0" applyFont="1" applyFill="1" applyBorder="1" applyAlignment="1">
      <alignment horizontal="center" vertical="center"/>
    </xf>
    <xf numFmtId="0" fontId="9" fillId="9" borderId="23" xfId="0" applyFont="1" applyFill="1" applyBorder="1" applyAlignment="1">
      <alignment horizontal="center" vertical="center"/>
    </xf>
    <xf numFmtId="0" fontId="9" fillId="9" borderId="26" xfId="0" applyFont="1" applyFill="1" applyBorder="1" applyAlignment="1">
      <alignment horizontal="center" vertical="center"/>
    </xf>
    <xf numFmtId="0" fontId="12" fillId="15" borderId="24" xfId="0" applyFont="1" applyFill="1" applyBorder="1" applyAlignment="1">
      <alignment horizontal="center" vertical="center"/>
    </xf>
    <xf numFmtId="0" fontId="12" fillId="15" borderId="23" xfId="0" applyFont="1" applyFill="1" applyBorder="1" applyAlignment="1">
      <alignment horizontal="center" vertical="center"/>
    </xf>
    <xf numFmtId="0" fontId="12" fillId="15" borderId="26" xfId="0" applyFont="1" applyFill="1" applyBorder="1" applyAlignment="1">
      <alignment horizontal="center" vertical="center"/>
    </xf>
    <xf numFmtId="0" fontId="5" fillId="0" borderId="24" xfId="0" applyFont="1" applyBorder="1" applyAlignment="1">
      <alignment vertical="center" wrapText="1"/>
    </xf>
    <xf numFmtId="0" fontId="5" fillId="0" borderId="23" xfId="0" applyFont="1" applyBorder="1" applyAlignment="1">
      <alignment vertical="center" wrapText="1"/>
    </xf>
    <xf numFmtId="0" fontId="5" fillId="0" borderId="26" xfId="0" applyFont="1" applyBorder="1" applyAlignment="1">
      <alignment vertical="center" wrapText="1"/>
    </xf>
    <xf numFmtId="0" fontId="9" fillId="9" borderId="24" xfId="0" applyFont="1" applyFill="1" applyBorder="1" applyAlignment="1">
      <alignment horizontal="center" vertical="center"/>
    </xf>
    <xf numFmtId="0" fontId="5" fillId="0" borderId="24" xfId="0" applyFont="1" applyBorder="1"/>
    <xf numFmtId="0" fontId="5" fillId="0" borderId="23" xfId="0" applyFont="1" applyBorder="1"/>
    <xf numFmtId="0" fontId="5" fillId="0" borderId="26" xfId="0" applyFont="1" applyBorder="1"/>
    <xf numFmtId="0" fontId="5" fillId="0" borderId="20" xfId="0" applyFont="1" applyBorder="1"/>
    <xf numFmtId="0" fontId="5" fillId="0" borderId="27" xfId="0" applyFont="1" applyBorder="1"/>
    <xf numFmtId="0" fontId="11" fillId="16" borderId="24" xfId="0" applyFont="1" applyFill="1" applyBorder="1" applyAlignment="1">
      <alignment horizontal="center"/>
    </xf>
    <xf numFmtId="0" fontId="11" fillId="16" borderId="23" xfId="0" applyFont="1" applyFill="1" applyBorder="1" applyAlignment="1">
      <alignment horizontal="center"/>
    </xf>
    <xf numFmtId="0" fontId="11" fillId="16" borderId="26" xfId="0" applyFont="1" applyFill="1" applyBorder="1" applyAlignment="1">
      <alignment horizontal="center"/>
    </xf>
    <xf numFmtId="0" fontId="12" fillId="9" borderId="35" xfId="0" applyFont="1" applyFill="1" applyBorder="1" applyAlignment="1">
      <alignment horizontal="center" vertical="center"/>
    </xf>
    <xf numFmtId="0" fontId="12" fillId="9" borderId="31" xfId="0" applyFont="1" applyFill="1" applyBorder="1" applyAlignment="1">
      <alignment horizontal="center" vertical="center"/>
    </xf>
    <xf numFmtId="0" fontId="9" fillId="9" borderId="35" xfId="0" applyFont="1" applyFill="1" applyBorder="1" applyAlignment="1">
      <alignment horizontal="center" vertical="center"/>
    </xf>
    <xf numFmtId="0" fontId="9" fillId="9" borderId="31" xfId="0" applyFont="1" applyFill="1" applyBorder="1" applyAlignment="1">
      <alignment horizontal="center" vertical="center"/>
    </xf>
    <xf numFmtId="0" fontId="9" fillId="9" borderId="35" xfId="0" applyFont="1" applyFill="1" applyBorder="1" applyAlignment="1">
      <alignment horizontal="center" vertical="center" wrapText="1"/>
    </xf>
    <xf numFmtId="0" fontId="9" fillId="9" borderId="31" xfId="0" applyFont="1" applyFill="1" applyBorder="1" applyAlignment="1">
      <alignment horizontal="center" vertical="center" wrapText="1"/>
    </xf>
    <xf numFmtId="0" fontId="12" fillId="3" borderId="24" xfId="15" applyFont="1" applyFill="1" applyBorder="1" applyAlignment="1">
      <alignment horizontal="right" vertical="center" wrapText="1"/>
    </xf>
    <xf numFmtId="0" fontId="12" fillId="3" borderId="26" xfId="15" applyFont="1" applyFill="1" applyBorder="1" applyAlignment="1">
      <alignment horizontal="right" vertical="center" wrapText="1"/>
    </xf>
    <xf numFmtId="0" fontId="5" fillId="3" borderId="0" xfId="15" applyFont="1" applyFill="1" applyAlignment="1">
      <alignment horizontal="center" wrapText="1"/>
    </xf>
    <xf numFmtId="0" fontId="13" fillId="3" borderId="0" xfId="15" applyFont="1" applyFill="1" applyAlignment="1">
      <alignment horizontal="center"/>
    </xf>
    <xf numFmtId="0" fontId="12" fillId="5" borderId="24" xfId="15" applyFont="1" applyFill="1" applyBorder="1" applyAlignment="1">
      <alignment horizontal="center"/>
    </xf>
    <xf numFmtId="0" fontId="12" fillId="5" borderId="23" xfId="15" applyFont="1" applyFill="1" applyBorder="1" applyAlignment="1">
      <alignment horizontal="center"/>
    </xf>
    <xf numFmtId="0" fontId="12" fillId="5" borderId="26" xfId="15" applyFont="1" applyFill="1" applyBorder="1" applyAlignment="1">
      <alignment horizontal="center"/>
    </xf>
    <xf numFmtId="0" fontId="12" fillId="3" borderId="24" xfId="15" applyFont="1" applyFill="1" applyBorder="1" applyAlignment="1">
      <alignment horizontal="center"/>
    </xf>
    <xf numFmtId="0" fontId="12" fillId="3" borderId="23" xfId="15" applyFont="1" applyFill="1" applyBorder="1" applyAlignment="1">
      <alignment horizontal="center"/>
    </xf>
    <xf numFmtId="0" fontId="12" fillId="3" borderId="26" xfId="15" applyFont="1" applyFill="1" applyBorder="1" applyAlignment="1">
      <alignment horizontal="center"/>
    </xf>
    <xf numFmtId="0" fontId="5" fillId="3" borderId="0" xfId="15" applyFont="1" applyFill="1" applyAlignment="1">
      <alignment horizontal="left" vertical="top" wrapText="1"/>
    </xf>
  </cellXfs>
  <cellStyles count="46">
    <cellStyle name="Moeda" xfId="2" builtinId="4"/>
    <cellStyle name="Moeda 2" xfId="6" xr:uid="{00000000-0005-0000-0000-000001000000}"/>
    <cellStyle name="Moeda 2 3" xfId="12" xr:uid="{00000000-0005-0000-0000-000002000000}"/>
    <cellStyle name="Moeda 3" xfId="5" xr:uid="{00000000-0005-0000-0000-000003000000}"/>
    <cellStyle name="Moeda 4" xfId="14" xr:uid="{00000000-0005-0000-0000-000004000000}"/>
    <cellStyle name="Moeda 4 2" xfId="17" xr:uid="{00000000-0005-0000-0000-000005000000}"/>
    <cellStyle name="Moeda 4 2 2" xfId="21" xr:uid="{C4E6C2F5-B2A2-4574-9D80-65D971E9446B}"/>
    <cellStyle name="Moeda 4 2 2 2" xfId="29" xr:uid="{02AF2635-49A7-4180-98DB-6AB7D2E8741F}"/>
    <cellStyle name="Moeda 4 2 2 2 2" xfId="45" xr:uid="{737BEAD4-E3D4-4748-9AC6-5A7153489C45}"/>
    <cellStyle name="Moeda 4 2 2 3" xfId="37" xr:uid="{51098297-1AE9-4313-8EA4-21EA9A938D8E}"/>
    <cellStyle name="Moeda 4 2 3" xfId="25" xr:uid="{42FB2690-FF68-4394-8000-0B3B3FF88BE9}"/>
    <cellStyle name="Moeda 4 2 3 2" xfId="41" xr:uid="{CA27A92E-4F17-48BE-B635-52FE15523545}"/>
    <cellStyle name="Moeda 4 2 4" xfId="33" xr:uid="{69F3F894-394C-43BE-981D-67FE14D56DAE}"/>
    <cellStyle name="Moeda 4 3" xfId="19" xr:uid="{DD4783C6-D8EA-4DDB-9EE8-E9EFEE6FBF8B}"/>
    <cellStyle name="Moeda 4 3 2" xfId="27" xr:uid="{5B1D964A-378D-4F17-BE51-5B205F222124}"/>
    <cellStyle name="Moeda 4 3 2 2" xfId="43" xr:uid="{9D3633F3-4EB2-40BD-B191-209C8557ADE2}"/>
    <cellStyle name="Moeda 4 3 3" xfId="35" xr:uid="{32F881A6-C0D4-42EF-A6FA-91B47DBB4302}"/>
    <cellStyle name="Moeda 4 4" xfId="23" xr:uid="{F3940A27-9965-444F-BA50-2C254A25AD46}"/>
    <cellStyle name="Moeda 4 4 2" xfId="39" xr:uid="{92645C7B-69F9-449C-A4C9-B46D251135A1}"/>
    <cellStyle name="Moeda 4 5" xfId="31" xr:uid="{6C65E397-31A9-4C45-A1D7-C88D36A4E40A}"/>
    <cellStyle name="Normal" xfId="0" builtinId="0"/>
    <cellStyle name="Normal 2" xfId="7" xr:uid="{00000000-0005-0000-0000-000007000000}"/>
    <cellStyle name="Normal 3" xfId="11" xr:uid="{00000000-0005-0000-0000-000008000000}"/>
    <cellStyle name="Normal 3 2" xfId="15" xr:uid="{00000000-0005-0000-0000-000009000000}"/>
    <cellStyle name="Normal 4" xfId="10" xr:uid="{00000000-0005-0000-0000-00000A000000}"/>
    <cellStyle name="Normal 5" xfId="13" xr:uid="{00000000-0005-0000-0000-00000B000000}"/>
    <cellStyle name="Normal 6" xfId="4" xr:uid="{00000000-0005-0000-0000-00000C000000}"/>
    <cellStyle name="Porcentagem" xfId="3" builtinId="5"/>
    <cellStyle name="Porcentagem 2" xfId="8" xr:uid="{00000000-0005-0000-0000-00000E000000}"/>
    <cellStyle name="Vírgula" xfId="1" builtinId="3"/>
    <cellStyle name="Vírgula 2" xfId="9" xr:uid="{00000000-0005-0000-0000-000010000000}"/>
    <cellStyle name="Vírgula 3" xfId="16" xr:uid="{00000000-0005-0000-0000-000011000000}"/>
    <cellStyle name="Vírgula 3 2" xfId="20" xr:uid="{0B02A108-5B01-4A01-946F-EADD1ABDAB4B}"/>
    <cellStyle name="Vírgula 3 2 2" xfId="28" xr:uid="{112AF668-9855-4D19-BC53-63EC9233716A}"/>
    <cellStyle name="Vírgula 3 2 2 2" xfId="44" xr:uid="{54179ED3-D72D-4A9E-8302-881773F7BE9D}"/>
    <cellStyle name="Vírgula 3 2 3" xfId="36" xr:uid="{7CFE418A-67A1-40E3-BA86-50C9827097AF}"/>
    <cellStyle name="Vírgula 3 3" xfId="24" xr:uid="{6F9E7596-FBE1-42D2-B4C3-5487BFC81FBA}"/>
    <cellStyle name="Vírgula 3 3 2" xfId="40" xr:uid="{E036B8CA-813E-44B3-8211-7E4F5E23F3B2}"/>
    <cellStyle name="Vírgula 3 4" xfId="32" xr:uid="{410C81B3-FE8F-49FB-B2A4-086A94216481}"/>
    <cellStyle name="Vírgula 4" xfId="18" xr:uid="{9D5CA704-3723-4007-A895-F2678CF0E97C}"/>
    <cellStyle name="Vírgula 4 2" xfId="26" xr:uid="{A77A5AA0-1914-4A3D-BF77-7ACAA1F57585}"/>
    <cellStyle name="Vírgula 4 2 2" xfId="42" xr:uid="{1599ECF9-B5D1-4E46-A4E3-1A3B6C972E0B}"/>
    <cellStyle name="Vírgula 4 3" xfId="34" xr:uid="{88565402-4A09-45A5-B4BD-6B8BBA49894B}"/>
    <cellStyle name="Vírgula 5" xfId="22" xr:uid="{BF540402-6BED-4DCD-A863-4CF1B165FD93}"/>
    <cellStyle name="Vírgula 5 2" xfId="38" xr:uid="{962D05FD-C332-4D6E-B04F-683061C2C8C0}"/>
    <cellStyle name="Vírgula 6" xfId="30" xr:uid="{F612F8C3-0FC5-4F35-BB34-9E7FC5589A65}"/>
  </cellStyles>
  <dxfs count="0"/>
  <tableStyles count="0" defaultTableStyle="TableStyleMedium2" defaultPivotStyle="PivotStyleLight16"/>
  <colors>
    <mruColors>
      <color rgb="FF1FA17C"/>
      <color rgb="FFFBB8B1"/>
      <color rgb="FF3F8168"/>
      <color rgb="FF3F6981"/>
      <color rgb="FF526E60"/>
      <color rgb="FF5354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2028825</xdr:colOff>
      <xdr:row>11</xdr:row>
      <xdr:rowOff>885825</xdr:rowOff>
    </xdr:from>
    <xdr:to>
      <xdr:col>1</xdr:col>
      <xdr:colOff>3390900</xdr:colOff>
      <xdr:row>11</xdr:row>
      <xdr:rowOff>1228725</xdr:rowOff>
    </xdr:to>
    <xdr:pic>
      <xdr:nvPicPr>
        <xdr:cNvPr id="2" name="Imagem 3">
          <a:extLst>
            <a:ext uri="{FF2B5EF4-FFF2-40B4-BE49-F238E27FC236}">
              <a16:creationId xmlns:a16="http://schemas.microsoft.com/office/drawing/2014/main" id="{161E5325-7118-4A09-8980-8F4A039EE92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76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276225</xdr:colOff>
      <xdr:row>22</xdr:row>
      <xdr:rowOff>133350</xdr:rowOff>
    </xdr:from>
    <xdr:to>
      <xdr:col>5</xdr:col>
      <xdr:colOff>431165</xdr:colOff>
      <xdr:row>26</xdr:row>
      <xdr:rowOff>57150</xdr:rowOff>
    </xdr:to>
    <xdr:sp macro="" textlink="">
      <xdr:nvSpPr>
        <xdr:cNvPr id="2" name="Chave esquerda 3">
          <a:extLst>
            <a:ext uri="{FF2B5EF4-FFF2-40B4-BE49-F238E27FC236}">
              <a16:creationId xmlns:a16="http://schemas.microsoft.com/office/drawing/2014/main" id="{56D98F4C-58C2-457E-8B3D-CD6CFBF6A6CE}"/>
            </a:ext>
          </a:extLst>
        </xdr:cNvPr>
        <xdr:cNvSpPr/>
      </xdr:nvSpPr>
      <xdr:spPr>
        <a:xfrm>
          <a:off x="3648075" y="7162800"/>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0</xdr:col>
      <xdr:colOff>276225</xdr:colOff>
      <xdr:row>22</xdr:row>
      <xdr:rowOff>123825</xdr:rowOff>
    </xdr:from>
    <xdr:to>
      <xdr:col>1</xdr:col>
      <xdr:colOff>50165</xdr:colOff>
      <xdr:row>26</xdr:row>
      <xdr:rowOff>47625</xdr:rowOff>
    </xdr:to>
    <xdr:sp macro="" textlink="">
      <xdr:nvSpPr>
        <xdr:cNvPr id="3" name="Chave esquerda 5">
          <a:extLst>
            <a:ext uri="{FF2B5EF4-FFF2-40B4-BE49-F238E27FC236}">
              <a16:creationId xmlns:a16="http://schemas.microsoft.com/office/drawing/2014/main" id="{588E91FF-2BD5-4275-A52F-8A558D7E3BF8}"/>
            </a:ext>
          </a:extLst>
        </xdr:cNvPr>
        <xdr:cNvSpPr/>
      </xdr:nvSpPr>
      <xdr:spPr>
        <a:xfrm>
          <a:off x="276225" y="7153275"/>
          <a:ext cx="1930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9</xdr:col>
      <xdr:colOff>304800</xdr:colOff>
      <xdr:row>22</xdr:row>
      <xdr:rowOff>142875</xdr:rowOff>
    </xdr:from>
    <xdr:to>
      <xdr:col>9</xdr:col>
      <xdr:colOff>459740</xdr:colOff>
      <xdr:row>26</xdr:row>
      <xdr:rowOff>66675</xdr:rowOff>
    </xdr:to>
    <xdr:sp macro="" textlink="">
      <xdr:nvSpPr>
        <xdr:cNvPr id="4" name="Chave esquerda 7">
          <a:extLst>
            <a:ext uri="{FF2B5EF4-FFF2-40B4-BE49-F238E27FC236}">
              <a16:creationId xmlns:a16="http://schemas.microsoft.com/office/drawing/2014/main" id="{6732C547-DA58-474A-8206-69B1EF7C582A}"/>
            </a:ext>
          </a:extLst>
        </xdr:cNvPr>
        <xdr:cNvSpPr/>
      </xdr:nvSpPr>
      <xdr:spPr>
        <a:xfrm>
          <a:off x="6610350" y="7172325"/>
          <a:ext cx="15494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10</xdr:col>
      <xdr:colOff>431163</xdr:colOff>
      <xdr:row>22</xdr:row>
      <xdr:rowOff>142875</xdr:rowOff>
    </xdr:from>
    <xdr:to>
      <xdr:col>12</xdr:col>
      <xdr:colOff>76199</xdr:colOff>
      <xdr:row>26</xdr:row>
      <xdr:rowOff>66675</xdr:rowOff>
    </xdr:to>
    <xdr:sp macro="" textlink="">
      <xdr:nvSpPr>
        <xdr:cNvPr id="5" name="Chave esquerda 7">
          <a:extLst>
            <a:ext uri="{FF2B5EF4-FFF2-40B4-BE49-F238E27FC236}">
              <a16:creationId xmlns:a16="http://schemas.microsoft.com/office/drawing/2014/main" id="{44C1D6E0-56AA-4C66-B536-FEB1EC655699}"/>
            </a:ext>
          </a:extLst>
        </xdr:cNvPr>
        <xdr:cNvSpPr/>
      </xdr:nvSpPr>
      <xdr:spPr>
        <a:xfrm flipH="1">
          <a:off x="7422513" y="7172325"/>
          <a:ext cx="245111"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5</xdr:col>
      <xdr:colOff>1628775</xdr:colOff>
      <xdr:row>23</xdr:row>
      <xdr:rowOff>9525</xdr:rowOff>
    </xdr:from>
    <xdr:to>
      <xdr:col>6</xdr:col>
      <xdr:colOff>149861</xdr:colOff>
      <xdr:row>26</xdr:row>
      <xdr:rowOff>95250</xdr:rowOff>
    </xdr:to>
    <xdr:sp macro="" textlink="">
      <xdr:nvSpPr>
        <xdr:cNvPr id="6" name="Chave esquerda 7">
          <a:extLst>
            <a:ext uri="{FF2B5EF4-FFF2-40B4-BE49-F238E27FC236}">
              <a16:creationId xmlns:a16="http://schemas.microsoft.com/office/drawing/2014/main" id="{3347CD8B-F2F8-4882-BDE7-5B0038CB1A97}"/>
            </a:ext>
          </a:extLst>
        </xdr:cNvPr>
        <xdr:cNvSpPr/>
      </xdr:nvSpPr>
      <xdr:spPr>
        <a:xfrm flipH="1">
          <a:off x="5000625" y="7200900"/>
          <a:ext cx="2736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1</xdr:col>
      <xdr:colOff>1371600</xdr:colOff>
      <xdr:row>22</xdr:row>
      <xdr:rowOff>123825</xdr:rowOff>
    </xdr:from>
    <xdr:to>
      <xdr:col>1</xdr:col>
      <xdr:colOff>1569086</xdr:colOff>
      <xdr:row>26</xdr:row>
      <xdr:rowOff>47625</xdr:rowOff>
    </xdr:to>
    <xdr:sp macro="" textlink="">
      <xdr:nvSpPr>
        <xdr:cNvPr id="7" name="Chave esquerda 7">
          <a:extLst>
            <a:ext uri="{FF2B5EF4-FFF2-40B4-BE49-F238E27FC236}">
              <a16:creationId xmlns:a16="http://schemas.microsoft.com/office/drawing/2014/main" id="{5010AF71-721F-42D1-BF48-22CEDE579368}"/>
            </a:ext>
          </a:extLst>
        </xdr:cNvPr>
        <xdr:cNvSpPr/>
      </xdr:nvSpPr>
      <xdr:spPr>
        <a:xfrm flipH="1">
          <a:off x="1790700" y="7153275"/>
          <a:ext cx="197486"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wsDr>
</file>

<file path=xl/theme/theme1.xml><?xml version="1.0" encoding="utf-8"?>
<a:theme xmlns:a="http://schemas.openxmlformats.org/drawingml/2006/main" name="Tema do Office">
  <a:themeElements>
    <a:clrScheme name="Azul Quente">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399C-65D9-4DE9-85C8-9FE0120F4B49}">
  <sheetPr codeName="Planilha1">
    <tabColor theme="2" tint="-0.499984740745262"/>
    <pageSetUpPr fitToPage="1"/>
  </sheetPr>
  <dimension ref="A1:L14"/>
  <sheetViews>
    <sheetView tabSelected="1" view="pageBreakPreview" zoomScale="115" zoomScaleNormal="100" zoomScaleSheetLayoutView="115" workbookViewId="0">
      <selection activeCell="R13" sqref="R13"/>
    </sheetView>
  </sheetViews>
  <sheetFormatPr defaultColWidth="9.140625" defaultRowHeight="12.75"/>
  <cols>
    <col min="1" max="1" width="9.140625" style="32"/>
    <col min="2" max="2" width="42.85546875" style="32" customWidth="1"/>
    <col min="3" max="3" width="18.28515625" style="32" customWidth="1"/>
    <col min="4" max="4" width="22.7109375" style="32" customWidth="1"/>
    <col min="5" max="5" width="9.140625" style="32" hidden="1" customWidth="1"/>
    <col min="6" max="7" width="0" style="32" hidden="1" customWidth="1"/>
    <col min="8" max="8" width="13.85546875" style="32" hidden="1" customWidth="1"/>
    <col min="9" max="9" width="15.42578125" style="32" hidden="1" customWidth="1"/>
    <col min="10" max="10" width="10.7109375" style="32" hidden="1" customWidth="1"/>
    <col min="11" max="11" width="0" style="32" hidden="1" customWidth="1"/>
    <col min="12" max="12" width="18" style="32" customWidth="1"/>
    <col min="13" max="16384" width="9.140625" style="32"/>
  </cols>
  <sheetData>
    <row r="1" spans="1:12" ht="33.75" customHeight="1">
      <c r="A1" s="244" t="s">
        <v>0</v>
      </c>
      <c r="B1" s="245"/>
      <c r="C1" s="245"/>
      <c r="D1" s="245"/>
      <c r="E1" s="245"/>
      <c r="F1" s="245"/>
      <c r="G1" s="245"/>
      <c r="H1" s="245"/>
      <c r="I1" s="245"/>
      <c r="J1" s="245"/>
      <c r="K1" s="245"/>
      <c r="L1" s="245"/>
    </row>
    <row r="2" spans="1:12" ht="15" customHeight="1">
      <c r="A2" s="246" t="s">
        <v>1</v>
      </c>
      <c r="B2" s="247"/>
      <c r="C2" s="247"/>
      <c r="D2" s="247"/>
      <c r="E2" s="247"/>
      <c r="F2" s="247"/>
      <c r="G2" s="247"/>
      <c r="H2" s="247"/>
      <c r="I2" s="247"/>
      <c r="J2" s="247"/>
      <c r="K2" s="247"/>
      <c r="L2" s="247"/>
    </row>
    <row r="3" spans="1:12" ht="113.45" customHeight="1">
      <c r="A3" s="225" t="s">
        <v>2</v>
      </c>
      <c r="B3" s="248" t="s">
        <v>586</v>
      </c>
      <c r="C3" s="249"/>
      <c r="D3" s="249"/>
      <c r="E3" s="249"/>
      <c r="F3" s="249"/>
      <c r="G3" s="249"/>
      <c r="H3" s="249"/>
      <c r="I3" s="249"/>
      <c r="J3" s="249"/>
      <c r="K3" s="249"/>
      <c r="L3" s="249"/>
    </row>
    <row r="4" spans="1:12" ht="25.5">
      <c r="A4" s="226" t="s">
        <v>3</v>
      </c>
      <c r="B4" s="226" t="s">
        <v>4</v>
      </c>
      <c r="C4" s="226" t="s">
        <v>5</v>
      </c>
      <c r="D4" s="227" t="s">
        <v>6</v>
      </c>
      <c r="E4" s="200">
        <v>0.06</v>
      </c>
      <c r="F4" s="228"/>
      <c r="G4" s="228"/>
      <c r="H4" s="228"/>
      <c r="I4" s="228"/>
      <c r="J4" s="228"/>
      <c r="K4" s="228"/>
      <c r="L4" s="224" t="s">
        <v>582</v>
      </c>
    </row>
    <row r="5" spans="1:12">
      <c r="A5" s="229" t="s">
        <v>7</v>
      </c>
      <c r="B5" s="28" t="s">
        <v>576</v>
      </c>
      <c r="C5" s="183">
        <f>'2 Resumo Post de Trab'!E26</f>
        <v>306112.41554435296</v>
      </c>
      <c r="D5" s="184">
        <f>'2 Resumo Post de Trab'!E27</f>
        <v>3673348.9865322355</v>
      </c>
      <c r="H5" s="183">
        <v>173273.7</v>
      </c>
      <c r="I5" s="184">
        <v>2079284.44</v>
      </c>
      <c r="J5" s="223">
        <f>I5-D5</f>
        <v>-1594064.5465322356</v>
      </c>
      <c r="L5" s="222">
        <f>D5*5</f>
        <v>18366744.932661176</v>
      </c>
    </row>
    <row r="6" spans="1:12">
      <c r="A6" s="229" t="s">
        <v>8</v>
      </c>
      <c r="B6" s="28" t="s">
        <v>577</v>
      </c>
      <c r="C6" s="183">
        <f>D6/12</f>
        <v>10176.74</v>
      </c>
      <c r="D6" s="185">
        <f>'TABELA 6 Serv Especializados'!F21</f>
        <v>122120.88</v>
      </c>
      <c r="H6" s="183">
        <v>5916.67</v>
      </c>
      <c r="I6" s="185">
        <v>70999.990000000005</v>
      </c>
      <c r="J6" s="223">
        <f t="shared" ref="J6:J9" si="0">I6-D6</f>
        <v>-51120.89</v>
      </c>
      <c r="L6" s="222">
        <f>D6*5</f>
        <v>610604.4</v>
      </c>
    </row>
    <row r="7" spans="1:12" ht="25.5">
      <c r="A7" s="229" t="s">
        <v>9</v>
      </c>
      <c r="B7" s="28" t="s">
        <v>578</v>
      </c>
      <c r="C7" s="183">
        <f>D7/12</f>
        <v>45567.438333333332</v>
      </c>
      <c r="D7" s="185">
        <f>'TABELA 7 - Mat. e Peças'!G4</f>
        <v>546809.26</v>
      </c>
      <c r="E7" s="32">
        <v>7.23</v>
      </c>
      <c r="H7" s="183">
        <v>31500</v>
      </c>
      <c r="I7" s="185">
        <v>377999.98</v>
      </c>
      <c r="J7" s="223">
        <f t="shared" si="0"/>
        <v>-168809.28000000003</v>
      </c>
      <c r="L7" s="222">
        <f>D7*5</f>
        <v>2734046.3</v>
      </c>
    </row>
    <row r="8" spans="1:12">
      <c r="A8" s="229" t="s">
        <v>10</v>
      </c>
      <c r="B8" s="28" t="s">
        <v>579</v>
      </c>
      <c r="C8" s="183">
        <f>D8/12</f>
        <v>42375.762500000004</v>
      </c>
      <c r="D8" s="185">
        <f>'TABELA 8 - Serviços Eventuais'!E3</f>
        <v>508509.15</v>
      </c>
      <c r="E8" s="32">
        <v>7.1</v>
      </c>
      <c r="H8" s="183">
        <v>12037.57</v>
      </c>
      <c r="I8" s="185">
        <v>144450.87</v>
      </c>
      <c r="J8" s="223">
        <f t="shared" si="0"/>
        <v>-364058.28</v>
      </c>
      <c r="L8" s="222">
        <f t="shared" ref="L8:L9" si="1">D8*5</f>
        <v>2542545.75</v>
      </c>
    </row>
    <row r="9" spans="1:12" ht="12.75" customHeight="1">
      <c r="A9" s="243" t="s">
        <v>11</v>
      </c>
      <c r="B9" s="243"/>
      <c r="C9" s="230">
        <f t="shared" ref="C9:D9" si="2">SUM(C5:C8)</f>
        <v>404232.35637768632</v>
      </c>
      <c r="D9" s="231">
        <f t="shared" si="2"/>
        <v>4850788.2765322356</v>
      </c>
      <c r="E9" s="232">
        <f>E8+E7</f>
        <v>14.33</v>
      </c>
      <c r="F9" s="232"/>
      <c r="G9" s="232"/>
      <c r="H9" s="230">
        <v>222727.94</v>
      </c>
      <c r="I9" s="231">
        <v>2672735.2799999998</v>
      </c>
      <c r="J9" s="233">
        <f t="shared" si="0"/>
        <v>-2178052.9965322358</v>
      </c>
      <c r="K9" s="232"/>
      <c r="L9" s="234">
        <f t="shared" si="1"/>
        <v>24253941.382661179</v>
      </c>
    </row>
    <row r="10" spans="1:12" ht="19.5" customHeight="1">
      <c r="A10" s="237"/>
      <c r="B10" s="238"/>
      <c r="C10" s="238"/>
      <c r="D10" s="239"/>
    </row>
    <row r="11" spans="1:12" ht="3" customHeight="1">
      <c r="A11" s="237"/>
      <c r="B11" s="238"/>
      <c r="C11" s="238"/>
      <c r="D11" s="239"/>
    </row>
    <row r="12" spans="1:12" ht="28.9" hidden="1" customHeight="1" thickBot="1">
      <c r="A12" s="240"/>
      <c r="B12" s="241"/>
      <c r="C12" s="241"/>
      <c r="D12" s="242"/>
    </row>
    <row r="13" spans="1:12" ht="29.25" customHeight="1">
      <c r="A13" s="109"/>
    </row>
    <row r="14" spans="1:12" ht="14.25" customHeight="1"/>
  </sheetData>
  <mergeCells count="5">
    <mergeCell ref="A10:D12"/>
    <mergeCell ref="A9:B9"/>
    <mergeCell ref="A1:L1"/>
    <mergeCell ref="A2:L2"/>
    <mergeCell ref="B3:L3"/>
  </mergeCells>
  <printOptions horizontalCentered="1"/>
  <pageMargins left="0.55118110236220474" right="0.55118110236220474" top="1.2598425196850394" bottom="0.98425196850393704" header="0" footer="0"/>
  <pageSetup paperSize="9" scale="8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0">
    <tabColor theme="9" tint="0.59999389629810485"/>
    <pageSetUpPr fitToPage="1"/>
  </sheetPr>
  <dimension ref="A1:D143"/>
  <sheetViews>
    <sheetView showGridLines="0" zoomScale="115" zoomScaleNormal="115" workbookViewId="0">
      <selection activeCell="B24" sqref="B24"/>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194</v>
      </c>
      <c r="D4" s="299"/>
    </row>
    <row r="5" spans="1:4">
      <c r="A5" s="34">
        <v>2</v>
      </c>
      <c r="B5" s="26" t="s">
        <v>66</v>
      </c>
      <c r="C5" s="314"/>
      <c r="D5" s="314"/>
    </row>
    <row r="6" spans="1:4">
      <c r="A6" s="34">
        <v>3</v>
      </c>
      <c r="B6" s="26" t="s">
        <v>67</v>
      </c>
      <c r="C6" s="285">
        <v>2238.1</v>
      </c>
      <c r="D6" s="286"/>
    </row>
    <row r="7" spans="1:4" ht="25.5" customHeight="1">
      <c r="A7" s="34">
        <v>4</v>
      </c>
      <c r="B7" s="26" t="s">
        <v>68</v>
      </c>
      <c r="C7" s="287" t="s">
        <v>550</v>
      </c>
      <c r="D7" s="288"/>
    </row>
    <row r="8" spans="1:4">
      <c r="A8" s="34">
        <v>5</v>
      </c>
      <c r="B8" s="26" t="s">
        <v>69</v>
      </c>
      <c r="C8" s="289">
        <v>44927</v>
      </c>
      <c r="D8" s="290"/>
    </row>
    <row r="9" spans="1:4">
      <c r="A9" s="34">
        <v>6</v>
      </c>
      <c r="B9" s="26" t="s">
        <v>70</v>
      </c>
      <c r="C9" s="289" t="s">
        <v>551</v>
      </c>
      <c r="D9" s="290"/>
    </row>
    <row r="11" spans="1:4">
      <c r="A11" s="277" t="s">
        <v>72</v>
      </c>
      <c r="B11" s="277"/>
      <c r="C11" s="277"/>
      <c r="D11" s="277"/>
    </row>
    <row r="12" spans="1:4">
      <c r="A12" s="63">
        <v>1</v>
      </c>
      <c r="B12" s="317" t="s">
        <v>73</v>
      </c>
      <c r="C12" s="317"/>
      <c r="D12" s="35" t="s">
        <v>74</v>
      </c>
    </row>
    <row r="13" spans="1:4">
      <c r="A13" s="64" t="s">
        <v>75</v>
      </c>
      <c r="B13" s="274" t="s">
        <v>76</v>
      </c>
      <c r="C13" s="274"/>
      <c r="D13" s="38">
        <v>2412.2399999999998</v>
      </c>
    </row>
    <row r="14" spans="1:4">
      <c r="A14" s="64" t="s">
        <v>77</v>
      </c>
      <c r="B14" s="274" t="s">
        <v>78</v>
      </c>
      <c r="C14" s="274"/>
      <c r="D14" s="39" t="s">
        <v>79</v>
      </c>
    </row>
    <row r="15" spans="1:4">
      <c r="A15" s="64" t="s">
        <v>80</v>
      </c>
      <c r="B15" s="274" t="s">
        <v>185</v>
      </c>
      <c r="C15" s="274"/>
      <c r="D15" s="39"/>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2412.2399999999998</v>
      </c>
    </row>
    <row r="20" spans="1:4">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219.27261599999997</v>
      </c>
    </row>
    <row r="26" spans="1:4">
      <c r="A26" s="36" t="s">
        <v>77</v>
      </c>
      <c r="B26" s="42" t="s">
        <v>597</v>
      </c>
      <c r="C26" s="43">
        <v>3.0300000000000001E-2</v>
      </c>
      <c r="D26" s="44">
        <f>C26*$D$19</f>
        <v>73.09087199999999</v>
      </c>
    </row>
    <row r="27" spans="1:4">
      <c r="A27" s="294" t="s">
        <v>87</v>
      </c>
      <c r="B27" s="294"/>
      <c r="C27" s="45">
        <f t="shared" ref="C27:D27" si="0">SUM(C25:C26)</f>
        <v>0.1212</v>
      </c>
      <c r="D27" s="46">
        <f t="shared" si="0"/>
        <v>292.36348799999996</v>
      </c>
    </row>
    <row r="28" spans="1:4" ht="12.75" customHeight="1">
      <c r="A28" s="293" t="s">
        <v>93</v>
      </c>
      <c r="B28" s="293"/>
      <c r="C28" s="293"/>
      <c r="D28" s="293"/>
    </row>
    <row r="29" spans="1:4" ht="12.75" customHeight="1">
      <c r="A29" s="293" t="s">
        <v>94</v>
      </c>
      <c r="B29" s="293"/>
      <c r="C29" s="293"/>
      <c r="D29" s="293"/>
    </row>
    <row r="30" spans="1:4" ht="12.75"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540.92069759999993</v>
      </c>
    </row>
    <row r="35" spans="1:4">
      <c r="A35" s="36" t="s">
        <v>77</v>
      </c>
      <c r="B35" s="42" t="s">
        <v>100</v>
      </c>
      <c r="C35" s="48">
        <v>2.5000000000000001E-2</v>
      </c>
      <c r="D35" s="44">
        <f>$C35*(D$19+D$27)</f>
        <v>67.615087199999991</v>
      </c>
    </row>
    <row r="36" spans="1:4">
      <c r="A36" s="36" t="s">
        <v>80</v>
      </c>
      <c r="B36" s="42" t="s">
        <v>101</v>
      </c>
      <c r="C36" s="48">
        <v>0.03</v>
      </c>
      <c r="D36" s="44">
        <f t="shared" ref="D36:D40" si="1">C36*($D$19+$D$27)</f>
        <v>81.138104639999995</v>
      </c>
    </row>
    <row r="37" spans="1:4">
      <c r="A37" s="36" t="s">
        <v>81</v>
      </c>
      <c r="B37" s="42" t="s">
        <v>102</v>
      </c>
      <c r="C37" s="48">
        <v>1.4999999999999999E-2</v>
      </c>
      <c r="D37" s="44">
        <f t="shared" si="1"/>
        <v>40.569052319999997</v>
      </c>
    </row>
    <row r="38" spans="1:4">
      <c r="A38" s="36" t="s">
        <v>83</v>
      </c>
      <c r="B38" s="42" t="s">
        <v>103</v>
      </c>
      <c r="C38" s="48">
        <v>0.01</v>
      </c>
      <c r="D38" s="44">
        <f t="shared" si="1"/>
        <v>27.046034879999997</v>
      </c>
    </row>
    <row r="39" spans="1:4">
      <c r="A39" s="36" t="s">
        <v>85</v>
      </c>
      <c r="B39" s="42" t="s">
        <v>104</v>
      </c>
      <c r="C39" s="48">
        <v>6.0000000000000001E-3</v>
      </c>
      <c r="D39" s="44">
        <f t="shared" si="1"/>
        <v>16.227620928</v>
      </c>
    </row>
    <row r="40" spans="1:4">
      <c r="A40" s="36" t="s">
        <v>105</v>
      </c>
      <c r="B40" s="42" t="s">
        <v>106</v>
      </c>
      <c r="C40" s="48">
        <v>2E-3</v>
      </c>
      <c r="D40" s="44">
        <f t="shared" si="1"/>
        <v>5.4092069759999992</v>
      </c>
    </row>
    <row r="41" spans="1:4">
      <c r="A41" s="36" t="s">
        <v>107</v>
      </c>
      <c r="B41" s="42" t="s">
        <v>108</v>
      </c>
      <c r="C41" s="48">
        <v>0.08</v>
      </c>
      <c r="D41" s="44">
        <f>C41*($D$19+$D$27)</f>
        <v>216.36827903999998</v>
      </c>
    </row>
    <row r="42" spans="1:4">
      <c r="A42" s="36" t="s">
        <v>24</v>
      </c>
      <c r="B42" s="42" t="s">
        <v>109</v>
      </c>
      <c r="C42" s="48">
        <v>0</v>
      </c>
      <c r="D42" s="44">
        <f>C42*($D$19+$D$27)</f>
        <v>0</v>
      </c>
    </row>
    <row r="43" spans="1:4">
      <c r="A43" s="313" t="s">
        <v>87</v>
      </c>
      <c r="B43" s="313"/>
      <c r="C43" s="49">
        <f>SUM(C34:C42)</f>
        <v>0.36800000000000005</v>
      </c>
      <c r="D43" s="50">
        <f>SUM(D34:D42)</f>
        <v>995.29408358399962</v>
      </c>
    </row>
    <row r="44" spans="1:4" ht="24.6" customHeight="1">
      <c r="A44" s="293" t="s">
        <v>110</v>
      </c>
      <c r="B44" s="293"/>
      <c r="C44" s="293"/>
      <c r="D44" s="293"/>
    </row>
    <row r="45" spans="1:4" ht="27" customHeight="1">
      <c r="A45" s="293" t="s">
        <v>111</v>
      </c>
      <c r="B45" s="293"/>
      <c r="C45" s="293"/>
      <c r="D45" s="293"/>
    </row>
    <row r="46" spans="1:4" ht="12.75" customHeight="1">
      <c r="A46" s="293" t="s">
        <v>112</v>
      </c>
      <c r="B46" s="293"/>
      <c r="C46" s="293"/>
      <c r="D46" s="293"/>
    </row>
    <row r="47" spans="1:4" ht="15.6" customHeight="1">
      <c r="A47" s="293" t="s">
        <v>113</v>
      </c>
      <c r="B47" s="293"/>
      <c r="C47" s="293"/>
      <c r="D47" s="293"/>
    </row>
    <row r="48" spans="1:4" ht="28.15"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264.47000000000003</v>
      </c>
    </row>
    <row r="53" spans="1:4">
      <c r="A53" s="36" t="s">
        <v>77</v>
      </c>
      <c r="B53" s="42" t="s">
        <v>555</v>
      </c>
      <c r="C53" s="51">
        <v>22</v>
      </c>
      <c r="D53" s="44">
        <f>C53*40.5</f>
        <v>891</v>
      </c>
    </row>
    <row r="54" spans="1:4">
      <c r="A54" s="36" t="s">
        <v>80</v>
      </c>
      <c r="B54" s="42" t="s">
        <v>552</v>
      </c>
      <c r="C54" s="51" t="s">
        <v>79</v>
      </c>
      <c r="D54" s="44">
        <v>175.76</v>
      </c>
    </row>
    <row r="55" spans="1:4">
      <c r="A55" s="36" t="s">
        <v>81</v>
      </c>
      <c r="B55" s="42" t="s">
        <v>553</v>
      </c>
      <c r="C55" s="51" t="s">
        <v>79</v>
      </c>
      <c r="D55" s="44">
        <v>11.92</v>
      </c>
    </row>
    <row r="56" spans="1:4">
      <c r="A56" s="36" t="s">
        <v>83</v>
      </c>
      <c r="B56" s="42" t="s">
        <v>121</v>
      </c>
      <c r="C56" s="51" t="s">
        <v>79</v>
      </c>
      <c r="D56" s="44">
        <v>2.75</v>
      </c>
    </row>
    <row r="57" spans="1:4">
      <c r="A57" s="313" t="s">
        <v>87</v>
      </c>
      <c r="B57" s="313"/>
      <c r="C57" s="313"/>
      <c r="D57" s="50">
        <f>SUM(D52:D56)</f>
        <v>1345.9</v>
      </c>
    </row>
    <row r="58" spans="1:4" ht="27.6" customHeight="1">
      <c r="A58" s="293" t="s">
        <v>548</v>
      </c>
      <c r="B58" s="293"/>
      <c r="C58" s="293"/>
      <c r="D58" s="293"/>
    </row>
    <row r="59" spans="1:4" ht="24.6"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292.36348799999996</v>
      </c>
    </row>
    <row r="64" spans="1:4">
      <c r="A64" s="36" t="s">
        <v>97</v>
      </c>
      <c r="B64" s="274" t="s">
        <v>98</v>
      </c>
      <c r="C64" s="274"/>
      <c r="D64" s="44">
        <f>D43</f>
        <v>995.29408358399962</v>
      </c>
    </row>
    <row r="65" spans="1:4">
      <c r="A65" s="36" t="s">
        <v>116</v>
      </c>
      <c r="B65" s="274" t="s">
        <v>117</v>
      </c>
      <c r="C65" s="274"/>
      <c r="D65" s="44">
        <f>D57</f>
        <v>1345.9</v>
      </c>
    </row>
    <row r="66" spans="1:4">
      <c r="A66" s="296" t="s">
        <v>87</v>
      </c>
      <c r="B66" s="311"/>
      <c r="C66" s="297"/>
      <c r="D66" s="46">
        <f>SUM(D63:D65)</f>
        <v>2633.5575715839996</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11.359334649599997</v>
      </c>
    </row>
    <row r="71" spans="1:4">
      <c r="A71" s="36" t="s">
        <v>77</v>
      </c>
      <c r="B71" s="26" t="s">
        <v>129</v>
      </c>
      <c r="C71" s="48">
        <v>2.9999999999999997E-4</v>
      </c>
      <c r="D71" s="44">
        <f t="shared" si="2"/>
        <v>0.81138104639999986</v>
      </c>
    </row>
    <row r="72" spans="1:4" ht="25.5">
      <c r="A72" s="36" t="s">
        <v>80</v>
      </c>
      <c r="B72" s="26" t="s">
        <v>130</v>
      </c>
      <c r="C72" s="53">
        <v>9.9999999999999995E-7</v>
      </c>
      <c r="D72" s="44">
        <f t="shared" si="2"/>
        <v>2.7046034879999997E-3</v>
      </c>
    </row>
    <row r="73" spans="1:4">
      <c r="A73" s="36" t="s">
        <v>81</v>
      </c>
      <c r="B73" s="26" t="s">
        <v>131</v>
      </c>
      <c r="C73" s="54">
        <v>1.9400000000000001E-2</v>
      </c>
      <c r="D73" s="44">
        <f>C73*($D$19+$D$27)</f>
        <v>52.469307667199999</v>
      </c>
    </row>
    <row r="74" spans="1:4" ht="25.5">
      <c r="A74" s="36" t="s">
        <v>83</v>
      </c>
      <c r="B74" s="26" t="s">
        <v>132</v>
      </c>
      <c r="C74" s="48">
        <v>7.1000000000000004E-3</v>
      </c>
      <c r="D74" s="44">
        <f>C74*($D$19+$D$27)</f>
        <v>19.202684764800001</v>
      </c>
    </row>
    <row r="75" spans="1:4" ht="25.5">
      <c r="A75" s="36" t="s">
        <v>85</v>
      </c>
      <c r="B75" s="26" t="s">
        <v>133</v>
      </c>
      <c r="C75" s="48">
        <v>1E-4</v>
      </c>
      <c r="D75" s="44">
        <f t="shared" si="2"/>
        <v>0.27046034879999997</v>
      </c>
    </row>
    <row r="76" spans="1:4">
      <c r="A76" s="55" t="s">
        <v>105</v>
      </c>
      <c r="B76" s="56" t="s">
        <v>134</v>
      </c>
      <c r="C76" s="48">
        <v>3.49E-2</v>
      </c>
      <c r="D76" s="44">
        <f>C76*($D$19+$D$27)</f>
        <v>94.390661731199998</v>
      </c>
    </row>
    <row r="77" spans="1:4">
      <c r="A77" s="296" t="s">
        <v>87</v>
      </c>
      <c r="B77" s="297"/>
      <c r="C77" s="45">
        <f t="shared" ref="C77:D77" si="3">SUM(C70:C76)</f>
        <v>6.6001000000000004E-2</v>
      </c>
      <c r="D77" s="46">
        <f t="shared" si="3"/>
        <v>178.506534811488</v>
      </c>
    </row>
    <row r="78" spans="1:4" ht="24.6" customHeight="1">
      <c r="A78" s="293" t="s">
        <v>135</v>
      </c>
      <c r="B78" s="293"/>
      <c r="C78" s="293"/>
      <c r="D78" s="293"/>
    </row>
    <row r="79" spans="1:4" ht="26.45" customHeight="1">
      <c r="A79" s="293" t="s">
        <v>136</v>
      </c>
      <c r="B79" s="293"/>
      <c r="C79" s="293"/>
      <c r="D79" s="293"/>
    </row>
    <row r="80" spans="1:4">
      <c r="A80" s="32"/>
      <c r="D80" s="32"/>
    </row>
    <row r="81" spans="1:4">
      <c r="A81" s="277" t="s">
        <v>137</v>
      </c>
      <c r="B81" s="277"/>
      <c r="C81" s="277"/>
      <c r="D81" s="277"/>
    </row>
    <row r="82" spans="1:4" ht="51.6"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245.84845705919997</v>
      </c>
    </row>
    <row r="87" spans="1:4">
      <c r="A87" s="36" t="s">
        <v>77</v>
      </c>
      <c r="B87" s="26" t="s">
        <v>143</v>
      </c>
      <c r="C87" s="48">
        <v>8.2000000000000007E-3</v>
      </c>
      <c r="D87" s="44">
        <f t="shared" si="4"/>
        <v>22.177748601600001</v>
      </c>
    </row>
    <row r="88" spans="1:4">
      <c r="A88" s="36" t="s">
        <v>80</v>
      </c>
      <c r="B88" s="26" t="s">
        <v>144</v>
      </c>
      <c r="C88" s="48">
        <v>2.0000000000000001E-4</v>
      </c>
      <c r="D88" s="44">
        <f t="shared" si="4"/>
        <v>0.54092069759999994</v>
      </c>
    </row>
    <row r="89" spans="1:4" ht="25.5">
      <c r="A89" s="36" t="s">
        <v>81</v>
      </c>
      <c r="B89" s="26" t="s">
        <v>145</v>
      </c>
      <c r="C89" s="48">
        <v>2.9999999999999997E-4</v>
      </c>
      <c r="D89" s="44">
        <f t="shared" si="4"/>
        <v>0.81138104639999986</v>
      </c>
    </row>
    <row r="90" spans="1:4">
      <c r="A90" s="36" t="s">
        <v>83</v>
      </c>
      <c r="B90" s="26" t="s">
        <v>146</v>
      </c>
      <c r="C90" s="48">
        <v>2.8999999999999998E-3</v>
      </c>
      <c r="D90" s="44">
        <f t="shared" si="4"/>
        <v>7.8433501151999989</v>
      </c>
    </row>
    <row r="91" spans="1:4" ht="25.5">
      <c r="A91" s="36" t="s">
        <v>85</v>
      </c>
      <c r="B91" s="26" t="s">
        <v>147</v>
      </c>
      <c r="C91" s="48">
        <v>1.66E-2</v>
      </c>
      <c r="D91" s="44">
        <f t="shared" si="4"/>
        <v>44.896417900799996</v>
      </c>
    </row>
    <row r="92" spans="1:4">
      <c r="A92" s="296" t="s">
        <v>87</v>
      </c>
      <c r="B92" s="297"/>
      <c r="C92" s="45">
        <f t="shared" ref="C92:D92" si="5">SUM(C86:C91)</f>
        <v>0.1191</v>
      </c>
      <c r="D92" s="46">
        <f t="shared" si="5"/>
        <v>322.11827542079993</v>
      </c>
    </row>
    <row r="93" spans="1:4" ht="25.15"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322.11827542079993</v>
      </c>
    </row>
    <row r="103" spans="1:4">
      <c r="A103" s="36" t="s">
        <v>150</v>
      </c>
      <c r="B103" s="42" t="s">
        <v>155</v>
      </c>
      <c r="C103" s="42"/>
      <c r="D103" s="57">
        <f>C98</f>
        <v>0</v>
      </c>
    </row>
    <row r="104" spans="1:4">
      <c r="A104" s="294" t="s">
        <v>87</v>
      </c>
      <c r="B104" s="294"/>
      <c r="C104" s="294"/>
      <c r="D104" s="46">
        <f>SUM(D102:D103)</f>
        <v>322.11827542079993</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EPIS'!$E$119+'TABELA 5 - Ferramentas'!$I$145</f>
        <v>71.317028985507221</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169.00869565217388</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285.77155387342304</v>
      </c>
    </row>
    <row r="119" spans="1:4">
      <c r="A119" s="36" t="s">
        <v>77</v>
      </c>
      <c r="B119" s="42" t="s">
        <v>166</v>
      </c>
      <c r="C119" s="191">
        <v>6.7900000000000002E-2</v>
      </c>
      <c r="D119" s="192">
        <f>$C119*(D$138+D118)</f>
        <v>407.48165866811394</v>
      </c>
    </row>
    <row r="120" spans="1:4">
      <c r="A120" s="187" t="s">
        <v>80</v>
      </c>
      <c r="B120" s="188" t="s">
        <v>167</v>
      </c>
      <c r="C120" s="193">
        <f>SUM(C121:C123)</f>
        <v>0.14250000000000002</v>
      </c>
      <c r="D120" s="192">
        <f>(D$138+D$119+D$118)*($C120/IF($C116="Lucro presumido",91.45%,85.75%))</f>
        <v>1065.0000132086584</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1758.2532257501953</v>
      </c>
    </row>
    <row r="126" spans="1:4" ht="12.75" customHeight="1">
      <c r="A126" s="293" t="s">
        <v>175</v>
      </c>
      <c r="B126" s="293"/>
      <c r="C126" s="293"/>
      <c r="D126" s="293"/>
    </row>
    <row r="127" spans="1:4" ht="28.9" customHeight="1">
      <c r="A127" s="293" t="s">
        <v>176</v>
      </c>
      <c r="B127" s="293"/>
      <c r="C127" s="293"/>
      <c r="D127" s="293"/>
    </row>
    <row r="128" spans="1:4" ht="28.9" customHeight="1">
      <c r="A128" s="293" t="s">
        <v>562</v>
      </c>
      <c r="B128" s="293"/>
      <c r="C128" s="293"/>
      <c r="D128" s="293"/>
    </row>
    <row r="129" spans="1:4" ht="27"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2412.2399999999998</v>
      </c>
    </row>
    <row r="134" spans="1:4" ht="12.75" customHeight="1">
      <c r="A134" s="36" t="s">
        <v>77</v>
      </c>
      <c r="B134" s="275" t="s">
        <v>89</v>
      </c>
      <c r="C134" s="275"/>
      <c r="D134" s="44">
        <f>D66</f>
        <v>2633.5575715839996</v>
      </c>
    </row>
    <row r="135" spans="1:4">
      <c r="A135" s="36" t="s">
        <v>80</v>
      </c>
      <c r="B135" s="275" t="s">
        <v>126</v>
      </c>
      <c r="C135" s="275"/>
      <c r="D135" s="44">
        <f>D77</f>
        <v>178.506534811488</v>
      </c>
    </row>
    <row r="136" spans="1:4" ht="12.75" customHeight="1">
      <c r="A136" s="36" t="s">
        <v>81</v>
      </c>
      <c r="B136" s="275" t="s">
        <v>137</v>
      </c>
      <c r="C136" s="275"/>
      <c r="D136" s="44">
        <f>D104</f>
        <v>322.11827542079993</v>
      </c>
    </row>
    <row r="137" spans="1:4">
      <c r="A137" s="36" t="s">
        <v>83</v>
      </c>
      <c r="B137" s="275" t="s">
        <v>156</v>
      </c>
      <c r="C137" s="275"/>
      <c r="D137" s="44">
        <f>D112</f>
        <v>169.00869565217388</v>
      </c>
    </row>
    <row r="138" spans="1:4">
      <c r="A138" s="294" t="s">
        <v>180</v>
      </c>
      <c r="B138" s="294"/>
      <c r="C138" s="294"/>
      <c r="D138" s="46">
        <f>SUM(D133:D137)</f>
        <v>5715.4310774684609</v>
      </c>
    </row>
    <row r="139" spans="1:4">
      <c r="A139" s="36" t="s">
        <v>85</v>
      </c>
      <c r="B139" s="274" t="s">
        <v>162</v>
      </c>
      <c r="C139" s="274"/>
      <c r="D139" s="44">
        <f>D125</f>
        <v>1758.2532257501953</v>
      </c>
    </row>
    <row r="140" spans="1:4">
      <c r="A140" s="277" t="s">
        <v>187</v>
      </c>
      <c r="B140" s="277"/>
      <c r="C140" s="277"/>
      <c r="D140" s="62">
        <f>SUM(D138:D139)</f>
        <v>7473.6843032186562</v>
      </c>
    </row>
    <row r="141" spans="1:4">
      <c r="A141" s="32"/>
      <c r="D141" s="32"/>
    </row>
    <row r="142" spans="1:4" ht="223.9" customHeight="1">
      <c r="A142" s="301" t="s">
        <v>556</v>
      </c>
      <c r="B142" s="301"/>
      <c r="C142" s="301"/>
      <c r="D142" s="301"/>
    </row>
    <row r="143" spans="1:4" ht="81" customHeight="1">
      <c r="A143" s="301"/>
      <c r="B143" s="301"/>
      <c r="C143" s="301"/>
      <c r="D143" s="301"/>
    </row>
  </sheetData>
  <mergeCells count="84">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3:D143"/>
    <mergeCell ref="A132:C132"/>
    <mergeCell ref="B133:C133"/>
    <mergeCell ref="B134:C134"/>
    <mergeCell ref="B135:C135"/>
    <mergeCell ref="B136:C136"/>
    <mergeCell ref="B137:C137"/>
    <mergeCell ref="A142:D142"/>
    <mergeCell ref="A138:C138"/>
    <mergeCell ref="B139:C139"/>
    <mergeCell ref="A140:C140"/>
    <mergeCell ref="A129:D129"/>
    <mergeCell ref="A128:D128"/>
  </mergeCells>
  <dataValidations count="1">
    <dataValidation type="list" allowBlank="1" showInputMessage="1" showErrorMessage="1" sqref="C116:D116" xr:uid="{00000000-0002-0000-06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1">
    <tabColor rgb="FFFBB8B1"/>
    <pageSetUpPr fitToPage="1"/>
  </sheetPr>
  <dimension ref="A1:D143"/>
  <sheetViews>
    <sheetView showGridLines="0" topLeftCell="B1" zoomScale="115" zoomScaleNormal="115" workbookViewId="0">
      <selection activeCell="B15" sqref="B15:C15"/>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195</v>
      </c>
      <c r="D4" s="299"/>
    </row>
    <row r="5" spans="1:4">
      <c r="A5" s="34">
        <v>2</v>
      </c>
      <c r="B5" s="26" t="s">
        <v>66</v>
      </c>
      <c r="C5" s="314"/>
      <c r="D5" s="314"/>
    </row>
    <row r="6" spans="1:4">
      <c r="A6" s="34">
        <v>3</v>
      </c>
      <c r="B6" s="26" t="s">
        <v>67</v>
      </c>
      <c r="C6" s="315">
        <v>1515.92</v>
      </c>
      <c r="D6" s="315"/>
    </row>
    <row r="7" spans="1:4" ht="25.5" customHeight="1">
      <c r="A7" s="34">
        <v>4</v>
      </c>
      <c r="B7" s="26" t="s">
        <v>68</v>
      </c>
      <c r="C7" s="287" t="s">
        <v>550</v>
      </c>
      <c r="D7" s="288"/>
    </row>
    <row r="8" spans="1:4">
      <c r="A8" s="34">
        <v>5</v>
      </c>
      <c r="B8" s="26" t="s">
        <v>69</v>
      </c>
      <c r="C8" s="289">
        <v>44927</v>
      </c>
      <c r="D8" s="290"/>
    </row>
    <row r="9" spans="1:4">
      <c r="A9" s="34">
        <v>6</v>
      </c>
      <c r="B9" s="26" t="s">
        <v>70</v>
      </c>
      <c r="C9" s="289" t="s">
        <v>551</v>
      </c>
      <c r="D9" s="290"/>
    </row>
    <row r="11" spans="1:4">
      <c r="A11" s="277" t="s">
        <v>72</v>
      </c>
      <c r="B11" s="277"/>
      <c r="C11" s="277"/>
      <c r="D11" s="277"/>
    </row>
    <row r="12" spans="1:4">
      <c r="A12" s="63">
        <v>1</v>
      </c>
      <c r="B12" s="317" t="s">
        <v>73</v>
      </c>
      <c r="C12" s="317"/>
      <c r="D12" s="35" t="s">
        <v>74</v>
      </c>
    </row>
    <row r="13" spans="1:4">
      <c r="A13" s="64" t="s">
        <v>75</v>
      </c>
      <c r="B13" s="274" t="s">
        <v>76</v>
      </c>
      <c r="C13" s="274"/>
      <c r="D13" s="38">
        <v>2168.58</v>
      </c>
    </row>
    <row r="14" spans="1:4">
      <c r="A14" s="64" t="s">
        <v>77</v>
      </c>
      <c r="B14" s="274" t="s">
        <v>191</v>
      </c>
      <c r="C14" s="274"/>
      <c r="D14" s="39" t="s">
        <v>79</v>
      </c>
    </row>
    <row r="15" spans="1:4" ht="28.15" customHeight="1">
      <c r="A15" s="64" t="s">
        <v>80</v>
      </c>
      <c r="B15" s="275" t="s">
        <v>563</v>
      </c>
      <c r="C15" s="275"/>
      <c r="D15" s="39">
        <f>TRUNC(1515.92*0.2,2)</f>
        <v>303.18</v>
      </c>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2471.7599999999998</v>
      </c>
    </row>
    <row r="20" spans="1:4" ht="27.6"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224.68298399999998</v>
      </c>
    </row>
    <row r="26" spans="1:4">
      <c r="A26" s="36" t="s">
        <v>77</v>
      </c>
      <c r="B26" s="42" t="s">
        <v>597</v>
      </c>
      <c r="C26" s="43">
        <v>3.0300000000000001E-2</v>
      </c>
      <c r="D26" s="44">
        <f>C26*$D$19</f>
        <v>74.894327999999987</v>
      </c>
    </row>
    <row r="27" spans="1:4">
      <c r="A27" s="294" t="s">
        <v>87</v>
      </c>
      <c r="B27" s="294"/>
      <c r="C27" s="45">
        <f t="shared" ref="C27:D27" si="0">SUM(C25:C26)</f>
        <v>0.1212</v>
      </c>
      <c r="D27" s="46">
        <f t="shared" si="0"/>
        <v>299.57731199999995</v>
      </c>
    </row>
    <row r="28" spans="1:4" ht="27" customHeight="1">
      <c r="A28" s="293" t="s">
        <v>93</v>
      </c>
      <c r="B28" s="293"/>
      <c r="C28" s="293"/>
      <c r="D28" s="293"/>
    </row>
    <row r="29" spans="1:4" ht="27" customHeight="1">
      <c r="A29" s="293" t="s">
        <v>94</v>
      </c>
      <c r="B29" s="293"/>
      <c r="C29" s="293"/>
      <c r="D29" s="293"/>
    </row>
    <row r="30" spans="1:4" ht="12.75"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554.2674624</v>
      </c>
    </row>
    <row r="35" spans="1:4">
      <c r="A35" s="36" t="s">
        <v>77</v>
      </c>
      <c r="B35" s="42" t="s">
        <v>100</v>
      </c>
      <c r="C35" s="48">
        <v>2.5000000000000001E-2</v>
      </c>
      <c r="D35" s="44">
        <f>$C35*(D$19+D$27)</f>
        <v>69.2834328</v>
      </c>
    </row>
    <row r="36" spans="1:4">
      <c r="A36" s="36" t="s">
        <v>80</v>
      </c>
      <c r="B36" s="42" t="s">
        <v>101</v>
      </c>
      <c r="C36" s="48">
        <v>0.03</v>
      </c>
      <c r="D36" s="44">
        <f t="shared" ref="D36:D40" si="1">C36*($D$19+$D$27)</f>
        <v>83.140119359999986</v>
      </c>
    </row>
    <row r="37" spans="1:4">
      <c r="A37" s="36" t="s">
        <v>81</v>
      </c>
      <c r="B37" s="42" t="s">
        <v>102</v>
      </c>
      <c r="C37" s="48">
        <v>1.4999999999999999E-2</v>
      </c>
      <c r="D37" s="44">
        <f t="shared" si="1"/>
        <v>41.570059679999993</v>
      </c>
    </row>
    <row r="38" spans="1:4">
      <c r="A38" s="36" t="s">
        <v>83</v>
      </c>
      <c r="B38" s="42" t="s">
        <v>103</v>
      </c>
      <c r="C38" s="48">
        <v>0.01</v>
      </c>
      <c r="D38" s="44">
        <f t="shared" si="1"/>
        <v>27.713373119999996</v>
      </c>
    </row>
    <row r="39" spans="1:4">
      <c r="A39" s="36" t="s">
        <v>85</v>
      </c>
      <c r="B39" s="42" t="s">
        <v>104</v>
      </c>
      <c r="C39" s="48">
        <v>6.0000000000000001E-3</v>
      </c>
      <c r="D39" s="44">
        <f t="shared" si="1"/>
        <v>16.628023872</v>
      </c>
    </row>
    <row r="40" spans="1:4">
      <c r="A40" s="36" t="s">
        <v>105</v>
      </c>
      <c r="B40" s="42" t="s">
        <v>106</v>
      </c>
      <c r="C40" s="48">
        <v>2E-3</v>
      </c>
      <c r="D40" s="44">
        <f t="shared" si="1"/>
        <v>5.5426746239999991</v>
      </c>
    </row>
    <row r="41" spans="1:4">
      <c r="A41" s="36" t="s">
        <v>107</v>
      </c>
      <c r="B41" s="42" t="s">
        <v>108</v>
      </c>
      <c r="C41" s="48">
        <v>0.08</v>
      </c>
      <c r="D41" s="44">
        <f>C41*($D$19+$D$27)</f>
        <v>221.70698495999997</v>
      </c>
    </row>
    <row r="42" spans="1:4">
      <c r="A42" s="36" t="s">
        <v>24</v>
      </c>
      <c r="B42" s="42" t="s">
        <v>109</v>
      </c>
      <c r="C42" s="48">
        <v>0</v>
      </c>
      <c r="D42" s="44">
        <f>C42*($D$19+$D$27)</f>
        <v>0</v>
      </c>
    </row>
    <row r="43" spans="1:4">
      <c r="A43" s="313" t="s">
        <v>87</v>
      </c>
      <c r="B43" s="313"/>
      <c r="C43" s="49">
        <f>SUM(C34:C42)</f>
        <v>0.36800000000000005</v>
      </c>
      <c r="D43" s="50">
        <f>SUM(D34:D42)</f>
        <v>1019.852130816</v>
      </c>
    </row>
    <row r="44" spans="1:4" ht="24" customHeight="1">
      <c r="A44" s="293" t="s">
        <v>110</v>
      </c>
      <c r="B44" s="293"/>
      <c r="C44" s="293"/>
      <c r="D44" s="293"/>
    </row>
    <row r="45" spans="1:4" ht="24" customHeight="1">
      <c r="A45" s="293" t="s">
        <v>111</v>
      </c>
      <c r="B45" s="293"/>
      <c r="C45" s="293"/>
      <c r="D45" s="293"/>
    </row>
    <row r="46" spans="1:4" ht="42" customHeight="1">
      <c r="A46" s="293" t="s">
        <v>112</v>
      </c>
      <c r="B46" s="293"/>
      <c r="C46" s="293"/>
      <c r="D46" s="293"/>
    </row>
    <row r="47" spans="1:4" ht="24" customHeight="1">
      <c r="A47" s="293" t="s">
        <v>113</v>
      </c>
      <c r="B47" s="293"/>
      <c r="C47" s="293"/>
      <c r="D47" s="293"/>
    </row>
    <row r="48" spans="1:4" ht="24"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279.08999999999997</v>
      </c>
    </row>
    <row r="53" spans="1:4">
      <c r="A53" s="36" t="s">
        <v>77</v>
      </c>
      <c r="B53" s="42" t="s">
        <v>555</v>
      </c>
      <c r="C53" s="51">
        <v>22</v>
      </c>
      <c r="D53" s="44">
        <f>C53*40.5</f>
        <v>891</v>
      </c>
    </row>
    <row r="54" spans="1:4">
      <c r="A54" s="36" t="s">
        <v>80</v>
      </c>
      <c r="B54" s="42" t="s">
        <v>552</v>
      </c>
      <c r="C54" s="51" t="s">
        <v>79</v>
      </c>
      <c r="D54" s="44">
        <v>175.76</v>
      </c>
    </row>
    <row r="55" spans="1:4">
      <c r="A55" s="36" t="s">
        <v>81</v>
      </c>
      <c r="B55" s="42" t="s">
        <v>553</v>
      </c>
      <c r="C55" s="51" t="s">
        <v>79</v>
      </c>
      <c r="D55" s="44">
        <v>11.92</v>
      </c>
    </row>
    <row r="56" spans="1:4">
      <c r="A56" s="36" t="s">
        <v>83</v>
      </c>
      <c r="B56" s="42" t="s">
        <v>121</v>
      </c>
      <c r="C56" s="51" t="s">
        <v>79</v>
      </c>
      <c r="D56" s="44">
        <v>2.75</v>
      </c>
    </row>
    <row r="57" spans="1:4">
      <c r="A57" s="313" t="s">
        <v>87</v>
      </c>
      <c r="B57" s="313"/>
      <c r="C57" s="313"/>
      <c r="D57" s="50">
        <f>SUM(D52:D56)</f>
        <v>1360.52</v>
      </c>
    </row>
    <row r="58" spans="1:4" ht="27.6" customHeight="1">
      <c r="A58" s="293" t="s">
        <v>122</v>
      </c>
      <c r="B58" s="293"/>
      <c r="C58" s="293"/>
      <c r="D58" s="293"/>
    </row>
    <row r="59" spans="1:4" ht="27.6"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299.57731199999995</v>
      </c>
    </row>
    <row r="64" spans="1:4">
      <c r="A64" s="36" t="s">
        <v>97</v>
      </c>
      <c r="B64" s="274" t="s">
        <v>98</v>
      </c>
      <c r="C64" s="274"/>
      <c r="D64" s="44">
        <f>D43</f>
        <v>1019.852130816</v>
      </c>
    </row>
    <row r="65" spans="1:4">
      <c r="A65" s="36" t="s">
        <v>116</v>
      </c>
      <c r="B65" s="274" t="s">
        <v>117</v>
      </c>
      <c r="C65" s="274"/>
      <c r="D65" s="44">
        <f>D57</f>
        <v>1360.52</v>
      </c>
    </row>
    <row r="66" spans="1:4">
      <c r="A66" s="296" t="s">
        <v>87</v>
      </c>
      <c r="B66" s="311"/>
      <c r="C66" s="297"/>
      <c r="D66" s="46">
        <f>SUM(D63:D65)</f>
        <v>2679.9494428159996</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11.639616710399999</v>
      </c>
    </row>
    <row r="71" spans="1:4">
      <c r="A71" s="36" t="s">
        <v>77</v>
      </c>
      <c r="B71" s="26" t="s">
        <v>129</v>
      </c>
      <c r="C71" s="48">
        <v>2.9999999999999997E-4</v>
      </c>
      <c r="D71" s="44">
        <f t="shared" si="2"/>
        <v>0.83140119359999987</v>
      </c>
    </row>
    <row r="72" spans="1:4" ht="25.5">
      <c r="A72" s="36" t="s">
        <v>80</v>
      </c>
      <c r="B72" s="26" t="s">
        <v>130</v>
      </c>
      <c r="C72" s="53">
        <v>9.9999999999999995E-7</v>
      </c>
      <c r="D72" s="44">
        <f t="shared" si="2"/>
        <v>2.7713373119999996E-3</v>
      </c>
    </row>
    <row r="73" spans="1:4">
      <c r="A73" s="36" t="s">
        <v>81</v>
      </c>
      <c r="B73" s="26" t="s">
        <v>131</v>
      </c>
      <c r="C73" s="54">
        <v>1.9400000000000001E-2</v>
      </c>
      <c r="D73" s="44">
        <f>C73*($D$19+$D$27)</f>
        <v>53.763943852799997</v>
      </c>
    </row>
    <row r="74" spans="1:4" ht="25.5">
      <c r="A74" s="36" t="s">
        <v>83</v>
      </c>
      <c r="B74" s="26" t="s">
        <v>132</v>
      </c>
      <c r="C74" s="48">
        <v>7.1000000000000004E-3</v>
      </c>
      <c r="D74" s="44">
        <f>C74*($D$19+$D$27)</f>
        <v>19.676494915199999</v>
      </c>
    </row>
    <row r="75" spans="1:4" ht="25.5">
      <c r="A75" s="36" t="s">
        <v>85</v>
      </c>
      <c r="B75" s="26" t="s">
        <v>133</v>
      </c>
      <c r="C75" s="48">
        <v>1E-4</v>
      </c>
      <c r="D75" s="44">
        <f t="shared" si="2"/>
        <v>0.27713373119999996</v>
      </c>
    </row>
    <row r="76" spans="1:4">
      <c r="A76" s="55" t="s">
        <v>105</v>
      </c>
      <c r="B76" s="56" t="s">
        <v>134</v>
      </c>
      <c r="C76" s="48">
        <v>3.49E-2</v>
      </c>
      <c r="D76" s="44">
        <f>C76*($D$19+$D$27)</f>
        <v>96.71967218879999</v>
      </c>
    </row>
    <row r="77" spans="1:4">
      <c r="A77" s="296" t="s">
        <v>87</v>
      </c>
      <c r="B77" s="297"/>
      <c r="C77" s="45">
        <f t="shared" ref="C77:D77" si="3">SUM(C70:C76)</f>
        <v>6.6001000000000004E-2</v>
      </c>
      <c r="D77" s="46">
        <f t="shared" si="3"/>
        <v>182.911033929312</v>
      </c>
    </row>
    <row r="78" spans="1:4" ht="30" customHeight="1">
      <c r="A78" s="293" t="s">
        <v>135</v>
      </c>
      <c r="B78" s="293"/>
      <c r="C78" s="293"/>
      <c r="D78" s="293"/>
    </row>
    <row r="79" spans="1:4" ht="30" customHeight="1">
      <c r="A79" s="293" t="s">
        <v>136</v>
      </c>
      <c r="B79" s="293"/>
      <c r="C79" s="293"/>
      <c r="D79" s="293"/>
    </row>
    <row r="80" spans="1:4">
      <c r="A80" s="32"/>
      <c r="D80" s="32"/>
    </row>
    <row r="81" spans="1:4">
      <c r="A81" s="277" t="s">
        <v>137</v>
      </c>
      <c r="B81" s="277"/>
      <c r="C81" s="277"/>
      <c r="D81" s="277"/>
    </row>
    <row r="82" spans="1:4" ht="42"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251.91456166079996</v>
      </c>
    </row>
    <row r="87" spans="1:4">
      <c r="A87" s="36" t="s">
        <v>77</v>
      </c>
      <c r="B87" s="26" t="s">
        <v>143</v>
      </c>
      <c r="C87" s="48">
        <v>8.2000000000000007E-3</v>
      </c>
      <c r="D87" s="44">
        <f t="shared" si="4"/>
        <v>22.724965958399999</v>
      </c>
    </row>
    <row r="88" spans="1:4">
      <c r="A88" s="36" t="s">
        <v>80</v>
      </c>
      <c r="B88" s="26" t="s">
        <v>144</v>
      </c>
      <c r="C88" s="48">
        <v>2.0000000000000001E-4</v>
      </c>
      <c r="D88" s="44">
        <f t="shared" si="4"/>
        <v>0.55426746239999991</v>
      </c>
    </row>
    <row r="89" spans="1:4" ht="25.5">
      <c r="A89" s="36" t="s">
        <v>81</v>
      </c>
      <c r="B89" s="26" t="s">
        <v>145</v>
      </c>
      <c r="C89" s="48">
        <v>2.9999999999999997E-4</v>
      </c>
      <c r="D89" s="44">
        <f t="shared" si="4"/>
        <v>0.83140119359999987</v>
      </c>
    </row>
    <row r="90" spans="1:4">
      <c r="A90" s="36" t="s">
        <v>83</v>
      </c>
      <c r="B90" s="26" t="s">
        <v>146</v>
      </c>
      <c r="C90" s="48">
        <v>2.8999999999999998E-3</v>
      </c>
      <c r="D90" s="44">
        <f t="shared" si="4"/>
        <v>8.0368782047999989</v>
      </c>
    </row>
    <row r="91" spans="1:4" ht="25.5">
      <c r="A91" s="36" t="s">
        <v>85</v>
      </c>
      <c r="B91" s="26" t="s">
        <v>147</v>
      </c>
      <c r="C91" s="48">
        <v>1.66E-2</v>
      </c>
      <c r="D91" s="44">
        <f t="shared" si="4"/>
        <v>46.004199379199996</v>
      </c>
    </row>
    <row r="92" spans="1:4">
      <c r="A92" s="296" t="s">
        <v>87</v>
      </c>
      <c r="B92" s="297"/>
      <c r="C92" s="45">
        <f t="shared" ref="C92:D92" si="5">SUM(C86:C91)</f>
        <v>0.1191</v>
      </c>
      <c r="D92" s="46">
        <f t="shared" si="5"/>
        <v>330.06627385919995</v>
      </c>
    </row>
    <row r="93" spans="1:4" ht="30"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330.06627385919995</v>
      </c>
    </row>
    <row r="103" spans="1:4">
      <c r="A103" s="36" t="s">
        <v>150</v>
      </c>
      <c r="B103" s="42" t="s">
        <v>155</v>
      </c>
      <c r="C103" s="42"/>
      <c r="D103" s="57">
        <f>C98</f>
        <v>0</v>
      </c>
    </row>
    <row r="104" spans="1:4">
      <c r="A104" s="294" t="s">
        <v>87</v>
      </c>
      <c r="B104" s="294"/>
      <c r="C104" s="294"/>
      <c r="D104" s="46">
        <f>SUM(D102:D103)</f>
        <v>330.06627385919995</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EPIS'!$E$40</f>
        <v>88.75333333333333</v>
      </c>
    </row>
    <row r="109" spans="1:4">
      <c r="A109" s="36" t="s">
        <v>77</v>
      </c>
      <c r="B109" s="274" t="s">
        <v>159</v>
      </c>
      <c r="C109" s="274"/>
      <c r="D109" s="59">
        <f>'TABELA 4 Uniformes e EPIS'!$E$48+'TABELA 4 Uniformes e EPIS'!$E$109+'TABELA 5 - Ferramentas'!$I$145</f>
        <v>45.615362318840567</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134.3686956521739</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289.95277231283433</v>
      </c>
    </row>
    <row r="119" spans="1:4">
      <c r="A119" s="36" t="s">
        <v>77</v>
      </c>
      <c r="B119" s="42" t="s">
        <v>166</v>
      </c>
      <c r="C119" s="191">
        <v>6.7900000000000002E-2</v>
      </c>
      <c r="D119" s="192">
        <f>$C119*(D$138+D118)</f>
        <v>413.44365804087045</v>
      </c>
    </row>
    <row r="120" spans="1:4">
      <c r="A120" s="187" t="s">
        <v>80</v>
      </c>
      <c r="B120" s="188" t="s">
        <v>167</v>
      </c>
      <c r="C120" s="193">
        <f>SUM(C121:C123)</f>
        <v>0.14250000000000002</v>
      </c>
      <c r="D120" s="192">
        <f>(D$138+D$119+D$118)*($C120/IF($C116="Lucro presumido",91.45%,85.75%))</f>
        <v>1080.5823818273827</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1783.9788121810875</v>
      </c>
    </row>
    <row r="126" spans="1:4" ht="12.75" customHeight="1">
      <c r="A126" s="293" t="s">
        <v>175</v>
      </c>
      <c r="B126" s="293"/>
      <c r="C126" s="293"/>
      <c r="D126" s="293"/>
    </row>
    <row r="127" spans="1:4" ht="30" customHeight="1">
      <c r="A127" s="293" t="s">
        <v>176</v>
      </c>
      <c r="B127" s="293"/>
      <c r="C127" s="293"/>
      <c r="D127" s="293"/>
    </row>
    <row r="128" spans="1:4" ht="30" customHeight="1">
      <c r="A128" s="293" t="s">
        <v>562</v>
      </c>
      <c r="B128" s="293"/>
      <c r="C128" s="293"/>
      <c r="D128" s="293"/>
    </row>
    <row r="129" spans="1:4" ht="29.45"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2471.7599999999998</v>
      </c>
    </row>
    <row r="134" spans="1:4" ht="12.75" customHeight="1">
      <c r="A134" s="36" t="s">
        <v>77</v>
      </c>
      <c r="B134" s="275" t="s">
        <v>89</v>
      </c>
      <c r="C134" s="275"/>
      <c r="D134" s="44">
        <f>D66</f>
        <v>2679.9494428159996</v>
      </c>
    </row>
    <row r="135" spans="1:4">
      <c r="A135" s="36" t="s">
        <v>80</v>
      </c>
      <c r="B135" s="275" t="s">
        <v>126</v>
      </c>
      <c r="C135" s="275"/>
      <c r="D135" s="44">
        <f>D77</f>
        <v>182.911033929312</v>
      </c>
    </row>
    <row r="136" spans="1:4" ht="12.75" customHeight="1">
      <c r="A136" s="36" t="s">
        <v>81</v>
      </c>
      <c r="B136" s="275" t="s">
        <v>137</v>
      </c>
      <c r="C136" s="275"/>
      <c r="D136" s="44">
        <f>D104</f>
        <v>330.06627385919995</v>
      </c>
    </row>
    <row r="137" spans="1:4">
      <c r="A137" s="36" t="s">
        <v>83</v>
      </c>
      <c r="B137" s="275" t="s">
        <v>156</v>
      </c>
      <c r="C137" s="275"/>
      <c r="D137" s="44">
        <f>D112</f>
        <v>134.3686956521739</v>
      </c>
    </row>
    <row r="138" spans="1:4">
      <c r="A138" s="294" t="s">
        <v>180</v>
      </c>
      <c r="B138" s="294"/>
      <c r="C138" s="294"/>
      <c r="D138" s="46">
        <f>SUM(D133:D137)</f>
        <v>5799.0554462566861</v>
      </c>
    </row>
    <row r="139" spans="1:4">
      <c r="A139" s="36" t="s">
        <v>85</v>
      </c>
      <c r="B139" s="274" t="s">
        <v>162</v>
      </c>
      <c r="C139" s="274"/>
      <c r="D139" s="44">
        <f>D125</f>
        <v>1783.9788121810875</v>
      </c>
    </row>
    <row r="140" spans="1:4">
      <c r="A140" s="277" t="s">
        <v>187</v>
      </c>
      <c r="B140" s="277"/>
      <c r="C140" s="277"/>
      <c r="D140" s="62">
        <f>SUM(D138:D139)</f>
        <v>7583.034258437774</v>
      </c>
    </row>
    <row r="142" spans="1:4" ht="222" customHeight="1">
      <c r="A142" s="301" t="s">
        <v>556</v>
      </c>
      <c r="B142" s="301"/>
      <c r="C142" s="301"/>
      <c r="D142" s="301"/>
    </row>
    <row r="143" spans="1:4">
      <c r="B143" s="2"/>
      <c r="C143" s="2"/>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2:D142"/>
    <mergeCell ref="A132:C132"/>
    <mergeCell ref="B133:C133"/>
    <mergeCell ref="B134:C134"/>
    <mergeCell ref="B135:C135"/>
    <mergeCell ref="B136:C136"/>
    <mergeCell ref="B137:C137"/>
    <mergeCell ref="A138:C138"/>
    <mergeCell ref="B139:C139"/>
    <mergeCell ref="A140:C140"/>
    <mergeCell ref="A129:D129"/>
    <mergeCell ref="A128:D128"/>
  </mergeCells>
  <dataValidations disablePrompts="1" count="1">
    <dataValidation type="list" allowBlank="1" showInputMessage="1" showErrorMessage="1" sqref="C116:D116" xr:uid="{00000000-0002-0000-07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BB8B1"/>
    <pageSetUpPr fitToPage="1"/>
  </sheetPr>
  <dimension ref="A1:D143"/>
  <sheetViews>
    <sheetView showGridLines="0" zoomScale="115" zoomScaleNormal="115" workbookViewId="0">
      <selection activeCell="D15" sqref="D15"/>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196</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c r="A8" s="34">
        <v>5</v>
      </c>
      <c r="B8" s="26" t="s">
        <v>69</v>
      </c>
      <c r="C8" s="289">
        <v>45047</v>
      </c>
      <c r="D8" s="290"/>
    </row>
    <row r="9" spans="1:4" ht="25.9" customHeight="1">
      <c r="A9" s="34">
        <v>6</v>
      </c>
      <c r="B9" s="26" t="s">
        <v>70</v>
      </c>
      <c r="C9" s="291" t="s">
        <v>594</v>
      </c>
      <c r="D9" s="290"/>
    </row>
    <row r="11" spans="1:4">
      <c r="A11" s="277" t="s">
        <v>72</v>
      </c>
      <c r="B11" s="277"/>
      <c r="C11" s="277"/>
      <c r="D11" s="277"/>
    </row>
    <row r="12" spans="1:4">
      <c r="A12" s="63">
        <v>1</v>
      </c>
      <c r="B12" s="317" t="s">
        <v>73</v>
      </c>
      <c r="C12" s="317"/>
      <c r="D12" s="35" t="s">
        <v>74</v>
      </c>
    </row>
    <row r="13" spans="1:4">
      <c r="A13" s="64" t="s">
        <v>75</v>
      </c>
      <c r="B13" s="274" t="s">
        <v>76</v>
      </c>
      <c r="C13" s="274"/>
      <c r="D13" s="38">
        <v>2769.98</v>
      </c>
    </row>
    <row r="14" spans="1:4">
      <c r="A14" s="64" t="s">
        <v>77</v>
      </c>
      <c r="B14" s="274" t="s">
        <v>78</v>
      </c>
      <c r="C14" s="274"/>
      <c r="D14" s="39" t="s">
        <v>79</v>
      </c>
    </row>
    <row r="15" spans="1:4" ht="29.45" customHeight="1">
      <c r="A15" s="64" t="s">
        <v>80</v>
      </c>
      <c r="B15" s="275" t="s">
        <v>608</v>
      </c>
      <c r="C15" s="275"/>
      <c r="D15" s="39">
        <f>TRUNC(1515.92*0.2,2)</f>
        <v>303.18</v>
      </c>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3073.16</v>
      </c>
    </row>
    <row r="20" spans="1:4" ht="25.9"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279.35024399999998</v>
      </c>
    </row>
    <row r="26" spans="1:4">
      <c r="A26" s="36" t="s">
        <v>77</v>
      </c>
      <c r="B26" s="42" t="s">
        <v>589</v>
      </c>
      <c r="C26" s="43">
        <v>3.0300000000000001E-2</v>
      </c>
      <c r="D26" s="44">
        <f>C26*$D$19</f>
        <v>93.116748000000001</v>
      </c>
    </row>
    <row r="27" spans="1:4">
      <c r="A27" s="294" t="s">
        <v>87</v>
      </c>
      <c r="B27" s="294"/>
      <c r="C27" s="45">
        <f t="shared" ref="C27:D27" si="0">SUM(C25:C26)</f>
        <v>0.1212</v>
      </c>
      <c r="D27" s="46">
        <f t="shared" si="0"/>
        <v>372.466992</v>
      </c>
    </row>
    <row r="28" spans="1:4" ht="40.15" customHeight="1">
      <c r="A28" s="293" t="s">
        <v>93</v>
      </c>
      <c r="B28" s="293"/>
      <c r="C28" s="293"/>
      <c r="D28" s="293"/>
    </row>
    <row r="29" spans="1:4" ht="40.15" customHeight="1">
      <c r="A29" s="293" t="s">
        <v>94</v>
      </c>
      <c r="B29" s="293"/>
      <c r="C29" s="293"/>
      <c r="D29" s="293"/>
    </row>
    <row r="30" spans="1:4" ht="40.15"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689.12539839999999</v>
      </c>
    </row>
    <row r="35" spans="1:4">
      <c r="A35" s="36" t="s">
        <v>77</v>
      </c>
      <c r="B35" s="42" t="s">
        <v>100</v>
      </c>
      <c r="C35" s="48">
        <v>2.5000000000000001E-2</v>
      </c>
      <c r="D35" s="44">
        <f>$C35*(D$19+D$27)</f>
        <v>86.140674799999999</v>
      </c>
    </row>
    <row r="36" spans="1:4">
      <c r="A36" s="36" t="s">
        <v>80</v>
      </c>
      <c r="B36" s="42" t="s">
        <v>101</v>
      </c>
      <c r="C36" s="48">
        <v>0.03</v>
      </c>
      <c r="D36" s="44">
        <f t="shared" ref="D36:D40" si="1">C36*($D$19+$D$27)</f>
        <v>103.36880975999999</v>
      </c>
    </row>
    <row r="37" spans="1:4">
      <c r="A37" s="36" t="s">
        <v>81</v>
      </c>
      <c r="B37" s="42" t="s">
        <v>102</v>
      </c>
      <c r="C37" s="48">
        <v>1.4999999999999999E-2</v>
      </c>
      <c r="D37" s="44">
        <f t="shared" si="1"/>
        <v>51.684404879999995</v>
      </c>
    </row>
    <row r="38" spans="1:4">
      <c r="A38" s="36" t="s">
        <v>83</v>
      </c>
      <c r="B38" s="42" t="s">
        <v>103</v>
      </c>
      <c r="C38" s="48">
        <v>0.01</v>
      </c>
      <c r="D38" s="44">
        <f t="shared" si="1"/>
        <v>34.456269920000004</v>
      </c>
    </row>
    <row r="39" spans="1:4">
      <c r="A39" s="36" t="s">
        <v>85</v>
      </c>
      <c r="B39" s="42" t="s">
        <v>104</v>
      </c>
      <c r="C39" s="48">
        <v>6.0000000000000001E-3</v>
      </c>
      <c r="D39" s="44">
        <f t="shared" si="1"/>
        <v>20.673761952</v>
      </c>
    </row>
    <row r="40" spans="1:4">
      <c r="A40" s="36" t="s">
        <v>105</v>
      </c>
      <c r="B40" s="42" t="s">
        <v>106</v>
      </c>
      <c r="C40" s="48">
        <v>2E-3</v>
      </c>
      <c r="D40" s="44">
        <f t="shared" si="1"/>
        <v>6.8912539840000004</v>
      </c>
    </row>
    <row r="41" spans="1:4">
      <c r="A41" s="36" t="s">
        <v>107</v>
      </c>
      <c r="B41" s="42" t="s">
        <v>108</v>
      </c>
      <c r="C41" s="48">
        <v>0.08</v>
      </c>
      <c r="D41" s="44">
        <f>C41*($D$19+$D$27)</f>
        <v>275.65015936000003</v>
      </c>
    </row>
    <row r="42" spans="1:4">
      <c r="A42" s="36" t="s">
        <v>24</v>
      </c>
      <c r="B42" s="42" t="s">
        <v>109</v>
      </c>
      <c r="C42" s="48">
        <v>0</v>
      </c>
      <c r="D42" s="44">
        <f>C42*($D$19+$D$27)</f>
        <v>0</v>
      </c>
    </row>
    <row r="43" spans="1:4">
      <c r="A43" s="313" t="s">
        <v>87</v>
      </c>
      <c r="B43" s="313"/>
      <c r="C43" s="49">
        <f>SUM(C34:C42)</f>
        <v>0.36800000000000005</v>
      </c>
      <c r="D43" s="50">
        <f>SUM(D34:D42)</f>
        <v>1267.9907330559997</v>
      </c>
    </row>
    <row r="44" spans="1:4" ht="24.6" customHeight="1">
      <c r="A44" s="293" t="s">
        <v>110</v>
      </c>
      <c r="B44" s="293"/>
      <c r="C44" s="293"/>
      <c r="D44" s="293"/>
    </row>
    <row r="45" spans="1:4" ht="24.6" customHeight="1">
      <c r="A45" s="293" t="s">
        <v>111</v>
      </c>
      <c r="B45" s="293"/>
      <c r="C45" s="293"/>
      <c r="D45" s="293"/>
    </row>
    <row r="46" spans="1:4" ht="39" customHeight="1">
      <c r="A46" s="293" t="s">
        <v>112</v>
      </c>
      <c r="B46" s="293"/>
      <c r="C46" s="293"/>
      <c r="D46" s="293"/>
    </row>
    <row r="47" spans="1:4" ht="19.149999999999999" customHeight="1">
      <c r="A47" s="293" t="s">
        <v>113</v>
      </c>
      <c r="B47" s="293"/>
      <c r="C47" s="293"/>
      <c r="D47" s="293"/>
    </row>
    <row r="48" spans="1:4" ht="25.15" customHeight="1">
      <c r="A48" s="293" t="s">
        <v>114</v>
      </c>
      <c r="B48" s="293"/>
      <c r="C48" s="293"/>
      <c r="D48" s="293"/>
    </row>
    <row r="49" spans="1:4" ht="9.6" customHeight="1">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243</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854.9849999999999</v>
      </c>
    </row>
    <row r="58" spans="1:4" ht="33" customHeight="1">
      <c r="A58" s="293" t="s">
        <v>122</v>
      </c>
      <c r="B58" s="293"/>
      <c r="C58" s="293"/>
      <c r="D58" s="293"/>
    </row>
    <row r="59" spans="1:4" ht="33"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596</v>
      </c>
      <c r="C63" s="275"/>
      <c r="D63" s="44">
        <f>D27</f>
        <v>372.466992</v>
      </c>
    </row>
    <row r="64" spans="1:4">
      <c r="A64" s="36" t="s">
        <v>97</v>
      </c>
      <c r="B64" s="274" t="s">
        <v>98</v>
      </c>
      <c r="C64" s="274"/>
      <c r="D64" s="44">
        <f>D43</f>
        <v>1267.9907330559997</v>
      </c>
    </row>
    <row r="65" spans="1:4">
      <c r="A65" s="36" t="s">
        <v>116</v>
      </c>
      <c r="B65" s="274" t="s">
        <v>117</v>
      </c>
      <c r="C65" s="274"/>
      <c r="D65" s="44">
        <f>D57</f>
        <v>854.9849999999999</v>
      </c>
    </row>
    <row r="66" spans="1:4">
      <c r="A66" s="296" t="s">
        <v>87</v>
      </c>
      <c r="B66" s="311"/>
      <c r="C66" s="297"/>
      <c r="D66" s="46">
        <f>SUM(D63:D65)</f>
        <v>2495.4427250559993</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14.471633366399999</v>
      </c>
    </row>
    <row r="71" spans="1:4">
      <c r="A71" s="36" t="s">
        <v>77</v>
      </c>
      <c r="B71" s="26" t="s">
        <v>129</v>
      </c>
      <c r="C71" s="48">
        <v>2.9999999999999997E-4</v>
      </c>
      <c r="D71" s="44">
        <f t="shared" si="2"/>
        <v>1.0336880975999998</v>
      </c>
    </row>
    <row r="72" spans="1:4" ht="25.5">
      <c r="A72" s="36" t="s">
        <v>80</v>
      </c>
      <c r="B72" s="26" t="s">
        <v>130</v>
      </c>
      <c r="C72" s="53">
        <v>9.9999999999999995E-7</v>
      </c>
      <c r="D72" s="44">
        <f t="shared" si="2"/>
        <v>3.4456269919999997E-3</v>
      </c>
    </row>
    <row r="73" spans="1:4">
      <c r="A73" s="36" t="s">
        <v>81</v>
      </c>
      <c r="B73" s="26" t="s">
        <v>131</v>
      </c>
      <c r="C73" s="54">
        <v>1.9400000000000001E-2</v>
      </c>
      <c r="D73" s="44">
        <f>C73*($D$19+$D$27)</f>
        <v>66.845163644799996</v>
      </c>
    </row>
    <row r="74" spans="1:4" ht="25.5">
      <c r="A74" s="36" t="s">
        <v>83</v>
      </c>
      <c r="B74" s="26" t="s">
        <v>132</v>
      </c>
      <c r="C74" s="48">
        <v>7.1000000000000004E-3</v>
      </c>
      <c r="D74" s="44">
        <f>C74*($D$19+$D$27)</f>
        <v>24.463951643200001</v>
      </c>
    </row>
    <row r="75" spans="1:4" ht="25.5">
      <c r="A75" s="36" t="s">
        <v>85</v>
      </c>
      <c r="B75" s="26" t="s">
        <v>133</v>
      </c>
      <c r="C75" s="48">
        <v>1E-4</v>
      </c>
      <c r="D75" s="44">
        <f t="shared" si="2"/>
        <v>0.34456269919999999</v>
      </c>
    </row>
    <row r="76" spans="1:4">
      <c r="A76" s="55" t="s">
        <v>105</v>
      </c>
      <c r="B76" s="56" t="s">
        <v>134</v>
      </c>
      <c r="C76" s="48">
        <v>3.49E-2</v>
      </c>
      <c r="D76" s="44">
        <f>C76*($D$19+$D$27)</f>
        <v>120.2523820208</v>
      </c>
    </row>
    <row r="77" spans="1:4">
      <c r="A77" s="296" t="s">
        <v>87</v>
      </c>
      <c r="B77" s="297"/>
      <c r="C77" s="45">
        <f t="shared" ref="C77:D77" si="3">SUM(C70:C76)</f>
        <v>6.6001000000000004E-2</v>
      </c>
      <c r="D77" s="46">
        <f t="shared" si="3"/>
        <v>227.41482709899199</v>
      </c>
    </row>
    <row r="78" spans="1:4" ht="29.45" customHeight="1">
      <c r="A78" s="293" t="s">
        <v>135</v>
      </c>
      <c r="B78" s="293"/>
      <c r="C78" s="293"/>
      <c r="D78" s="293"/>
    </row>
    <row r="79" spans="1:4" ht="29.45" customHeight="1">
      <c r="A79" s="293" t="s">
        <v>136</v>
      </c>
      <c r="B79" s="293"/>
      <c r="C79" s="293"/>
      <c r="D79" s="293"/>
    </row>
    <row r="80" spans="1:4">
      <c r="A80" s="32"/>
      <c r="D80" s="32"/>
    </row>
    <row r="81" spans="1:4">
      <c r="A81" s="277" t="s">
        <v>137</v>
      </c>
      <c r="B81" s="277"/>
      <c r="C81" s="277"/>
      <c r="D81" s="277"/>
    </row>
    <row r="82" spans="1:4" ht="39.6"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313.20749357279999</v>
      </c>
    </row>
    <row r="87" spans="1:4">
      <c r="A87" s="36" t="s">
        <v>77</v>
      </c>
      <c r="B87" s="26" t="s">
        <v>143</v>
      </c>
      <c r="C87" s="48">
        <v>8.2000000000000007E-3</v>
      </c>
      <c r="D87" s="44">
        <f t="shared" si="4"/>
        <v>28.254141334400003</v>
      </c>
    </row>
    <row r="88" spans="1:4">
      <c r="A88" s="36" t="s">
        <v>80</v>
      </c>
      <c r="B88" s="26" t="s">
        <v>144</v>
      </c>
      <c r="C88" s="48">
        <v>2.0000000000000001E-4</v>
      </c>
      <c r="D88" s="44">
        <f t="shared" si="4"/>
        <v>0.68912539839999998</v>
      </c>
    </row>
    <row r="89" spans="1:4" ht="25.5">
      <c r="A89" s="36" t="s">
        <v>81</v>
      </c>
      <c r="B89" s="26" t="s">
        <v>145</v>
      </c>
      <c r="C89" s="48">
        <v>2.9999999999999997E-4</v>
      </c>
      <c r="D89" s="44">
        <f t="shared" si="4"/>
        <v>1.0336880975999998</v>
      </c>
    </row>
    <row r="90" spans="1:4">
      <c r="A90" s="36" t="s">
        <v>83</v>
      </c>
      <c r="B90" s="26" t="s">
        <v>146</v>
      </c>
      <c r="C90" s="48">
        <v>2.8999999999999998E-3</v>
      </c>
      <c r="D90" s="44">
        <f t="shared" si="4"/>
        <v>9.992318276799999</v>
      </c>
    </row>
    <row r="91" spans="1:4" ht="25.5">
      <c r="A91" s="36" t="s">
        <v>85</v>
      </c>
      <c r="B91" s="26" t="s">
        <v>147</v>
      </c>
      <c r="C91" s="48">
        <v>1.66E-2</v>
      </c>
      <c r="D91" s="44">
        <f t="shared" si="4"/>
        <v>57.197408067200001</v>
      </c>
    </row>
    <row r="92" spans="1:4">
      <c r="A92" s="296" t="s">
        <v>87</v>
      </c>
      <c r="B92" s="297"/>
      <c r="C92" s="45">
        <f t="shared" ref="C92:D92" si="5">SUM(C86:C91)</f>
        <v>0.1191</v>
      </c>
      <c r="D92" s="46">
        <f t="shared" si="5"/>
        <v>410.37417474720002</v>
      </c>
    </row>
    <row r="93" spans="1:4" ht="23.45" customHeight="1">
      <c r="A93" s="293" t="s">
        <v>148</v>
      </c>
      <c r="B93" s="293"/>
      <c r="C93" s="293"/>
      <c r="D93" s="293"/>
    </row>
    <row r="94" spans="1:4" ht="10.9" customHeight="1">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410.37417474720002</v>
      </c>
    </row>
    <row r="103" spans="1:4">
      <c r="A103" s="36" t="s">
        <v>150</v>
      </c>
      <c r="B103" s="42" t="s">
        <v>155</v>
      </c>
      <c r="C103" s="42"/>
      <c r="D103" s="57">
        <f>C98</f>
        <v>0</v>
      </c>
    </row>
    <row r="104" spans="1:4">
      <c r="A104" s="294" t="s">
        <v>87</v>
      </c>
      <c r="B104" s="294"/>
      <c r="C104" s="294"/>
      <c r="D104" s="46">
        <f>SUM(D102:D103)</f>
        <v>410.37417474720002</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EPIS'!$E$96+'TABELA 5 - Ferramentas'!$I$145</f>
        <v>202.67702898550721</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300.36869565217387</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325.33802112771832</v>
      </c>
    </row>
    <row r="119" spans="1:4">
      <c r="A119" s="36" t="s">
        <v>77</v>
      </c>
      <c r="B119" s="42" t="s">
        <v>166</v>
      </c>
      <c r="C119" s="191">
        <v>6.7900000000000002E-2</v>
      </c>
      <c r="D119" s="192">
        <f>$C119*(D$138+D118)</f>
        <v>463.89948432601346</v>
      </c>
    </row>
    <row r="120" spans="1:4">
      <c r="A120" s="187" t="s">
        <v>80</v>
      </c>
      <c r="B120" s="188" t="s">
        <v>167</v>
      </c>
      <c r="C120" s="193">
        <f>SUM(C121:C123)</f>
        <v>0.14250000000000002</v>
      </c>
      <c r="D120" s="192">
        <f>(D$138+D$119+D$118)*($C120/IF($C116="Lucro presumido",91.45%,85.75%))</f>
        <v>1212.4544661704417</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2001.6919716241734</v>
      </c>
    </row>
    <row r="126" spans="1:4" ht="19.149999999999999" customHeight="1">
      <c r="A126" s="293" t="s">
        <v>175</v>
      </c>
      <c r="B126" s="293"/>
      <c r="C126" s="293"/>
      <c r="D126" s="293"/>
    </row>
    <row r="127" spans="1:4" ht="27.6" customHeight="1">
      <c r="A127" s="293" t="s">
        <v>176</v>
      </c>
      <c r="B127" s="293"/>
      <c r="C127" s="293"/>
      <c r="D127" s="293"/>
    </row>
    <row r="128" spans="1:4" ht="27.6" customHeight="1">
      <c r="A128" s="293" t="s">
        <v>562</v>
      </c>
      <c r="B128" s="293"/>
      <c r="C128" s="293"/>
      <c r="D128" s="293"/>
    </row>
    <row r="129" spans="1:4" ht="27.6"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3073.16</v>
      </c>
    </row>
    <row r="134" spans="1:4" ht="12.75" customHeight="1">
      <c r="A134" s="36" t="s">
        <v>77</v>
      </c>
      <c r="B134" s="275" t="s">
        <v>89</v>
      </c>
      <c r="C134" s="275"/>
      <c r="D134" s="44">
        <f>D66</f>
        <v>2495.4427250559993</v>
      </c>
    </row>
    <row r="135" spans="1:4">
      <c r="A135" s="36" t="s">
        <v>80</v>
      </c>
      <c r="B135" s="275" t="s">
        <v>126</v>
      </c>
      <c r="C135" s="275"/>
      <c r="D135" s="44">
        <f>D77</f>
        <v>227.41482709899199</v>
      </c>
    </row>
    <row r="136" spans="1:4" ht="12.75" customHeight="1">
      <c r="A136" s="36" t="s">
        <v>81</v>
      </c>
      <c r="B136" s="275" t="s">
        <v>137</v>
      </c>
      <c r="C136" s="275"/>
      <c r="D136" s="44">
        <f>D104</f>
        <v>410.37417474720002</v>
      </c>
    </row>
    <row r="137" spans="1:4">
      <c r="A137" s="36" t="s">
        <v>83</v>
      </c>
      <c r="B137" s="275" t="s">
        <v>156</v>
      </c>
      <c r="C137" s="275"/>
      <c r="D137" s="44">
        <f>D112</f>
        <v>300.36869565217387</v>
      </c>
    </row>
    <row r="138" spans="1:4">
      <c r="A138" s="294" t="s">
        <v>180</v>
      </c>
      <c r="B138" s="294"/>
      <c r="C138" s="294"/>
      <c r="D138" s="46">
        <f>SUM(D133:D137)</f>
        <v>6506.7604225543655</v>
      </c>
    </row>
    <row r="139" spans="1:4">
      <c r="A139" s="36" t="s">
        <v>85</v>
      </c>
      <c r="B139" s="274" t="s">
        <v>162</v>
      </c>
      <c r="C139" s="274"/>
      <c r="D139" s="44">
        <f>D125</f>
        <v>2001.6919716241734</v>
      </c>
    </row>
    <row r="140" spans="1:4">
      <c r="A140" s="277" t="s">
        <v>187</v>
      </c>
      <c r="B140" s="277"/>
      <c r="C140" s="277"/>
      <c r="D140" s="62">
        <f>SUM(D138:D139)</f>
        <v>8508.4523941785392</v>
      </c>
    </row>
    <row r="142" spans="1:4" ht="222.6" customHeight="1">
      <c r="A142" s="301" t="s">
        <v>590</v>
      </c>
      <c r="B142" s="301"/>
      <c r="C142" s="301"/>
      <c r="D142" s="301"/>
    </row>
    <row r="143" spans="1:4" ht="36" customHeight="1">
      <c r="A143" s="301"/>
      <c r="B143" s="301"/>
      <c r="C143" s="301"/>
      <c r="D143" s="301"/>
    </row>
  </sheetData>
  <mergeCells count="84">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3:D143"/>
    <mergeCell ref="A132:C132"/>
    <mergeCell ref="B133:C133"/>
    <mergeCell ref="B134:C134"/>
    <mergeCell ref="B135:C135"/>
    <mergeCell ref="B136:C136"/>
    <mergeCell ref="B137:C137"/>
    <mergeCell ref="A138:C138"/>
    <mergeCell ref="B139:C139"/>
    <mergeCell ref="A140:C140"/>
    <mergeCell ref="A129:D129"/>
    <mergeCell ref="A142:D142"/>
    <mergeCell ref="A128:D128"/>
  </mergeCells>
  <dataValidations count="1">
    <dataValidation type="list" allowBlank="1" showInputMessage="1" showErrorMessage="1" sqref="C116:D116" xr:uid="{00000000-0002-0000-08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3">
    <tabColor theme="9" tint="0.59999389629810485"/>
    <pageSetUpPr fitToPage="1"/>
  </sheetPr>
  <dimension ref="A1:D143"/>
  <sheetViews>
    <sheetView showGridLines="0" zoomScale="115" zoomScaleNormal="115" workbookViewId="0">
      <selection activeCell="B63" sqref="B63:C63"/>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197</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c r="A8" s="34">
        <v>5</v>
      </c>
      <c r="B8" s="26" t="s">
        <v>69</v>
      </c>
      <c r="C8" s="289">
        <v>45047</v>
      </c>
      <c r="D8" s="290"/>
    </row>
    <row r="9" spans="1:4" ht="22.9" customHeight="1">
      <c r="A9" s="34">
        <v>6</v>
      </c>
      <c r="B9" s="26" t="s">
        <v>70</v>
      </c>
      <c r="C9" s="291" t="s">
        <v>594</v>
      </c>
      <c r="D9" s="290"/>
    </row>
    <row r="11" spans="1:4">
      <c r="A11" s="277" t="s">
        <v>72</v>
      </c>
      <c r="B11" s="277"/>
      <c r="C11" s="277"/>
      <c r="D11" s="277"/>
    </row>
    <row r="12" spans="1:4">
      <c r="A12" s="63">
        <v>1</v>
      </c>
      <c r="B12" s="317" t="s">
        <v>73</v>
      </c>
      <c r="C12" s="317"/>
      <c r="D12" s="35" t="s">
        <v>74</v>
      </c>
    </row>
    <row r="13" spans="1:4">
      <c r="A13" s="64" t="s">
        <v>75</v>
      </c>
      <c r="B13" s="274" t="s">
        <v>76</v>
      </c>
      <c r="C13" s="274"/>
      <c r="D13" s="38">
        <v>2919.49</v>
      </c>
    </row>
    <row r="14" spans="1:4">
      <c r="A14" s="64" t="s">
        <v>77</v>
      </c>
      <c r="B14" s="274" t="s">
        <v>191</v>
      </c>
      <c r="C14" s="274"/>
      <c r="D14" s="39" t="s">
        <v>79</v>
      </c>
    </row>
    <row r="15" spans="1:4">
      <c r="A15" s="64" t="s">
        <v>80</v>
      </c>
      <c r="B15" s="274" t="s">
        <v>185</v>
      </c>
      <c r="C15" s="274"/>
      <c r="D15" s="39"/>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2919.49</v>
      </c>
    </row>
    <row r="20" spans="1:4" ht="34.15"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265.38164099999995</v>
      </c>
    </row>
    <row r="26" spans="1:4">
      <c r="A26" s="36" t="s">
        <v>77</v>
      </c>
      <c r="B26" s="42" t="s">
        <v>589</v>
      </c>
      <c r="C26" s="43">
        <v>3.0300000000000001E-2</v>
      </c>
      <c r="D26" s="44">
        <f>C26*$D$19</f>
        <v>88.460546999999991</v>
      </c>
    </row>
    <row r="27" spans="1:4">
      <c r="A27" s="294" t="s">
        <v>87</v>
      </c>
      <c r="B27" s="294"/>
      <c r="C27" s="45">
        <f t="shared" ref="C27:D27" si="0">SUM(C25:C26)</f>
        <v>0.1212</v>
      </c>
      <c r="D27" s="46">
        <f t="shared" si="0"/>
        <v>353.84218799999996</v>
      </c>
    </row>
    <row r="28" spans="1:4" ht="36.6" customHeight="1">
      <c r="A28" s="293" t="s">
        <v>93</v>
      </c>
      <c r="B28" s="293"/>
      <c r="C28" s="293"/>
      <c r="D28" s="293"/>
    </row>
    <row r="29" spans="1:4" ht="36.6" customHeight="1">
      <c r="A29" s="293" t="s">
        <v>94</v>
      </c>
      <c r="B29" s="293"/>
      <c r="C29" s="293"/>
      <c r="D29" s="293"/>
    </row>
    <row r="30" spans="1:4" ht="36.6"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654.66643759999999</v>
      </c>
    </row>
    <row r="35" spans="1:4">
      <c r="A35" s="36" t="s">
        <v>77</v>
      </c>
      <c r="B35" s="42" t="s">
        <v>100</v>
      </c>
      <c r="C35" s="48">
        <v>2.5000000000000001E-2</v>
      </c>
      <c r="D35" s="44">
        <f>$C35*(D$19+D$27)</f>
        <v>81.833304699999999</v>
      </c>
    </row>
    <row r="36" spans="1:4">
      <c r="A36" s="36" t="s">
        <v>80</v>
      </c>
      <c r="B36" s="42" t="s">
        <v>101</v>
      </c>
      <c r="C36" s="48">
        <v>0.03</v>
      </c>
      <c r="D36" s="44">
        <f t="shared" ref="D36:D40" si="1">C36*($D$19+$D$27)</f>
        <v>98.199965639999988</v>
      </c>
    </row>
    <row r="37" spans="1:4">
      <c r="A37" s="36" t="s">
        <v>81</v>
      </c>
      <c r="B37" s="42" t="s">
        <v>102</v>
      </c>
      <c r="C37" s="48">
        <v>1.4999999999999999E-2</v>
      </c>
      <c r="D37" s="44">
        <f t="shared" si="1"/>
        <v>49.099982819999994</v>
      </c>
    </row>
    <row r="38" spans="1:4">
      <c r="A38" s="36" t="s">
        <v>83</v>
      </c>
      <c r="B38" s="42" t="s">
        <v>103</v>
      </c>
      <c r="C38" s="48">
        <v>0.01</v>
      </c>
      <c r="D38" s="44">
        <f t="shared" si="1"/>
        <v>32.733321879999998</v>
      </c>
    </row>
    <row r="39" spans="1:4">
      <c r="A39" s="36" t="s">
        <v>85</v>
      </c>
      <c r="B39" s="42" t="s">
        <v>104</v>
      </c>
      <c r="C39" s="48">
        <v>6.0000000000000001E-3</v>
      </c>
      <c r="D39" s="44">
        <f t="shared" si="1"/>
        <v>19.639993128</v>
      </c>
    </row>
    <row r="40" spans="1:4">
      <c r="A40" s="36" t="s">
        <v>105</v>
      </c>
      <c r="B40" s="42" t="s">
        <v>106</v>
      </c>
      <c r="C40" s="48">
        <v>2E-3</v>
      </c>
      <c r="D40" s="44">
        <f t="shared" si="1"/>
        <v>6.5466643759999998</v>
      </c>
    </row>
    <row r="41" spans="1:4">
      <c r="A41" s="36" t="s">
        <v>107</v>
      </c>
      <c r="B41" s="42" t="s">
        <v>108</v>
      </c>
      <c r="C41" s="48">
        <v>0.08</v>
      </c>
      <c r="D41" s="44">
        <f>C41*($D$19+$D$27)</f>
        <v>261.86657503999999</v>
      </c>
    </row>
    <row r="42" spans="1:4">
      <c r="A42" s="36" t="s">
        <v>24</v>
      </c>
      <c r="B42" s="42" t="s">
        <v>109</v>
      </c>
      <c r="C42" s="48">
        <v>0</v>
      </c>
      <c r="D42" s="44">
        <f>C42*($D$19+$D$27)</f>
        <v>0</v>
      </c>
    </row>
    <row r="43" spans="1:4">
      <c r="A43" s="313" t="s">
        <v>87</v>
      </c>
      <c r="B43" s="313"/>
      <c r="C43" s="49">
        <f>SUM(C34:C42)</f>
        <v>0.36800000000000005</v>
      </c>
      <c r="D43" s="50">
        <f>SUM(D34:D42)</f>
        <v>1204.5862451839998</v>
      </c>
    </row>
    <row r="44" spans="1:4" ht="27" customHeight="1">
      <c r="A44" s="293" t="s">
        <v>110</v>
      </c>
      <c r="B44" s="293"/>
      <c r="C44" s="293"/>
      <c r="D44" s="293"/>
    </row>
    <row r="45" spans="1:4" ht="27" customHeight="1">
      <c r="A45" s="293" t="s">
        <v>111</v>
      </c>
      <c r="B45" s="293"/>
      <c r="C45" s="293"/>
      <c r="D45" s="293"/>
    </row>
    <row r="46" spans="1:4" ht="27" customHeight="1">
      <c r="A46" s="293" t="s">
        <v>112</v>
      </c>
      <c r="B46" s="293"/>
      <c r="C46" s="293"/>
      <c r="D46" s="293"/>
    </row>
    <row r="47" spans="1:4" ht="18" customHeight="1">
      <c r="A47" s="293" t="s">
        <v>113</v>
      </c>
      <c r="B47" s="293"/>
      <c r="C47" s="293"/>
      <c r="D47" s="293"/>
    </row>
    <row r="48" spans="1:4" ht="27"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234.03</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846.01499999999999</v>
      </c>
    </row>
    <row r="58" spans="1:4" ht="36" customHeight="1">
      <c r="A58" s="293" t="s">
        <v>122</v>
      </c>
      <c r="B58" s="293"/>
      <c r="C58" s="293"/>
      <c r="D58" s="293"/>
    </row>
    <row r="59" spans="1:4" ht="36"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353.84218799999996</v>
      </c>
    </row>
    <row r="64" spans="1:4">
      <c r="A64" s="36" t="s">
        <v>97</v>
      </c>
      <c r="B64" s="274" t="s">
        <v>98</v>
      </c>
      <c r="C64" s="274"/>
      <c r="D64" s="44">
        <f>D43</f>
        <v>1204.5862451839998</v>
      </c>
    </row>
    <row r="65" spans="1:4">
      <c r="A65" s="36" t="s">
        <v>116</v>
      </c>
      <c r="B65" s="274" t="s">
        <v>117</v>
      </c>
      <c r="C65" s="274"/>
      <c r="D65" s="44">
        <f>D57</f>
        <v>846.01499999999999</v>
      </c>
    </row>
    <row r="66" spans="1:4">
      <c r="A66" s="296" t="s">
        <v>87</v>
      </c>
      <c r="B66" s="311"/>
      <c r="C66" s="297"/>
      <c r="D66" s="46">
        <f>SUM(D63:D65)</f>
        <v>2404.4434331839998</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13.747995189599999</v>
      </c>
    </row>
    <row r="71" spans="1:4">
      <c r="A71" s="36" t="s">
        <v>77</v>
      </c>
      <c r="B71" s="26" t="s">
        <v>129</v>
      </c>
      <c r="C71" s="48">
        <v>2.9999999999999997E-4</v>
      </c>
      <c r="D71" s="44">
        <f t="shared" si="2"/>
        <v>0.98199965639999987</v>
      </c>
    </row>
    <row r="72" spans="1:4" ht="25.5">
      <c r="A72" s="36" t="s">
        <v>80</v>
      </c>
      <c r="B72" s="26" t="s">
        <v>130</v>
      </c>
      <c r="C72" s="53">
        <v>9.9999999999999995E-7</v>
      </c>
      <c r="D72" s="44">
        <f t="shared" si="2"/>
        <v>3.2733321879999996E-3</v>
      </c>
    </row>
    <row r="73" spans="1:4">
      <c r="A73" s="36" t="s">
        <v>81</v>
      </c>
      <c r="B73" s="26" t="s">
        <v>131</v>
      </c>
      <c r="C73" s="54">
        <v>1.9400000000000001E-2</v>
      </c>
      <c r="D73" s="44">
        <f>C73*($D$19+$D$27)</f>
        <v>63.502644447199998</v>
      </c>
    </row>
    <row r="74" spans="1:4" ht="25.5">
      <c r="A74" s="36" t="s">
        <v>83</v>
      </c>
      <c r="B74" s="26" t="s">
        <v>132</v>
      </c>
      <c r="C74" s="48">
        <v>7.1000000000000004E-3</v>
      </c>
      <c r="D74" s="44">
        <f>C74*($D$19+$D$27)</f>
        <v>23.240658534800001</v>
      </c>
    </row>
    <row r="75" spans="1:4" ht="25.5">
      <c r="A75" s="36" t="s">
        <v>85</v>
      </c>
      <c r="B75" s="26" t="s">
        <v>133</v>
      </c>
      <c r="C75" s="48">
        <v>1E-4</v>
      </c>
      <c r="D75" s="44">
        <f t="shared" si="2"/>
        <v>0.32733321879999999</v>
      </c>
    </row>
    <row r="76" spans="1:4">
      <c r="A76" s="55" t="s">
        <v>105</v>
      </c>
      <c r="B76" s="56" t="s">
        <v>134</v>
      </c>
      <c r="C76" s="48">
        <v>3.49E-2</v>
      </c>
      <c r="D76" s="44">
        <f>C76*($D$19+$D$27)</f>
        <v>114.2392933612</v>
      </c>
    </row>
    <row r="77" spans="1:4">
      <c r="A77" s="296" t="s">
        <v>87</v>
      </c>
      <c r="B77" s="297"/>
      <c r="C77" s="45">
        <f t="shared" ref="C77:D77" si="3">SUM(C70:C76)</f>
        <v>6.6001000000000004E-2</v>
      </c>
      <c r="D77" s="46">
        <f t="shared" si="3"/>
        <v>216.04319774018802</v>
      </c>
    </row>
    <row r="78" spans="1:4" ht="30" customHeight="1">
      <c r="A78" s="293" t="s">
        <v>135</v>
      </c>
      <c r="B78" s="293"/>
      <c r="C78" s="293"/>
      <c r="D78" s="293"/>
    </row>
    <row r="79" spans="1:4" ht="30" customHeight="1">
      <c r="A79" s="293" t="s">
        <v>136</v>
      </c>
      <c r="B79" s="293"/>
      <c r="C79" s="293"/>
      <c r="D79" s="293"/>
    </row>
    <row r="80" spans="1:4">
      <c r="A80" s="32"/>
      <c r="D80" s="32"/>
    </row>
    <row r="81" spans="1:4">
      <c r="A81" s="277" t="s">
        <v>137</v>
      </c>
      <c r="B81" s="277"/>
      <c r="C81" s="277"/>
      <c r="D81" s="277"/>
    </row>
    <row r="82" spans="1:4" ht="43.15"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297.54589588919998</v>
      </c>
    </row>
    <row r="87" spans="1:4">
      <c r="A87" s="36" t="s">
        <v>77</v>
      </c>
      <c r="B87" s="26" t="s">
        <v>143</v>
      </c>
      <c r="C87" s="48">
        <v>8.2000000000000007E-3</v>
      </c>
      <c r="D87" s="44">
        <f t="shared" si="4"/>
        <v>26.841323941600002</v>
      </c>
    </row>
    <row r="88" spans="1:4">
      <c r="A88" s="36" t="s">
        <v>80</v>
      </c>
      <c r="B88" s="26" t="s">
        <v>144</v>
      </c>
      <c r="C88" s="48">
        <v>2.0000000000000001E-4</v>
      </c>
      <c r="D88" s="44">
        <f t="shared" si="4"/>
        <v>0.65466643759999998</v>
      </c>
    </row>
    <row r="89" spans="1:4" ht="25.5">
      <c r="A89" s="36" t="s">
        <v>81</v>
      </c>
      <c r="B89" s="26" t="s">
        <v>145</v>
      </c>
      <c r="C89" s="48">
        <v>2.9999999999999997E-4</v>
      </c>
      <c r="D89" s="44">
        <f t="shared" si="4"/>
        <v>0.98199965639999987</v>
      </c>
    </row>
    <row r="90" spans="1:4">
      <c r="A90" s="36" t="s">
        <v>83</v>
      </c>
      <c r="B90" s="26" t="s">
        <v>146</v>
      </c>
      <c r="C90" s="48">
        <v>2.8999999999999998E-3</v>
      </c>
      <c r="D90" s="44">
        <f t="shared" si="4"/>
        <v>9.4926633451999987</v>
      </c>
    </row>
    <row r="91" spans="1:4" ht="25.5">
      <c r="A91" s="36" t="s">
        <v>85</v>
      </c>
      <c r="B91" s="26" t="s">
        <v>147</v>
      </c>
      <c r="C91" s="48">
        <v>1.66E-2</v>
      </c>
      <c r="D91" s="44">
        <f t="shared" si="4"/>
        <v>54.337314320799997</v>
      </c>
    </row>
    <row r="92" spans="1:4">
      <c r="A92" s="296" t="s">
        <v>87</v>
      </c>
      <c r="B92" s="297"/>
      <c r="C92" s="45">
        <f t="shared" ref="C92:D92" si="5">SUM(C86:C91)</f>
        <v>0.1191</v>
      </c>
      <c r="D92" s="46">
        <f t="shared" si="5"/>
        <v>389.85386359079996</v>
      </c>
    </row>
    <row r="93" spans="1:4" ht="22.15"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389.85386359079996</v>
      </c>
    </row>
    <row r="103" spans="1:4">
      <c r="A103" s="36" t="s">
        <v>150</v>
      </c>
      <c r="B103" s="42" t="s">
        <v>155</v>
      </c>
      <c r="C103" s="42"/>
      <c r="D103" s="57">
        <f>C98</f>
        <v>0</v>
      </c>
    </row>
    <row r="104" spans="1:4">
      <c r="A104" s="294" t="s">
        <v>87</v>
      </c>
      <c r="B104" s="294"/>
      <c r="C104" s="294"/>
      <c r="D104" s="46">
        <f>SUM(D102:D103)</f>
        <v>389.85386359079996</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EPIS'!$E$126+'TABELA 5 - Ferramentas'!I$145</f>
        <v>60.998695652173893</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158.69036231884056</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304.42604284169141</v>
      </c>
    </row>
    <row r="119" spans="1:4">
      <c r="A119" s="36" t="s">
        <v>77</v>
      </c>
      <c r="B119" s="42" t="s">
        <v>166</v>
      </c>
      <c r="C119" s="191">
        <v>6.7900000000000002E-2</v>
      </c>
      <c r="D119" s="192">
        <f>$C119*(D$138+D118)</f>
        <v>434.08109448796779</v>
      </c>
    </row>
    <row r="120" spans="1:4">
      <c r="A120" s="187" t="s">
        <v>80</v>
      </c>
      <c r="B120" s="188" t="s">
        <v>167</v>
      </c>
      <c r="C120" s="193">
        <f>SUM(C121:C123)</f>
        <v>0.14250000000000002</v>
      </c>
      <c r="D120" s="192">
        <f>(D$138+D$119+D$118)*($C120/IF($C116="Lucro presumido",91.45%,85.75%))</f>
        <v>1134.5206870767311</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1873.0278244063902</v>
      </c>
    </row>
    <row r="126" spans="1:4" ht="18.600000000000001" customHeight="1">
      <c r="A126" s="293" t="s">
        <v>175</v>
      </c>
      <c r="B126" s="293"/>
      <c r="C126" s="293"/>
      <c r="D126" s="293"/>
    </row>
    <row r="127" spans="1:4" ht="31.9" customHeight="1">
      <c r="A127" s="293" t="s">
        <v>176</v>
      </c>
      <c r="B127" s="293"/>
      <c r="C127" s="293"/>
      <c r="D127" s="293"/>
    </row>
    <row r="128" spans="1:4" ht="31.9" customHeight="1">
      <c r="A128" s="293" t="s">
        <v>562</v>
      </c>
      <c r="B128" s="293"/>
      <c r="C128" s="293"/>
      <c r="D128" s="293"/>
    </row>
    <row r="129" spans="1:4" ht="25.9"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2919.49</v>
      </c>
    </row>
    <row r="134" spans="1:4" ht="12.75" customHeight="1">
      <c r="A134" s="36" t="s">
        <v>77</v>
      </c>
      <c r="B134" s="275" t="s">
        <v>89</v>
      </c>
      <c r="C134" s="275"/>
      <c r="D134" s="44">
        <f>D66</f>
        <v>2404.4434331839998</v>
      </c>
    </row>
    <row r="135" spans="1:4">
      <c r="A135" s="36" t="s">
        <v>80</v>
      </c>
      <c r="B135" s="275" t="s">
        <v>126</v>
      </c>
      <c r="C135" s="275"/>
      <c r="D135" s="44">
        <f>D77</f>
        <v>216.04319774018802</v>
      </c>
    </row>
    <row r="136" spans="1:4" ht="12.75" customHeight="1">
      <c r="A136" s="36" t="s">
        <v>81</v>
      </c>
      <c r="B136" s="275" t="s">
        <v>137</v>
      </c>
      <c r="C136" s="275"/>
      <c r="D136" s="44">
        <f>D104</f>
        <v>389.85386359079996</v>
      </c>
    </row>
    <row r="137" spans="1:4">
      <c r="A137" s="36" t="s">
        <v>83</v>
      </c>
      <c r="B137" s="275" t="s">
        <v>156</v>
      </c>
      <c r="C137" s="275"/>
      <c r="D137" s="44">
        <f>D112</f>
        <v>158.69036231884056</v>
      </c>
    </row>
    <row r="138" spans="1:4">
      <c r="A138" s="294" t="s">
        <v>180</v>
      </c>
      <c r="B138" s="294"/>
      <c r="C138" s="294"/>
      <c r="D138" s="46">
        <f>SUM(D133:D137)</f>
        <v>6088.5208568338285</v>
      </c>
    </row>
    <row r="139" spans="1:4">
      <c r="A139" s="36" t="s">
        <v>85</v>
      </c>
      <c r="B139" s="274" t="s">
        <v>162</v>
      </c>
      <c r="C139" s="274"/>
      <c r="D139" s="44">
        <f>D125</f>
        <v>1873.0278244063902</v>
      </c>
    </row>
    <row r="140" spans="1:4">
      <c r="A140" s="277" t="s">
        <v>187</v>
      </c>
      <c r="B140" s="277"/>
      <c r="C140" s="277"/>
      <c r="D140" s="62">
        <f>SUM(D138:D139)</f>
        <v>7961.5486812402187</v>
      </c>
    </row>
    <row r="143" spans="1:4" ht="225" customHeight="1">
      <c r="A143" s="301" t="s">
        <v>590</v>
      </c>
      <c r="B143" s="301"/>
      <c r="C143" s="301"/>
      <c r="D143" s="301"/>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3:D143"/>
    <mergeCell ref="A132:C132"/>
    <mergeCell ref="B133:C133"/>
    <mergeCell ref="B134:C134"/>
    <mergeCell ref="B135:C135"/>
    <mergeCell ref="B136:C136"/>
    <mergeCell ref="B137:C137"/>
    <mergeCell ref="A138:C138"/>
    <mergeCell ref="B139:C139"/>
    <mergeCell ref="A140:C140"/>
    <mergeCell ref="A129:D129"/>
    <mergeCell ref="A128:D128"/>
  </mergeCells>
  <dataValidations count="1">
    <dataValidation type="list" allowBlank="1" showInputMessage="1" showErrorMessage="1" sqref="C116:D116" xr:uid="{00000000-0002-0000-09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4">
    <tabColor theme="9" tint="0.59999389629810485"/>
    <pageSetUpPr fitToPage="1"/>
  </sheetPr>
  <dimension ref="A1:D143"/>
  <sheetViews>
    <sheetView showGridLines="0" zoomScale="115" zoomScaleNormal="115" workbookViewId="0">
      <selection activeCell="L18" sqref="L18"/>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198</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ht="13.15" customHeight="1">
      <c r="A8" s="34">
        <v>5</v>
      </c>
      <c r="B8" s="26" t="s">
        <v>69</v>
      </c>
      <c r="C8" s="289">
        <v>45047</v>
      </c>
      <c r="D8" s="290"/>
    </row>
    <row r="9" spans="1:4" ht="26.45" customHeight="1">
      <c r="A9" s="34">
        <v>6</v>
      </c>
      <c r="B9" s="26" t="s">
        <v>70</v>
      </c>
      <c r="C9" s="291" t="s">
        <v>594</v>
      </c>
      <c r="D9" s="290"/>
    </row>
    <row r="10" spans="1:4">
      <c r="C10" s="323"/>
      <c r="D10" s="324"/>
    </row>
    <row r="11" spans="1:4">
      <c r="A11" s="320" t="s">
        <v>72</v>
      </c>
      <c r="B11" s="321"/>
      <c r="C11" s="321"/>
      <c r="D11" s="322"/>
    </row>
    <row r="12" spans="1:4">
      <c r="A12" s="63">
        <v>1</v>
      </c>
      <c r="B12" s="317" t="s">
        <v>73</v>
      </c>
      <c r="C12" s="317"/>
      <c r="D12" s="35" t="s">
        <v>74</v>
      </c>
    </row>
    <row r="13" spans="1:4">
      <c r="A13" s="64" t="s">
        <v>75</v>
      </c>
      <c r="B13" s="274" t="s">
        <v>76</v>
      </c>
      <c r="C13" s="274"/>
      <c r="D13" s="38">
        <v>2919.49</v>
      </c>
    </row>
    <row r="14" spans="1:4">
      <c r="A14" s="64" t="s">
        <v>77</v>
      </c>
      <c r="B14" s="274" t="s">
        <v>191</v>
      </c>
      <c r="C14" s="274"/>
      <c r="D14" s="39" t="s">
        <v>79</v>
      </c>
    </row>
    <row r="15" spans="1:4">
      <c r="A15" s="64" t="s">
        <v>80</v>
      </c>
      <c r="B15" s="274" t="s">
        <v>185</v>
      </c>
      <c r="C15" s="274"/>
      <c r="D15" s="39"/>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2919.49</v>
      </c>
    </row>
    <row r="20" spans="1:4" ht="27.6"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265.38164099999995</v>
      </c>
    </row>
    <row r="26" spans="1:4">
      <c r="A26" s="36" t="s">
        <v>77</v>
      </c>
      <c r="B26" s="42" t="s">
        <v>589</v>
      </c>
      <c r="C26" s="43">
        <v>3.0300000000000001E-2</v>
      </c>
      <c r="D26" s="44">
        <f>C26*$D$19</f>
        <v>88.460546999999991</v>
      </c>
    </row>
    <row r="27" spans="1:4">
      <c r="A27" s="294" t="s">
        <v>87</v>
      </c>
      <c r="B27" s="294"/>
      <c r="C27" s="45">
        <f t="shared" ref="C27:D27" si="0">SUM(C25:C26)</f>
        <v>0.1212</v>
      </c>
      <c r="D27" s="46">
        <f t="shared" si="0"/>
        <v>353.84218799999996</v>
      </c>
    </row>
    <row r="28" spans="1:4" ht="44.45" customHeight="1">
      <c r="A28" s="293" t="s">
        <v>93</v>
      </c>
      <c r="B28" s="293"/>
      <c r="C28" s="293"/>
      <c r="D28" s="293"/>
    </row>
    <row r="29" spans="1:4" ht="35.450000000000003" customHeight="1">
      <c r="A29" s="293" t="s">
        <v>94</v>
      </c>
      <c r="B29" s="293"/>
      <c r="C29" s="293"/>
      <c r="D29" s="293"/>
    </row>
    <row r="30" spans="1:4" ht="36"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654.66643759999999</v>
      </c>
    </row>
    <row r="35" spans="1:4">
      <c r="A35" s="36" t="s">
        <v>77</v>
      </c>
      <c r="B35" s="42" t="s">
        <v>100</v>
      </c>
      <c r="C35" s="48">
        <v>2.5000000000000001E-2</v>
      </c>
      <c r="D35" s="44">
        <f>$C35*(D$19+D$27)</f>
        <v>81.833304699999999</v>
      </c>
    </row>
    <row r="36" spans="1:4">
      <c r="A36" s="36" t="s">
        <v>80</v>
      </c>
      <c r="B36" s="42" t="s">
        <v>101</v>
      </c>
      <c r="C36" s="48">
        <v>0.03</v>
      </c>
      <c r="D36" s="44">
        <f t="shared" ref="D36:D40" si="1">C36*($D$19+$D$27)</f>
        <v>98.199965639999988</v>
      </c>
    </row>
    <row r="37" spans="1:4">
      <c r="A37" s="36" t="s">
        <v>81</v>
      </c>
      <c r="B37" s="42" t="s">
        <v>102</v>
      </c>
      <c r="C37" s="48">
        <v>1.4999999999999999E-2</v>
      </c>
      <c r="D37" s="44">
        <f t="shared" si="1"/>
        <v>49.099982819999994</v>
      </c>
    </row>
    <row r="38" spans="1:4">
      <c r="A38" s="36" t="s">
        <v>83</v>
      </c>
      <c r="B38" s="42" t="s">
        <v>103</v>
      </c>
      <c r="C38" s="48">
        <v>0.01</v>
      </c>
      <c r="D38" s="44">
        <f t="shared" si="1"/>
        <v>32.733321879999998</v>
      </c>
    </row>
    <row r="39" spans="1:4">
      <c r="A39" s="36" t="s">
        <v>85</v>
      </c>
      <c r="B39" s="42" t="s">
        <v>104</v>
      </c>
      <c r="C39" s="48">
        <v>6.0000000000000001E-3</v>
      </c>
      <c r="D39" s="44">
        <f t="shared" si="1"/>
        <v>19.639993128</v>
      </c>
    </row>
    <row r="40" spans="1:4">
      <c r="A40" s="36" t="s">
        <v>105</v>
      </c>
      <c r="B40" s="42" t="s">
        <v>106</v>
      </c>
      <c r="C40" s="48">
        <v>2E-3</v>
      </c>
      <c r="D40" s="44">
        <f t="shared" si="1"/>
        <v>6.5466643759999998</v>
      </c>
    </row>
    <row r="41" spans="1:4">
      <c r="A41" s="36" t="s">
        <v>107</v>
      </c>
      <c r="B41" s="42" t="s">
        <v>108</v>
      </c>
      <c r="C41" s="48">
        <v>0.08</v>
      </c>
      <c r="D41" s="44">
        <f>C41*($D$19+$D$27)</f>
        <v>261.86657503999999</v>
      </c>
    </row>
    <row r="42" spans="1:4">
      <c r="A42" s="36" t="s">
        <v>24</v>
      </c>
      <c r="B42" s="42" t="s">
        <v>109</v>
      </c>
      <c r="C42" s="48">
        <v>0</v>
      </c>
      <c r="D42" s="44">
        <f>C42*($D$19+$D$27)</f>
        <v>0</v>
      </c>
    </row>
    <row r="43" spans="1:4">
      <c r="A43" s="313" t="s">
        <v>87</v>
      </c>
      <c r="B43" s="313"/>
      <c r="C43" s="49">
        <f>SUM(C34:C42)</f>
        <v>0.36800000000000005</v>
      </c>
      <c r="D43" s="50">
        <f>SUM(D34:D42)</f>
        <v>1204.5862451839998</v>
      </c>
    </row>
    <row r="44" spans="1:4" ht="32.450000000000003" customHeight="1">
      <c r="A44" s="293" t="s">
        <v>110</v>
      </c>
      <c r="B44" s="293"/>
      <c r="C44" s="293"/>
      <c r="D44" s="293"/>
    </row>
    <row r="45" spans="1:4" ht="31.9" customHeight="1">
      <c r="A45" s="293" t="s">
        <v>111</v>
      </c>
      <c r="B45" s="293"/>
      <c r="C45" s="293"/>
      <c r="D45" s="293"/>
    </row>
    <row r="46" spans="1:4" ht="43.9" customHeight="1">
      <c r="A46" s="293" t="s">
        <v>112</v>
      </c>
      <c r="B46" s="293"/>
      <c r="C46" s="293"/>
      <c r="D46" s="293"/>
    </row>
    <row r="47" spans="1:4" ht="18.600000000000001" customHeight="1">
      <c r="A47" s="293" t="s">
        <v>113</v>
      </c>
      <c r="B47" s="293"/>
      <c r="C47" s="293"/>
      <c r="D47" s="293"/>
    </row>
    <row r="48" spans="1:4" ht="12.75"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234.03</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846.01499999999999</v>
      </c>
    </row>
    <row r="58" spans="1:4" ht="33" customHeight="1">
      <c r="A58" s="293" t="s">
        <v>122</v>
      </c>
      <c r="B58" s="293"/>
      <c r="C58" s="293"/>
      <c r="D58" s="293"/>
    </row>
    <row r="59" spans="1:4" ht="30"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353.84218799999996</v>
      </c>
    </row>
    <row r="64" spans="1:4">
      <c r="A64" s="36" t="s">
        <v>97</v>
      </c>
      <c r="B64" s="274" t="s">
        <v>98</v>
      </c>
      <c r="C64" s="274"/>
      <c r="D64" s="44">
        <f>D43</f>
        <v>1204.5862451839998</v>
      </c>
    </row>
    <row r="65" spans="1:4">
      <c r="A65" s="36" t="s">
        <v>116</v>
      </c>
      <c r="B65" s="274" t="s">
        <v>117</v>
      </c>
      <c r="C65" s="274"/>
      <c r="D65" s="44">
        <f>D57</f>
        <v>846.01499999999999</v>
      </c>
    </row>
    <row r="66" spans="1:4">
      <c r="A66" s="296" t="s">
        <v>87</v>
      </c>
      <c r="B66" s="311"/>
      <c r="C66" s="297"/>
      <c r="D66" s="46">
        <f>SUM(D63:D65)</f>
        <v>2404.4434331839998</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13.747995189599999</v>
      </c>
    </row>
    <row r="71" spans="1:4">
      <c r="A71" s="36" t="s">
        <v>77</v>
      </c>
      <c r="B71" s="26" t="s">
        <v>129</v>
      </c>
      <c r="C71" s="48">
        <v>2.9999999999999997E-4</v>
      </c>
      <c r="D71" s="44">
        <f t="shared" si="2"/>
        <v>0.98199965639999987</v>
      </c>
    </row>
    <row r="72" spans="1:4" ht="25.5">
      <c r="A72" s="36" t="s">
        <v>80</v>
      </c>
      <c r="B72" s="26" t="s">
        <v>130</v>
      </c>
      <c r="C72" s="53">
        <v>9.9999999999999995E-7</v>
      </c>
      <c r="D72" s="44">
        <f t="shared" si="2"/>
        <v>3.2733321879999996E-3</v>
      </c>
    </row>
    <row r="73" spans="1:4">
      <c r="A73" s="36" t="s">
        <v>81</v>
      </c>
      <c r="B73" s="26" t="s">
        <v>131</v>
      </c>
      <c r="C73" s="54">
        <v>1.9400000000000001E-2</v>
      </c>
      <c r="D73" s="44">
        <f>C73*($D$19+$D$27)</f>
        <v>63.502644447199998</v>
      </c>
    </row>
    <row r="74" spans="1:4" ht="25.5">
      <c r="A74" s="36" t="s">
        <v>83</v>
      </c>
      <c r="B74" s="26" t="s">
        <v>132</v>
      </c>
      <c r="C74" s="48">
        <v>7.1000000000000004E-3</v>
      </c>
      <c r="D74" s="44">
        <f>C74*($D$19+$D$27)</f>
        <v>23.240658534800001</v>
      </c>
    </row>
    <row r="75" spans="1:4" ht="25.5">
      <c r="A75" s="36" t="s">
        <v>85</v>
      </c>
      <c r="B75" s="26" t="s">
        <v>133</v>
      </c>
      <c r="C75" s="48">
        <v>1E-4</v>
      </c>
      <c r="D75" s="44">
        <f t="shared" si="2"/>
        <v>0.32733321879999999</v>
      </c>
    </row>
    <row r="76" spans="1:4">
      <c r="A76" s="55" t="s">
        <v>105</v>
      </c>
      <c r="B76" s="56" t="s">
        <v>134</v>
      </c>
      <c r="C76" s="48">
        <v>3.49E-2</v>
      </c>
      <c r="D76" s="44">
        <f>C76*($D$19+$D$27)</f>
        <v>114.2392933612</v>
      </c>
    </row>
    <row r="77" spans="1:4">
      <c r="A77" s="296" t="s">
        <v>87</v>
      </c>
      <c r="B77" s="297"/>
      <c r="C77" s="45">
        <f t="shared" ref="C77:D77" si="3">SUM(C70:C76)</f>
        <v>6.6001000000000004E-2</v>
      </c>
      <c r="D77" s="46">
        <f t="shared" si="3"/>
        <v>216.04319774018802</v>
      </c>
    </row>
    <row r="78" spans="1:4" ht="30.6" customHeight="1">
      <c r="A78" s="293" t="s">
        <v>135</v>
      </c>
      <c r="B78" s="293"/>
      <c r="C78" s="293"/>
      <c r="D78" s="293"/>
    </row>
    <row r="79" spans="1:4" ht="30.6" customHeight="1">
      <c r="A79" s="293" t="s">
        <v>136</v>
      </c>
      <c r="B79" s="293"/>
      <c r="C79" s="293"/>
      <c r="D79" s="293"/>
    </row>
    <row r="80" spans="1:4">
      <c r="A80" s="32"/>
      <c r="D80" s="32"/>
    </row>
    <row r="81" spans="1:4">
      <c r="A81" s="277" t="s">
        <v>137</v>
      </c>
      <c r="B81" s="277"/>
      <c r="C81" s="277"/>
      <c r="D81" s="277"/>
    </row>
    <row r="82" spans="1:4" ht="42"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297.54589588919998</v>
      </c>
    </row>
    <row r="87" spans="1:4">
      <c r="A87" s="36" t="s">
        <v>77</v>
      </c>
      <c r="B87" s="26" t="s">
        <v>143</v>
      </c>
      <c r="C87" s="48">
        <v>8.2000000000000007E-3</v>
      </c>
      <c r="D87" s="44">
        <f t="shared" si="4"/>
        <v>26.841323941600002</v>
      </c>
    </row>
    <row r="88" spans="1:4">
      <c r="A88" s="36" t="s">
        <v>80</v>
      </c>
      <c r="B88" s="26" t="s">
        <v>144</v>
      </c>
      <c r="C88" s="48">
        <v>2.0000000000000001E-4</v>
      </c>
      <c r="D88" s="44">
        <f t="shared" si="4"/>
        <v>0.65466643759999998</v>
      </c>
    </row>
    <row r="89" spans="1:4" ht="25.5">
      <c r="A89" s="36" t="s">
        <v>81</v>
      </c>
      <c r="B89" s="26" t="s">
        <v>145</v>
      </c>
      <c r="C89" s="48">
        <v>2.9999999999999997E-4</v>
      </c>
      <c r="D89" s="44">
        <f t="shared" si="4"/>
        <v>0.98199965639999987</v>
      </c>
    </row>
    <row r="90" spans="1:4">
      <c r="A90" s="36" t="s">
        <v>83</v>
      </c>
      <c r="B90" s="26" t="s">
        <v>146</v>
      </c>
      <c r="C90" s="48">
        <v>2.8999999999999998E-3</v>
      </c>
      <c r="D90" s="44">
        <f t="shared" si="4"/>
        <v>9.4926633451999987</v>
      </c>
    </row>
    <row r="91" spans="1:4" ht="25.5">
      <c r="A91" s="36" t="s">
        <v>85</v>
      </c>
      <c r="B91" s="26" t="s">
        <v>147</v>
      </c>
      <c r="C91" s="48">
        <v>1.66E-2</v>
      </c>
      <c r="D91" s="44">
        <f t="shared" si="4"/>
        <v>54.337314320799997</v>
      </c>
    </row>
    <row r="92" spans="1:4">
      <c r="A92" s="296" t="s">
        <v>87</v>
      </c>
      <c r="B92" s="297"/>
      <c r="C92" s="45">
        <f t="shared" ref="C92:D92" si="5">SUM(C86:C91)</f>
        <v>0.1191</v>
      </c>
      <c r="D92" s="46">
        <f t="shared" si="5"/>
        <v>389.85386359079996</v>
      </c>
    </row>
    <row r="93" spans="1:4" ht="21.6"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389.85386359079996</v>
      </c>
    </row>
    <row r="103" spans="1:4">
      <c r="A103" s="36" t="s">
        <v>150</v>
      </c>
      <c r="B103" s="42" t="s">
        <v>155</v>
      </c>
      <c r="C103" s="42"/>
      <c r="D103" s="57">
        <f>C98</f>
        <v>0</v>
      </c>
    </row>
    <row r="104" spans="1:4">
      <c r="A104" s="294" t="s">
        <v>87</v>
      </c>
      <c r="B104" s="294"/>
      <c r="C104" s="294"/>
      <c r="D104" s="46">
        <f>SUM(D102:D103)</f>
        <v>389.85386359079996</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5 - Ferramentas'!$I$145</f>
        <v>39.320362318840566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137.01202898550724</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303.34212617502476</v>
      </c>
    </row>
    <row r="119" spans="1:4">
      <c r="A119" s="36" t="s">
        <v>77</v>
      </c>
      <c r="B119" s="42" t="s">
        <v>166</v>
      </c>
      <c r="C119" s="191">
        <v>6.7900000000000002E-2</v>
      </c>
      <c r="D119" s="192">
        <f>$C119*(D$138+D118)</f>
        <v>432.53553771296782</v>
      </c>
    </row>
    <row r="120" spans="1:4">
      <c r="A120" s="187" t="s">
        <v>80</v>
      </c>
      <c r="B120" s="188" t="s">
        <v>167</v>
      </c>
      <c r="C120" s="193">
        <f>SUM(C121:C123)</f>
        <v>0.14250000000000002</v>
      </c>
      <c r="D120" s="192">
        <f>(D$138+D$119+D$118)*($C120/IF($C116="Lucro presumido",91.45%,85.75%))</f>
        <v>1130.481197321119</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1866.3588612091116</v>
      </c>
    </row>
    <row r="126" spans="1:4" ht="28.9" customHeight="1">
      <c r="A126" s="293" t="s">
        <v>175</v>
      </c>
      <c r="B126" s="293"/>
      <c r="C126" s="293"/>
      <c r="D126" s="293"/>
    </row>
    <row r="127" spans="1:4" ht="28.9" customHeight="1">
      <c r="A127" s="293" t="s">
        <v>176</v>
      </c>
      <c r="B127" s="293"/>
      <c r="C127" s="293"/>
      <c r="D127" s="293"/>
    </row>
    <row r="128" spans="1:4" ht="28.9" customHeight="1">
      <c r="A128" s="293" t="s">
        <v>562</v>
      </c>
      <c r="B128" s="293"/>
      <c r="C128" s="293"/>
      <c r="D128" s="293"/>
    </row>
    <row r="129" spans="1:4" ht="28.9" customHeight="1">
      <c r="A129" s="304" t="s">
        <v>561</v>
      </c>
      <c r="B129" s="304"/>
      <c r="C129" s="304"/>
      <c r="D129" s="304"/>
    </row>
    <row r="130" spans="1:4" ht="14.45" customHeight="1">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2919.49</v>
      </c>
    </row>
    <row r="134" spans="1:4" ht="12.75" customHeight="1">
      <c r="A134" s="36" t="s">
        <v>77</v>
      </c>
      <c r="B134" s="275" t="s">
        <v>89</v>
      </c>
      <c r="C134" s="275"/>
      <c r="D134" s="44">
        <f>D66</f>
        <v>2404.4434331839998</v>
      </c>
    </row>
    <row r="135" spans="1:4">
      <c r="A135" s="36" t="s">
        <v>80</v>
      </c>
      <c r="B135" s="275" t="s">
        <v>126</v>
      </c>
      <c r="C135" s="275"/>
      <c r="D135" s="44">
        <f>D77</f>
        <v>216.04319774018802</v>
      </c>
    </row>
    <row r="136" spans="1:4" ht="12.75" customHeight="1">
      <c r="A136" s="36" t="s">
        <v>81</v>
      </c>
      <c r="B136" s="275" t="s">
        <v>137</v>
      </c>
      <c r="C136" s="275"/>
      <c r="D136" s="44">
        <f>D104</f>
        <v>389.85386359079996</v>
      </c>
    </row>
    <row r="137" spans="1:4">
      <c r="A137" s="36" t="s">
        <v>83</v>
      </c>
      <c r="B137" s="275" t="s">
        <v>156</v>
      </c>
      <c r="C137" s="275"/>
      <c r="D137" s="44">
        <f>D112</f>
        <v>137.01202898550724</v>
      </c>
    </row>
    <row r="138" spans="1:4">
      <c r="A138" s="294" t="s">
        <v>180</v>
      </c>
      <c r="B138" s="294"/>
      <c r="C138" s="294"/>
      <c r="D138" s="46">
        <f>SUM(D133:D137)</f>
        <v>6066.8425235004952</v>
      </c>
    </row>
    <row r="139" spans="1:4">
      <c r="A139" s="36" t="s">
        <v>85</v>
      </c>
      <c r="B139" s="274" t="s">
        <v>162</v>
      </c>
      <c r="C139" s="274"/>
      <c r="D139" s="44">
        <f>D125</f>
        <v>1866.3588612091116</v>
      </c>
    </row>
    <row r="140" spans="1:4">
      <c r="A140" s="277" t="s">
        <v>187</v>
      </c>
      <c r="B140" s="277"/>
      <c r="C140" s="277"/>
      <c r="D140" s="62">
        <f>SUM(D138:D139)</f>
        <v>7933.2013847096068</v>
      </c>
    </row>
    <row r="142" spans="1:4" ht="228" customHeight="1">
      <c r="A142" s="301" t="s">
        <v>590</v>
      </c>
      <c r="B142" s="301"/>
      <c r="C142" s="301"/>
      <c r="D142" s="301"/>
    </row>
    <row r="143" spans="1:4" ht="27" customHeight="1"/>
  </sheetData>
  <mergeCells count="84">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C10:D10"/>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2:D142"/>
    <mergeCell ref="A132:C132"/>
    <mergeCell ref="B133:C133"/>
    <mergeCell ref="B134:C134"/>
    <mergeCell ref="B135:C135"/>
    <mergeCell ref="B136:C136"/>
    <mergeCell ref="B137:C137"/>
    <mergeCell ref="A138:C138"/>
    <mergeCell ref="B139:C139"/>
    <mergeCell ref="A140:C140"/>
    <mergeCell ref="A129:D129"/>
    <mergeCell ref="A128:D128"/>
  </mergeCells>
  <dataValidations count="1">
    <dataValidation type="list" allowBlank="1" showInputMessage="1" showErrorMessage="1" sqref="C116:D116" xr:uid="{00000000-0002-0000-0A00-000000000000}">
      <formula1>"Lucro presumido,Lucro real"</formula1>
    </dataValidation>
  </dataValidations>
  <printOptions horizontalCentered="1"/>
  <pageMargins left="0.55118110236220474" right="0.55118110236220474" top="1.2598425196850394" bottom="0.98425196850393704" header="0" footer="0"/>
  <pageSetup paperSize="9" scale="6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5">
    <tabColor rgb="FFFBB8B1"/>
    <pageSetUpPr fitToPage="1"/>
  </sheetPr>
  <dimension ref="A1:D143"/>
  <sheetViews>
    <sheetView showGridLines="0" zoomScale="115" zoomScaleNormal="115" workbookViewId="0">
      <selection activeCell="D15" sqref="D15"/>
    </sheetView>
  </sheetViews>
  <sheetFormatPr defaultColWidth="8.7109375" defaultRowHeight="12.75"/>
  <cols>
    <col min="1" max="1" width="5" style="2" bestFit="1" customWidth="1"/>
    <col min="2" max="2" width="45.7109375" style="32" bestFit="1" customWidth="1"/>
    <col min="3" max="3" width="14.140625" style="32" bestFit="1" customWidth="1"/>
    <col min="4" max="4" width="12.57031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199</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ht="13.15" customHeight="1">
      <c r="A8" s="34">
        <v>5</v>
      </c>
      <c r="B8" s="26" t="s">
        <v>69</v>
      </c>
      <c r="C8" s="289">
        <v>45047</v>
      </c>
      <c r="D8" s="290"/>
    </row>
    <row r="9" spans="1:4" ht="30" customHeight="1">
      <c r="A9" s="34">
        <v>6</v>
      </c>
      <c r="B9" s="26" t="s">
        <v>70</v>
      </c>
      <c r="C9" s="291" t="s">
        <v>594</v>
      </c>
      <c r="D9" s="290"/>
    </row>
    <row r="11" spans="1:4">
      <c r="A11" s="277" t="s">
        <v>72</v>
      </c>
      <c r="B11" s="277"/>
      <c r="C11" s="277"/>
      <c r="D11" s="277"/>
    </row>
    <row r="12" spans="1:4">
      <c r="A12" s="63">
        <v>1</v>
      </c>
      <c r="B12" s="317" t="s">
        <v>73</v>
      </c>
      <c r="C12" s="317"/>
      <c r="D12" s="35" t="s">
        <v>74</v>
      </c>
    </row>
    <row r="13" spans="1:4">
      <c r="A13" s="64" t="s">
        <v>75</v>
      </c>
      <c r="B13" s="274" t="s">
        <v>76</v>
      </c>
      <c r="C13" s="274"/>
      <c r="D13" s="38">
        <v>3219.82</v>
      </c>
    </row>
    <row r="14" spans="1:4">
      <c r="A14" s="64" t="s">
        <v>77</v>
      </c>
      <c r="B14" s="274" t="s">
        <v>191</v>
      </c>
      <c r="C14" s="274"/>
      <c r="D14" s="39" t="s">
        <v>79</v>
      </c>
    </row>
    <row r="15" spans="1:4">
      <c r="A15" s="64" t="s">
        <v>80</v>
      </c>
      <c r="B15" s="275" t="s">
        <v>563</v>
      </c>
      <c r="C15" s="275"/>
      <c r="D15" s="39">
        <f>TRUNC(1515.92*0.2,2)</f>
        <v>303.18</v>
      </c>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3523</v>
      </c>
    </row>
    <row r="20" spans="1:4" ht="33.6"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320.2407</v>
      </c>
    </row>
    <row r="26" spans="1:4">
      <c r="A26" s="36" t="s">
        <v>77</v>
      </c>
      <c r="B26" s="42" t="s">
        <v>589</v>
      </c>
      <c r="C26" s="43">
        <v>3.0300000000000001E-2</v>
      </c>
      <c r="D26" s="44">
        <f>C26*$D$19</f>
        <v>106.7469</v>
      </c>
    </row>
    <row r="27" spans="1:4">
      <c r="A27" s="294" t="s">
        <v>87</v>
      </c>
      <c r="B27" s="294"/>
      <c r="C27" s="45">
        <f t="shared" ref="C27:D27" si="0">SUM(C25:C26)</f>
        <v>0.1212</v>
      </c>
      <c r="D27" s="46">
        <f t="shared" si="0"/>
        <v>426.98759999999999</v>
      </c>
    </row>
    <row r="28" spans="1:4" ht="24" customHeight="1">
      <c r="A28" s="293" t="s">
        <v>93</v>
      </c>
      <c r="B28" s="293"/>
      <c r="C28" s="293"/>
      <c r="D28" s="293"/>
    </row>
    <row r="29" spans="1:4" ht="24" customHeight="1">
      <c r="A29" s="293" t="s">
        <v>94</v>
      </c>
      <c r="B29" s="293"/>
      <c r="C29" s="293"/>
      <c r="D29" s="293"/>
    </row>
    <row r="30" spans="1:4" ht="24" customHeight="1">
      <c r="A30" s="293" t="s">
        <v>192</v>
      </c>
      <c r="B30" s="293"/>
      <c r="C30" s="293"/>
      <c r="D30" s="293"/>
    </row>
    <row r="31" spans="1:4" ht="15.6" customHeight="1">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789.99752000000001</v>
      </c>
    </row>
    <row r="35" spans="1:4">
      <c r="A35" s="36" t="s">
        <v>77</v>
      </c>
      <c r="B35" s="42" t="s">
        <v>100</v>
      </c>
      <c r="C35" s="48">
        <v>2.5000000000000001E-2</v>
      </c>
      <c r="D35" s="44">
        <f>$C35*(D$19+D$27)</f>
        <v>98.749690000000001</v>
      </c>
    </row>
    <row r="36" spans="1:4">
      <c r="A36" s="36" t="s">
        <v>80</v>
      </c>
      <c r="B36" s="42" t="s">
        <v>101</v>
      </c>
      <c r="C36" s="48">
        <v>0.03</v>
      </c>
      <c r="D36" s="44">
        <f t="shared" ref="D36:D40" si="1">C36*($D$19+$D$27)</f>
        <v>118.49962799999999</v>
      </c>
    </row>
    <row r="37" spans="1:4">
      <c r="A37" s="36" t="s">
        <v>81</v>
      </c>
      <c r="B37" s="42" t="s">
        <v>102</v>
      </c>
      <c r="C37" s="48">
        <v>1.4999999999999999E-2</v>
      </c>
      <c r="D37" s="44">
        <f t="shared" si="1"/>
        <v>59.249813999999994</v>
      </c>
    </row>
    <row r="38" spans="1:4">
      <c r="A38" s="36" t="s">
        <v>83</v>
      </c>
      <c r="B38" s="42" t="s">
        <v>103</v>
      </c>
      <c r="C38" s="48">
        <v>0.01</v>
      </c>
      <c r="D38" s="44">
        <f t="shared" si="1"/>
        <v>39.499876</v>
      </c>
    </row>
    <row r="39" spans="1:4">
      <c r="A39" s="36" t="s">
        <v>85</v>
      </c>
      <c r="B39" s="42" t="s">
        <v>104</v>
      </c>
      <c r="C39" s="48">
        <v>6.0000000000000001E-3</v>
      </c>
      <c r="D39" s="44">
        <f t="shared" si="1"/>
        <v>23.6999256</v>
      </c>
    </row>
    <row r="40" spans="1:4">
      <c r="A40" s="36" t="s">
        <v>105</v>
      </c>
      <c r="B40" s="42" t="s">
        <v>106</v>
      </c>
      <c r="C40" s="48">
        <v>2E-3</v>
      </c>
      <c r="D40" s="44">
        <f t="shared" si="1"/>
        <v>7.8999752000000001</v>
      </c>
    </row>
    <row r="41" spans="1:4">
      <c r="A41" s="36" t="s">
        <v>107</v>
      </c>
      <c r="B41" s="42" t="s">
        <v>108</v>
      </c>
      <c r="C41" s="48">
        <v>0.08</v>
      </c>
      <c r="D41" s="44">
        <f>C41*($D$19+$D$27)</f>
        <v>315.999008</v>
      </c>
    </row>
    <row r="42" spans="1:4">
      <c r="A42" s="36" t="s">
        <v>24</v>
      </c>
      <c r="B42" s="42" t="s">
        <v>109</v>
      </c>
      <c r="C42" s="48">
        <v>0</v>
      </c>
      <c r="D42" s="44">
        <f>C42*($D$19+$D$27)</f>
        <v>0</v>
      </c>
    </row>
    <row r="43" spans="1:4">
      <c r="A43" s="313" t="s">
        <v>87</v>
      </c>
      <c r="B43" s="313"/>
      <c r="C43" s="49">
        <f>SUM(C34:C42)</f>
        <v>0.36800000000000005</v>
      </c>
      <c r="D43" s="50">
        <f>SUM(D34:D42)</f>
        <v>1453.5954368</v>
      </c>
    </row>
    <row r="44" spans="1:4" ht="24.6" customHeight="1">
      <c r="A44" s="293" t="s">
        <v>110</v>
      </c>
      <c r="B44" s="293"/>
      <c r="C44" s="293"/>
      <c r="D44" s="293"/>
    </row>
    <row r="45" spans="1:4" ht="24.6" customHeight="1">
      <c r="A45" s="293" t="s">
        <v>111</v>
      </c>
      <c r="B45" s="293"/>
      <c r="C45" s="293"/>
      <c r="D45" s="293"/>
    </row>
    <row r="46" spans="1:4" ht="42" customHeight="1">
      <c r="A46" s="293" t="s">
        <v>112</v>
      </c>
      <c r="B46" s="293"/>
      <c r="C46" s="293"/>
      <c r="D46" s="293"/>
    </row>
    <row r="47" spans="1:4" ht="24.6" customHeight="1">
      <c r="A47" s="293" t="s">
        <v>113</v>
      </c>
      <c r="B47" s="293"/>
      <c r="C47" s="293"/>
      <c r="D47" s="293"/>
    </row>
    <row r="48" spans="1:4" ht="24.6"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216.01</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827.99499999999989</v>
      </c>
    </row>
    <row r="58" spans="1:4" ht="28.15" customHeight="1">
      <c r="A58" s="293" t="s">
        <v>122</v>
      </c>
      <c r="B58" s="293"/>
      <c r="C58" s="293"/>
      <c r="D58" s="293"/>
    </row>
    <row r="59" spans="1:4" ht="27.6"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426.98759999999999</v>
      </c>
    </row>
    <row r="64" spans="1:4">
      <c r="A64" s="36" t="s">
        <v>97</v>
      </c>
      <c r="B64" s="274" t="s">
        <v>98</v>
      </c>
      <c r="C64" s="274"/>
      <c r="D64" s="44">
        <f>D43</f>
        <v>1453.5954368</v>
      </c>
    </row>
    <row r="65" spans="1:4">
      <c r="A65" s="36" t="s">
        <v>116</v>
      </c>
      <c r="B65" s="274" t="s">
        <v>117</v>
      </c>
      <c r="C65" s="274"/>
      <c r="D65" s="44">
        <f>D57</f>
        <v>827.99499999999989</v>
      </c>
    </row>
    <row r="66" spans="1:4">
      <c r="A66" s="296" t="s">
        <v>87</v>
      </c>
      <c r="B66" s="311"/>
      <c r="C66" s="297"/>
      <c r="D66" s="46">
        <f>SUM(D63:D65)</f>
        <v>2708.5780367999996</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16.58994792</v>
      </c>
    </row>
    <row r="71" spans="1:4">
      <c r="A71" s="36" t="s">
        <v>77</v>
      </c>
      <c r="B71" s="26" t="s">
        <v>129</v>
      </c>
      <c r="C71" s="48">
        <v>2.9999999999999997E-4</v>
      </c>
      <c r="D71" s="44">
        <f t="shared" si="2"/>
        <v>1.1849962799999998</v>
      </c>
    </row>
    <row r="72" spans="1:4" ht="25.5">
      <c r="A72" s="36" t="s">
        <v>80</v>
      </c>
      <c r="B72" s="26" t="s">
        <v>130</v>
      </c>
      <c r="C72" s="53">
        <v>9.9999999999999995E-7</v>
      </c>
      <c r="D72" s="44">
        <f t="shared" si="2"/>
        <v>3.9499875999999996E-3</v>
      </c>
    </row>
    <row r="73" spans="1:4">
      <c r="A73" s="36" t="s">
        <v>81</v>
      </c>
      <c r="B73" s="26" t="s">
        <v>131</v>
      </c>
      <c r="C73" s="54">
        <v>1.9400000000000001E-2</v>
      </c>
      <c r="D73" s="44">
        <f>C73*($D$19+$D$27)</f>
        <v>76.629759440000001</v>
      </c>
    </row>
    <row r="74" spans="1:4" ht="25.5">
      <c r="A74" s="36" t="s">
        <v>83</v>
      </c>
      <c r="B74" s="26" t="s">
        <v>132</v>
      </c>
      <c r="C74" s="48">
        <v>7.1000000000000004E-3</v>
      </c>
      <c r="D74" s="44">
        <f>C74*($D$19+$D$27)</f>
        <v>28.04491196</v>
      </c>
    </row>
    <row r="75" spans="1:4" ht="25.5">
      <c r="A75" s="36" t="s">
        <v>85</v>
      </c>
      <c r="B75" s="26" t="s">
        <v>133</v>
      </c>
      <c r="C75" s="48">
        <v>1E-4</v>
      </c>
      <c r="D75" s="44">
        <f t="shared" si="2"/>
        <v>0.39499876</v>
      </c>
    </row>
    <row r="76" spans="1:4">
      <c r="A76" s="55" t="s">
        <v>105</v>
      </c>
      <c r="B76" s="56" t="s">
        <v>134</v>
      </c>
      <c r="C76" s="48">
        <v>3.49E-2</v>
      </c>
      <c r="D76" s="44">
        <f>C76*($D$19+$D$27)</f>
        <v>137.85456723999999</v>
      </c>
    </row>
    <row r="77" spans="1:4">
      <c r="A77" s="296" t="s">
        <v>87</v>
      </c>
      <c r="B77" s="297"/>
      <c r="C77" s="45">
        <f t="shared" ref="C77:D77" si="3">SUM(C70:C76)</f>
        <v>6.6001000000000004E-2</v>
      </c>
      <c r="D77" s="46">
        <f t="shared" si="3"/>
        <v>260.70313158759996</v>
      </c>
    </row>
    <row r="78" spans="1:4" ht="32.450000000000003" customHeight="1">
      <c r="A78" s="293" t="s">
        <v>135</v>
      </c>
      <c r="B78" s="293"/>
      <c r="C78" s="293"/>
      <c r="D78" s="293"/>
    </row>
    <row r="79" spans="1:4" ht="32.450000000000003" customHeight="1">
      <c r="A79" s="293" t="s">
        <v>136</v>
      </c>
      <c r="B79" s="293"/>
      <c r="C79" s="293"/>
      <c r="D79" s="293"/>
    </row>
    <row r="80" spans="1:4">
      <c r="A80" s="32"/>
      <c r="D80" s="32"/>
    </row>
    <row r="81" spans="1:4">
      <c r="A81" s="277" t="s">
        <v>137</v>
      </c>
      <c r="B81" s="277"/>
      <c r="C81" s="277"/>
      <c r="D81" s="277"/>
    </row>
    <row r="82" spans="1:4" ht="45.6"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359.05387284</v>
      </c>
    </row>
    <row r="87" spans="1:4">
      <c r="A87" s="36" t="s">
        <v>77</v>
      </c>
      <c r="B87" s="26" t="s">
        <v>143</v>
      </c>
      <c r="C87" s="48">
        <v>8.2000000000000007E-3</v>
      </c>
      <c r="D87" s="44">
        <f t="shared" si="4"/>
        <v>32.38989832</v>
      </c>
    </row>
    <row r="88" spans="1:4">
      <c r="A88" s="36" t="s">
        <v>80</v>
      </c>
      <c r="B88" s="26" t="s">
        <v>144</v>
      </c>
      <c r="C88" s="48">
        <v>2.0000000000000001E-4</v>
      </c>
      <c r="D88" s="44">
        <f t="shared" si="4"/>
        <v>0.78999752000000001</v>
      </c>
    </row>
    <row r="89" spans="1:4" ht="25.5">
      <c r="A89" s="36" t="s">
        <v>81</v>
      </c>
      <c r="B89" s="26" t="s">
        <v>145</v>
      </c>
      <c r="C89" s="48">
        <v>2.9999999999999997E-4</v>
      </c>
      <c r="D89" s="44">
        <f t="shared" si="4"/>
        <v>1.1849962799999998</v>
      </c>
    </row>
    <row r="90" spans="1:4">
      <c r="A90" s="36" t="s">
        <v>83</v>
      </c>
      <c r="B90" s="26" t="s">
        <v>146</v>
      </c>
      <c r="C90" s="48">
        <v>2.8999999999999998E-3</v>
      </c>
      <c r="D90" s="44">
        <f t="shared" si="4"/>
        <v>11.454964039999998</v>
      </c>
    </row>
    <row r="91" spans="1:4" ht="25.5">
      <c r="A91" s="36" t="s">
        <v>85</v>
      </c>
      <c r="B91" s="26" t="s">
        <v>147</v>
      </c>
      <c r="C91" s="48">
        <v>1.66E-2</v>
      </c>
      <c r="D91" s="44">
        <f t="shared" si="4"/>
        <v>65.569794160000001</v>
      </c>
    </row>
    <row r="92" spans="1:4">
      <c r="A92" s="296" t="s">
        <v>87</v>
      </c>
      <c r="B92" s="297"/>
      <c r="C92" s="45">
        <f t="shared" ref="C92:D92" si="5">SUM(C86:C91)</f>
        <v>0.1191</v>
      </c>
      <c r="D92" s="46">
        <f t="shared" si="5"/>
        <v>470.44352315999998</v>
      </c>
    </row>
    <row r="93" spans="1:4" ht="24"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470.44352315999998</v>
      </c>
    </row>
    <row r="103" spans="1:4">
      <c r="A103" s="36" t="s">
        <v>150</v>
      </c>
      <c r="B103" s="42" t="s">
        <v>155</v>
      </c>
      <c r="C103" s="42"/>
      <c r="D103" s="57">
        <f>C98</f>
        <v>0</v>
      </c>
    </row>
    <row r="104" spans="1:4">
      <c r="A104" s="294" t="s">
        <v>87</v>
      </c>
      <c r="B104" s="294"/>
      <c r="C104" s="294"/>
      <c r="D104" s="46">
        <f>SUM(D102:D103)</f>
        <v>470.44352315999998</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EPIS'!$E$137+'TABELA 5 - Ferramentas'!$I$145</f>
        <v>109.10869565217391</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206.80036231884057</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358.47625269332207</v>
      </c>
    </row>
    <row r="119" spans="1:4">
      <c r="A119" s="36" t="s">
        <v>77</v>
      </c>
      <c r="B119" s="42" t="s">
        <v>166</v>
      </c>
      <c r="C119" s="191">
        <v>6.7900000000000002E-2</v>
      </c>
      <c r="D119" s="192">
        <f>$C119*(D$138+D118)</f>
        <v>511.15128871540787</v>
      </c>
    </row>
    <row r="120" spans="1:4">
      <c r="A120" s="187" t="s">
        <v>80</v>
      </c>
      <c r="B120" s="188" t="s">
        <v>167</v>
      </c>
      <c r="C120" s="193">
        <f>SUM(C121:C123)</f>
        <v>0.14250000000000002</v>
      </c>
      <c r="D120" s="192">
        <f>(D$138+D$119+D$118)*($C120/IF($C116="Lucro presumido",91.45%,85.75%))</f>
        <v>1335.9524721011217</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2205.5800135098516</v>
      </c>
    </row>
    <row r="126" spans="1:4" ht="12.75" customHeight="1">
      <c r="A126" s="293" t="s">
        <v>175</v>
      </c>
      <c r="B126" s="293"/>
      <c r="C126" s="293"/>
      <c r="D126" s="293"/>
    </row>
    <row r="127" spans="1:4" ht="34.15" customHeight="1">
      <c r="A127" s="293" t="s">
        <v>176</v>
      </c>
      <c r="B127" s="293"/>
      <c r="C127" s="293"/>
      <c r="D127" s="293"/>
    </row>
    <row r="128" spans="1:4" ht="34.15" customHeight="1">
      <c r="A128" s="293" t="s">
        <v>562</v>
      </c>
      <c r="B128" s="293"/>
      <c r="C128" s="293"/>
      <c r="D128" s="293"/>
    </row>
    <row r="129" spans="1:4" ht="27"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3523</v>
      </c>
    </row>
    <row r="134" spans="1:4" ht="12.75" customHeight="1">
      <c r="A134" s="36" t="s">
        <v>77</v>
      </c>
      <c r="B134" s="275" t="s">
        <v>89</v>
      </c>
      <c r="C134" s="275"/>
      <c r="D134" s="44">
        <f>D66</f>
        <v>2708.5780367999996</v>
      </c>
    </row>
    <row r="135" spans="1:4">
      <c r="A135" s="36" t="s">
        <v>80</v>
      </c>
      <c r="B135" s="275" t="s">
        <v>126</v>
      </c>
      <c r="C135" s="275"/>
      <c r="D135" s="44">
        <f>D77</f>
        <v>260.70313158759996</v>
      </c>
    </row>
    <row r="136" spans="1:4" ht="12.75" customHeight="1">
      <c r="A136" s="36" t="s">
        <v>81</v>
      </c>
      <c r="B136" s="275" t="s">
        <v>137</v>
      </c>
      <c r="C136" s="275"/>
      <c r="D136" s="44">
        <f>D104</f>
        <v>470.44352315999998</v>
      </c>
    </row>
    <row r="137" spans="1:4">
      <c r="A137" s="36" t="s">
        <v>83</v>
      </c>
      <c r="B137" s="275" t="s">
        <v>156</v>
      </c>
      <c r="C137" s="275"/>
      <c r="D137" s="44">
        <f>D112</f>
        <v>206.80036231884057</v>
      </c>
    </row>
    <row r="138" spans="1:4">
      <c r="A138" s="294" t="s">
        <v>180</v>
      </c>
      <c r="B138" s="294"/>
      <c r="C138" s="294"/>
      <c r="D138" s="46">
        <f>SUM(D133:D137)</f>
        <v>7169.5250538664404</v>
      </c>
    </row>
    <row r="139" spans="1:4">
      <c r="A139" s="36" t="s">
        <v>85</v>
      </c>
      <c r="B139" s="274" t="s">
        <v>162</v>
      </c>
      <c r="C139" s="274"/>
      <c r="D139" s="44">
        <f>D125</f>
        <v>2205.5800135098516</v>
      </c>
    </row>
    <row r="140" spans="1:4">
      <c r="A140" s="277" t="s">
        <v>187</v>
      </c>
      <c r="B140" s="277"/>
      <c r="C140" s="277"/>
      <c r="D140" s="62">
        <f>SUM(D138:D139)</f>
        <v>9375.1050673762911</v>
      </c>
    </row>
    <row r="143" spans="1:4" ht="228" customHeight="1">
      <c r="A143" s="301" t="s">
        <v>590</v>
      </c>
      <c r="B143" s="301"/>
      <c r="C143" s="301"/>
      <c r="D143" s="301"/>
    </row>
  </sheetData>
  <mergeCells count="83">
    <mergeCell ref="A143:D143"/>
    <mergeCell ref="B134:C134"/>
    <mergeCell ref="B135:C135"/>
    <mergeCell ref="B136:C136"/>
    <mergeCell ref="B137:C137"/>
    <mergeCell ref="A138:C138"/>
    <mergeCell ref="B139:C139"/>
    <mergeCell ref="A112:C112"/>
    <mergeCell ref="A113:D113"/>
    <mergeCell ref="A115:D115"/>
    <mergeCell ref="A140:C140"/>
    <mergeCell ref="B133:C133"/>
    <mergeCell ref="A116:B116"/>
    <mergeCell ref="C116:D116"/>
    <mergeCell ref="A125:B125"/>
    <mergeCell ref="A126:D126"/>
    <mergeCell ref="A127:D127"/>
    <mergeCell ref="A131:D131"/>
    <mergeCell ref="A132:C132"/>
    <mergeCell ref="A129:D129"/>
    <mergeCell ref="A128:D128"/>
    <mergeCell ref="B102:C102"/>
    <mergeCell ref="A104:C104"/>
    <mergeCell ref="A106:D106"/>
    <mergeCell ref="B107:C107"/>
    <mergeCell ref="B108:C108"/>
    <mergeCell ref="A93:D93"/>
    <mergeCell ref="A95:D95"/>
    <mergeCell ref="A98:B98"/>
    <mergeCell ref="A100:D100"/>
    <mergeCell ref="B101:C101"/>
    <mergeCell ref="B110:C110"/>
    <mergeCell ref="B111:C111"/>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30:D30"/>
    <mergeCell ref="B18:C18"/>
    <mergeCell ref="A19:C19"/>
    <mergeCell ref="A20:D20"/>
    <mergeCell ref="A22:D22"/>
    <mergeCell ref="A23:D23"/>
    <mergeCell ref="B16:C16"/>
    <mergeCell ref="B17:C17"/>
    <mergeCell ref="B15:C15"/>
    <mergeCell ref="B14:C14"/>
    <mergeCell ref="A1:D1"/>
    <mergeCell ref="A3:D3"/>
    <mergeCell ref="C4:D4"/>
    <mergeCell ref="C5:D5"/>
    <mergeCell ref="C6:D6"/>
    <mergeCell ref="C7:D7"/>
    <mergeCell ref="C8:D8"/>
    <mergeCell ref="C9:D9"/>
    <mergeCell ref="A11:D11"/>
    <mergeCell ref="B12:C12"/>
    <mergeCell ref="B13:C13"/>
  </mergeCells>
  <dataValidations count="1">
    <dataValidation type="list" allowBlank="1" showInputMessage="1" showErrorMessage="1" sqref="C116:D116" xr:uid="{00000000-0002-0000-0B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6">
    <tabColor theme="9" tint="0.59999389629810485"/>
    <pageSetUpPr fitToPage="1"/>
  </sheetPr>
  <dimension ref="A1:F142"/>
  <sheetViews>
    <sheetView showGridLines="0" topLeftCell="A6" zoomScale="115" zoomScaleNormal="115" workbookViewId="0">
      <selection activeCell="B25" sqref="B25"/>
    </sheetView>
  </sheetViews>
  <sheetFormatPr defaultColWidth="8.7109375" defaultRowHeight="12.75"/>
  <cols>
    <col min="1" max="1" width="5" style="2" bestFit="1" customWidth="1"/>
    <col min="2" max="2" width="45.7109375" style="32" bestFit="1" customWidth="1"/>
    <col min="3" max="3" width="14.42578125" style="32" bestFit="1" customWidth="1"/>
    <col min="4" max="4" width="12.85546875" style="2" bestFit="1" customWidth="1"/>
    <col min="5" max="16384" width="8.7109375" style="2"/>
  </cols>
  <sheetData>
    <row r="1" spans="1:6">
      <c r="A1" s="316" t="s">
        <v>62</v>
      </c>
      <c r="B1" s="316"/>
      <c r="C1" s="316"/>
      <c r="D1" s="316"/>
    </row>
    <row r="3" spans="1:6">
      <c r="A3" s="317" t="s">
        <v>63</v>
      </c>
      <c r="B3" s="317"/>
      <c r="C3" s="317"/>
      <c r="D3" s="317"/>
    </row>
    <row r="4" spans="1:6" ht="25.5">
      <c r="A4" s="35">
        <v>1</v>
      </c>
      <c r="B4" s="182" t="s">
        <v>64</v>
      </c>
      <c r="C4" s="299" t="s">
        <v>200</v>
      </c>
      <c r="D4" s="299"/>
    </row>
    <row r="5" spans="1:6">
      <c r="A5" s="34">
        <v>2</v>
      </c>
      <c r="B5" s="26" t="s">
        <v>66</v>
      </c>
      <c r="C5" s="314"/>
      <c r="D5" s="314"/>
    </row>
    <row r="6" spans="1:6">
      <c r="A6" s="34">
        <v>3</v>
      </c>
      <c r="B6" s="26" t="s">
        <v>67</v>
      </c>
      <c r="C6" s="315">
        <v>10800</v>
      </c>
      <c r="D6" s="315"/>
    </row>
    <row r="7" spans="1:6" ht="25.5" customHeight="1">
      <c r="A7" s="34">
        <v>4</v>
      </c>
      <c r="B7" s="26" t="s">
        <v>68</v>
      </c>
      <c r="C7" s="287" t="s">
        <v>564</v>
      </c>
      <c r="D7" s="288"/>
    </row>
    <row r="8" spans="1:6">
      <c r="A8" s="34">
        <v>5</v>
      </c>
      <c r="B8" s="26" t="s">
        <v>69</v>
      </c>
      <c r="C8" s="325" t="s">
        <v>566</v>
      </c>
      <c r="D8" s="314"/>
    </row>
    <row r="9" spans="1:6" ht="30" customHeight="1">
      <c r="A9" s="34">
        <v>6</v>
      </c>
      <c r="B9" s="26" t="s">
        <v>70</v>
      </c>
      <c r="C9" s="326" t="s">
        <v>565</v>
      </c>
      <c r="D9" s="327"/>
    </row>
    <row r="11" spans="1:6">
      <c r="A11" s="277" t="s">
        <v>72</v>
      </c>
      <c r="B11" s="277"/>
      <c r="C11" s="277"/>
      <c r="D11" s="277"/>
    </row>
    <row r="12" spans="1:6">
      <c r="A12" s="63">
        <v>1</v>
      </c>
      <c r="B12" s="317" t="s">
        <v>73</v>
      </c>
      <c r="C12" s="317"/>
      <c r="D12" s="35" t="s">
        <v>74</v>
      </c>
    </row>
    <row r="13" spans="1:6">
      <c r="A13" s="64" t="s">
        <v>75</v>
      </c>
      <c r="B13" s="274" t="s">
        <v>76</v>
      </c>
      <c r="C13" s="274"/>
      <c r="D13" s="38">
        <f>C6</f>
        <v>10800</v>
      </c>
      <c r="F13" s="2" t="s">
        <v>567</v>
      </c>
    </row>
    <row r="14" spans="1:6">
      <c r="A14" s="64" t="s">
        <v>77</v>
      </c>
      <c r="B14" s="274" t="s">
        <v>191</v>
      </c>
      <c r="C14" s="274"/>
      <c r="D14" s="39" t="s">
        <v>79</v>
      </c>
    </row>
    <row r="15" spans="1:6">
      <c r="A15" s="64" t="s">
        <v>80</v>
      </c>
      <c r="B15" s="274" t="s">
        <v>185</v>
      </c>
      <c r="C15" s="274"/>
      <c r="D15" s="39"/>
    </row>
    <row r="16" spans="1:6">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10800</v>
      </c>
    </row>
    <row r="20" spans="1:4">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981.71999999999991</v>
      </c>
    </row>
    <row r="26" spans="1:4">
      <c r="A26" s="36" t="s">
        <v>77</v>
      </c>
      <c r="B26" s="42" t="s">
        <v>589</v>
      </c>
      <c r="C26" s="43">
        <v>3.0300000000000001E-2</v>
      </c>
      <c r="D26" s="44">
        <f>C26*$D$19</f>
        <v>327.24</v>
      </c>
    </row>
    <row r="27" spans="1:4">
      <c r="A27" s="294" t="s">
        <v>87</v>
      </c>
      <c r="B27" s="294"/>
      <c r="C27" s="45">
        <f t="shared" ref="C27:D27" si="0">SUM(C25:C26)</f>
        <v>0.1212</v>
      </c>
      <c r="D27" s="46">
        <f t="shared" si="0"/>
        <v>1308.96</v>
      </c>
    </row>
    <row r="28" spans="1:4" ht="12.75" customHeight="1">
      <c r="A28" s="293" t="s">
        <v>93</v>
      </c>
      <c r="B28" s="293"/>
      <c r="C28" s="293"/>
      <c r="D28" s="293"/>
    </row>
    <row r="29" spans="1:4" ht="12.75" customHeight="1">
      <c r="A29" s="293" t="s">
        <v>94</v>
      </c>
      <c r="B29" s="293"/>
      <c r="C29" s="293"/>
      <c r="D29" s="293"/>
    </row>
    <row r="30" spans="1:4" ht="12.75"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2421.7919999999999</v>
      </c>
    </row>
    <row r="35" spans="1:4">
      <c r="A35" s="36" t="s">
        <v>77</v>
      </c>
      <c r="B35" s="42" t="s">
        <v>100</v>
      </c>
      <c r="C35" s="48">
        <v>2.5000000000000001E-2</v>
      </c>
      <c r="D35" s="44">
        <f>$C35*(D$19+D$27)</f>
        <v>302.72399999999999</v>
      </c>
    </row>
    <row r="36" spans="1:4">
      <c r="A36" s="36" t="s">
        <v>80</v>
      </c>
      <c r="B36" s="42" t="s">
        <v>101</v>
      </c>
      <c r="C36" s="48">
        <v>0.03</v>
      </c>
      <c r="D36" s="44">
        <f t="shared" ref="D36:D40" si="1">C36*($D$19+$D$27)</f>
        <v>363.26879999999994</v>
      </c>
    </row>
    <row r="37" spans="1:4">
      <c r="A37" s="36" t="s">
        <v>81</v>
      </c>
      <c r="B37" s="42" t="s">
        <v>102</v>
      </c>
      <c r="C37" s="48">
        <v>1.4999999999999999E-2</v>
      </c>
      <c r="D37" s="44">
        <f t="shared" si="1"/>
        <v>181.63439999999997</v>
      </c>
    </row>
    <row r="38" spans="1:4">
      <c r="A38" s="36" t="s">
        <v>83</v>
      </c>
      <c r="B38" s="42" t="s">
        <v>103</v>
      </c>
      <c r="C38" s="48">
        <v>0.01</v>
      </c>
      <c r="D38" s="44">
        <f t="shared" si="1"/>
        <v>121.08959999999999</v>
      </c>
    </row>
    <row r="39" spans="1:4">
      <c r="A39" s="36" t="s">
        <v>85</v>
      </c>
      <c r="B39" s="42" t="s">
        <v>104</v>
      </c>
      <c r="C39" s="48">
        <v>6.0000000000000001E-3</v>
      </c>
      <c r="D39" s="44">
        <f t="shared" si="1"/>
        <v>72.653759999999991</v>
      </c>
    </row>
    <row r="40" spans="1:4">
      <c r="A40" s="36" t="s">
        <v>105</v>
      </c>
      <c r="B40" s="42" t="s">
        <v>106</v>
      </c>
      <c r="C40" s="48">
        <v>2E-3</v>
      </c>
      <c r="D40" s="44">
        <f t="shared" si="1"/>
        <v>24.217919999999999</v>
      </c>
    </row>
    <row r="41" spans="1:4">
      <c r="A41" s="36" t="s">
        <v>107</v>
      </c>
      <c r="B41" s="42" t="s">
        <v>108</v>
      </c>
      <c r="C41" s="48">
        <v>0.08</v>
      </c>
      <c r="D41" s="44">
        <f>C41*($D$19+$D$27)</f>
        <v>968.71679999999992</v>
      </c>
    </row>
    <row r="42" spans="1:4">
      <c r="A42" s="36" t="s">
        <v>24</v>
      </c>
      <c r="B42" s="42" t="s">
        <v>109</v>
      </c>
      <c r="C42" s="48">
        <v>0</v>
      </c>
      <c r="D42" s="44">
        <f>C42*($D$19+$D$27)</f>
        <v>0</v>
      </c>
    </row>
    <row r="43" spans="1:4">
      <c r="A43" s="313" t="s">
        <v>87</v>
      </c>
      <c r="B43" s="313"/>
      <c r="C43" s="49">
        <f>SUM(C34:C42)</f>
        <v>0.36800000000000005</v>
      </c>
      <c r="D43" s="50">
        <f>SUM(D34:D42)</f>
        <v>4456.09728</v>
      </c>
    </row>
    <row r="44" spans="1:4" ht="28.15" customHeight="1">
      <c r="A44" s="293" t="s">
        <v>110</v>
      </c>
      <c r="B44" s="293"/>
      <c r="C44" s="293"/>
      <c r="D44" s="293"/>
    </row>
    <row r="45" spans="1:4" ht="28.15" customHeight="1">
      <c r="A45" s="293" t="s">
        <v>111</v>
      </c>
      <c r="B45" s="293"/>
      <c r="C45" s="293"/>
      <c r="D45" s="293"/>
    </row>
    <row r="46" spans="1:4" ht="37.9" customHeight="1">
      <c r="A46" s="293" t="s">
        <v>112</v>
      </c>
      <c r="B46" s="293"/>
      <c r="C46" s="293"/>
      <c r="D46" s="293"/>
    </row>
    <row r="47" spans="1:4" ht="28.15" customHeight="1">
      <c r="A47" s="293" t="s">
        <v>113</v>
      </c>
      <c r="B47" s="293"/>
      <c r="C47" s="293"/>
      <c r="D47" s="293"/>
    </row>
    <row r="48" spans="1:4" ht="28.15" customHeight="1">
      <c r="A48" s="293" t="s">
        <v>114</v>
      </c>
      <c r="B48" s="293"/>
      <c r="C48" s="293"/>
      <c r="D48" s="293"/>
    </row>
    <row r="49" spans="1:6">
      <c r="A49" s="32"/>
      <c r="D49" s="32"/>
    </row>
    <row r="50" spans="1:6" ht="12.75" customHeight="1">
      <c r="A50" s="299" t="s">
        <v>115</v>
      </c>
      <c r="B50" s="299"/>
      <c r="C50" s="299"/>
      <c r="D50" s="299"/>
    </row>
    <row r="51" spans="1:6">
      <c r="A51" s="33" t="s">
        <v>116</v>
      </c>
      <c r="B51" s="33" t="s">
        <v>117</v>
      </c>
      <c r="C51" s="33" t="s">
        <v>118</v>
      </c>
      <c r="D51" s="33" t="s">
        <v>74</v>
      </c>
    </row>
    <row r="52" spans="1:6" ht="25.5">
      <c r="A52" s="36" t="s">
        <v>75</v>
      </c>
      <c r="B52" s="26" t="s">
        <v>554</v>
      </c>
      <c r="C52" s="51">
        <v>22</v>
      </c>
      <c r="D52" s="44"/>
      <c r="F52" s="2">
        <f>10800*6%</f>
        <v>648</v>
      </c>
    </row>
    <row r="53" spans="1:6" ht="25.5">
      <c r="A53" s="36" t="s">
        <v>77</v>
      </c>
      <c r="B53" s="52" t="s">
        <v>568</v>
      </c>
      <c r="C53" s="51">
        <v>22</v>
      </c>
      <c r="D53" s="73">
        <f>ROUND((35*0.9)*C53,2)</f>
        <v>693</v>
      </c>
    </row>
    <row r="54" spans="1:6">
      <c r="A54" s="36" t="s">
        <v>80</v>
      </c>
      <c r="B54" s="52" t="s">
        <v>569</v>
      </c>
      <c r="C54" s="51"/>
      <c r="D54" s="73"/>
    </row>
    <row r="55" spans="1:6">
      <c r="A55" s="36" t="s">
        <v>81</v>
      </c>
      <c r="B55" s="42" t="s">
        <v>570</v>
      </c>
      <c r="C55" s="51" t="s">
        <v>79</v>
      </c>
      <c r="D55" s="60"/>
    </row>
    <row r="56" spans="1:6">
      <c r="A56" s="36" t="s">
        <v>83</v>
      </c>
      <c r="B56" s="52" t="s">
        <v>201</v>
      </c>
      <c r="C56" s="51"/>
      <c r="D56" s="60">
        <v>350</v>
      </c>
    </row>
    <row r="57" spans="1:6">
      <c r="A57" s="313" t="s">
        <v>87</v>
      </c>
      <c r="B57" s="313"/>
      <c r="C57" s="313"/>
      <c r="D57" s="50">
        <f>SUM(D52:D56)</f>
        <v>1043</v>
      </c>
    </row>
    <row r="58" spans="1:6" ht="35.450000000000003" customHeight="1">
      <c r="A58" s="293" t="s">
        <v>122</v>
      </c>
      <c r="B58" s="293"/>
      <c r="C58" s="293"/>
      <c r="D58" s="293"/>
    </row>
    <row r="59" spans="1:6" ht="35.450000000000003" customHeight="1">
      <c r="A59" s="293" t="s">
        <v>123</v>
      </c>
      <c r="B59" s="293"/>
      <c r="C59" s="293"/>
      <c r="D59" s="293"/>
    </row>
    <row r="60" spans="1:6">
      <c r="A60" s="32"/>
      <c r="D60" s="32"/>
    </row>
    <row r="61" spans="1:6">
      <c r="A61" s="277" t="s">
        <v>124</v>
      </c>
      <c r="B61" s="277"/>
      <c r="C61" s="277"/>
      <c r="D61" s="277"/>
    </row>
    <row r="62" spans="1:6">
      <c r="A62" s="35">
        <v>2</v>
      </c>
      <c r="B62" s="294" t="s">
        <v>125</v>
      </c>
      <c r="C62" s="294"/>
      <c r="D62" s="35" t="s">
        <v>74</v>
      </c>
    </row>
    <row r="63" spans="1:6" ht="12.75" customHeight="1">
      <c r="A63" s="36" t="s">
        <v>90</v>
      </c>
      <c r="B63" s="275" t="s">
        <v>595</v>
      </c>
      <c r="C63" s="275"/>
      <c r="D63" s="44">
        <f>D27</f>
        <v>1308.96</v>
      </c>
    </row>
    <row r="64" spans="1:6">
      <c r="A64" s="36" t="s">
        <v>97</v>
      </c>
      <c r="B64" s="274" t="s">
        <v>98</v>
      </c>
      <c r="C64" s="274"/>
      <c r="D64" s="44">
        <f>D43</f>
        <v>4456.09728</v>
      </c>
    </row>
    <row r="65" spans="1:4">
      <c r="A65" s="36" t="s">
        <v>116</v>
      </c>
      <c r="B65" s="274" t="s">
        <v>117</v>
      </c>
      <c r="C65" s="274"/>
      <c r="D65" s="44">
        <f>D57</f>
        <v>1043</v>
      </c>
    </row>
    <row r="66" spans="1:4">
      <c r="A66" s="296" t="s">
        <v>87</v>
      </c>
      <c r="B66" s="311"/>
      <c r="C66" s="297"/>
      <c r="D66" s="46">
        <f>SUM(D63:D65)</f>
        <v>6808.05728</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50.857631999999995</v>
      </c>
    </row>
    <row r="71" spans="1:4">
      <c r="A71" s="36" t="s">
        <v>77</v>
      </c>
      <c r="B71" s="26" t="s">
        <v>129</v>
      </c>
      <c r="C71" s="48">
        <v>2.9999999999999997E-4</v>
      </c>
      <c r="D71" s="44">
        <f t="shared" si="2"/>
        <v>3.6326879999999995</v>
      </c>
    </row>
    <row r="72" spans="1:4" ht="25.5">
      <c r="A72" s="36" t="s">
        <v>80</v>
      </c>
      <c r="B72" s="26" t="s">
        <v>130</v>
      </c>
      <c r="C72" s="53">
        <v>9.9999999999999995E-7</v>
      </c>
      <c r="D72" s="44">
        <f t="shared" si="2"/>
        <v>1.2108959999999998E-2</v>
      </c>
    </row>
    <row r="73" spans="1:4">
      <c r="A73" s="36" t="s">
        <v>81</v>
      </c>
      <c r="B73" s="26" t="s">
        <v>131</v>
      </c>
      <c r="C73" s="74">
        <v>1.9400000000000001E-2</v>
      </c>
      <c r="D73" s="44">
        <f>C73*($D$19+$D$27)</f>
        <v>234.91382399999998</v>
      </c>
    </row>
    <row r="74" spans="1:4" ht="25.5">
      <c r="A74" s="36" t="s">
        <v>83</v>
      </c>
      <c r="B74" s="26" t="s">
        <v>132</v>
      </c>
      <c r="C74" s="48">
        <v>7.1000000000000004E-3</v>
      </c>
      <c r="D74" s="44">
        <f>C74*($D$19+$D$27)</f>
        <v>85.973615999999993</v>
      </c>
    </row>
    <row r="75" spans="1:4" ht="25.5">
      <c r="A75" s="36" t="s">
        <v>85</v>
      </c>
      <c r="B75" s="26" t="s">
        <v>133</v>
      </c>
      <c r="C75" s="48">
        <v>1E-4</v>
      </c>
      <c r="D75" s="44">
        <f t="shared" si="2"/>
        <v>1.210896</v>
      </c>
    </row>
    <row r="76" spans="1:4">
      <c r="A76" s="55" t="s">
        <v>105</v>
      </c>
      <c r="B76" s="56" t="s">
        <v>134</v>
      </c>
      <c r="C76" s="48">
        <v>3.49E-2</v>
      </c>
      <c r="D76" s="44">
        <f>C76*($D$19+$D$27)</f>
        <v>422.60270399999996</v>
      </c>
    </row>
    <row r="77" spans="1:4">
      <c r="A77" s="296" t="s">
        <v>87</v>
      </c>
      <c r="B77" s="297"/>
      <c r="C77" s="45">
        <f t="shared" ref="C77:D77" si="3">SUM(C70:C76)</f>
        <v>6.6001000000000004E-2</v>
      </c>
      <c r="D77" s="46">
        <f t="shared" si="3"/>
        <v>799.2034689599999</v>
      </c>
    </row>
    <row r="78" spans="1:4" ht="33" customHeight="1">
      <c r="A78" s="293" t="s">
        <v>135</v>
      </c>
      <c r="B78" s="293"/>
      <c r="C78" s="293"/>
      <c r="D78" s="293"/>
    </row>
    <row r="79" spans="1:4" ht="33" customHeight="1">
      <c r="A79" s="293" t="s">
        <v>136</v>
      </c>
      <c r="B79" s="293"/>
      <c r="C79" s="293"/>
      <c r="D79" s="293"/>
    </row>
    <row r="80" spans="1:4">
      <c r="A80" s="32"/>
      <c r="D80" s="32"/>
    </row>
    <row r="81" spans="1:4">
      <c r="A81" s="277" t="s">
        <v>137</v>
      </c>
      <c r="B81" s="277"/>
      <c r="C81" s="277"/>
      <c r="D81" s="277"/>
    </row>
    <row r="82" spans="1:4" ht="43.9"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1100.7044639999999</v>
      </c>
    </row>
    <row r="87" spans="1:4">
      <c r="A87" s="36" t="s">
        <v>77</v>
      </c>
      <c r="B87" s="26" t="s">
        <v>143</v>
      </c>
      <c r="C87" s="48">
        <v>8.2000000000000007E-3</v>
      </c>
      <c r="D87" s="44">
        <f t="shared" si="4"/>
        <v>99.293471999999994</v>
      </c>
    </row>
    <row r="88" spans="1:4">
      <c r="A88" s="36" t="s">
        <v>80</v>
      </c>
      <c r="B88" s="26" t="s">
        <v>144</v>
      </c>
      <c r="C88" s="48">
        <v>2.0000000000000001E-4</v>
      </c>
      <c r="D88" s="44">
        <f t="shared" si="4"/>
        <v>2.4217919999999999</v>
      </c>
    </row>
    <row r="89" spans="1:4" ht="25.5">
      <c r="A89" s="36" t="s">
        <v>81</v>
      </c>
      <c r="B89" s="26" t="s">
        <v>145</v>
      </c>
      <c r="C89" s="48">
        <v>2.9999999999999997E-4</v>
      </c>
      <c r="D89" s="44">
        <f t="shared" si="4"/>
        <v>3.6326879999999995</v>
      </c>
    </row>
    <row r="90" spans="1:4">
      <c r="A90" s="36" t="s">
        <v>83</v>
      </c>
      <c r="B90" s="26" t="s">
        <v>146</v>
      </c>
      <c r="C90" s="48">
        <v>2.8999999999999998E-3</v>
      </c>
      <c r="D90" s="44">
        <f t="shared" si="4"/>
        <v>35.115983999999997</v>
      </c>
    </row>
    <row r="91" spans="1:4" ht="25.5">
      <c r="A91" s="36" t="s">
        <v>85</v>
      </c>
      <c r="B91" s="26" t="s">
        <v>147</v>
      </c>
      <c r="C91" s="48">
        <v>1.66E-2</v>
      </c>
      <c r="D91" s="44">
        <f t="shared" si="4"/>
        <v>201.008736</v>
      </c>
    </row>
    <row r="92" spans="1:4">
      <c r="A92" s="296" t="s">
        <v>87</v>
      </c>
      <c r="B92" s="297"/>
      <c r="C92" s="45">
        <f t="shared" ref="C92:D92" si="5">SUM(C86:C91)</f>
        <v>0.1191</v>
      </c>
      <c r="D92" s="46">
        <f t="shared" si="5"/>
        <v>1442.177136</v>
      </c>
    </row>
    <row r="93" spans="1:4" ht="26.45"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1442.177136</v>
      </c>
    </row>
    <row r="103" spans="1:4">
      <c r="A103" s="36" t="s">
        <v>150</v>
      </c>
      <c r="B103" s="42" t="s">
        <v>155</v>
      </c>
      <c r="C103" s="42"/>
      <c r="D103" s="57">
        <f>C98</f>
        <v>0</v>
      </c>
    </row>
    <row r="104" spans="1:4">
      <c r="A104" s="294" t="s">
        <v>87</v>
      </c>
      <c r="B104" s="294"/>
      <c r="C104" s="294"/>
      <c r="D104" s="46">
        <f>SUM(D102:D103)</f>
        <v>1442.177136</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row>
    <row r="109" spans="1:4">
      <c r="A109" s="36" t="s">
        <v>77</v>
      </c>
      <c r="B109" s="274" t="s">
        <v>159</v>
      </c>
      <c r="C109" s="274"/>
      <c r="D109" s="59">
        <f>'TABELA 4 Uniformes e EPIS'!E48+'TABELA 5 - Ferramentas'!$I$145</f>
        <v>39.320362318840566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39.320362318840566</v>
      </c>
    </row>
    <row r="113" spans="1:4" ht="12.75" customHeight="1">
      <c r="A113" s="293" t="s">
        <v>161</v>
      </c>
      <c r="B113" s="293"/>
      <c r="C113" s="293"/>
      <c r="D113" s="293"/>
    </row>
    <row r="114" spans="1:4">
      <c r="A114" s="32"/>
      <c r="D114" s="32"/>
    </row>
    <row r="115" spans="1:4">
      <c r="A115" s="277" t="s">
        <v>162</v>
      </c>
      <c r="B115" s="277"/>
      <c r="C115" s="277"/>
      <c r="D115" s="277"/>
    </row>
    <row r="116" spans="1:4" ht="16.899999999999999"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994.43791236394213</v>
      </c>
    </row>
    <row r="119" spans="1:4">
      <c r="A119" s="36" t="s">
        <v>77</v>
      </c>
      <c r="B119" s="42" t="s">
        <v>166</v>
      </c>
      <c r="C119" s="191">
        <v>6.7900000000000002E-2</v>
      </c>
      <c r="D119" s="192">
        <f>$C119*(D$138+D118)</f>
        <v>1417.969019239745</v>
      </c>
    </row>
    <row r="120" spans="1:4">
      <c r="A120" s="187" t="s">
        <v>80</v>
      </c>
      <c r="B120" s="188" t="s">
        <v>167</v>
      </c>
      <c r="C120" s="193">
        <f>SUM(C121:C123)</f>
        <v>0.14250000000000002</v>
      </c>
      <c r="D120" s="192">
        <f>(D$138+D$119+D$118)*($C120/IF($C116="Lucro presumido",91.45%,85.75%))</f>
        <v>3706.0245341000123</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6118.4314657036994</v>
      </c>
    </row>
    <row r="126" spans="1:4" ht="12.75" customHeight="1">
      <c r="A126" s="293" t="s">
        <v>175</v>
      </c>
      <c r="B126" s="293"/>
      <c r="C126" s="293"/>
      <c r="D126" s="293"/>
    </row>
    <row r="127" spans="1:4" ht="28.15" customHeight="1">
      <c r="A127" s="293" t="s">
        <v>176</v>
      </c>
      <c r="B127" s="293"/>
      <c r="C127" s="293"/>
      <c r="D127" s="293"/>
    </row>
    <row r="128" spans="1:4" ht="30" customHeight="1">
      <c r="A128" s="293" t="s">
        <v>562</v>
      </c>
      <c r="B128" s="293"/>
      <c r="C128" s="293"/>
      <c r="D128" s="293"/>
    </row>
    <row r="129" spans="1:4" ht="27"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10800</v>
      </c>
    </row>
    <row r="134" spans="1:4" ht="12.75" customHeight="1">
      <c r="A134" s="36" t="s">
        <v>77</v>
      </c>
      <c r="B134" s="275" t="s">
        <v>89</v>
      </c>
      <c r="C134" s="275"/>
      <c r="D134" s="44">
        <f>D66</f>
        <v>6808.05728</v>
      </c>
    </row>
    <row r="135" spans="1:4">
      <c r="A135" s="36" t="s">
        <v>80</v>
      </c>
      <c r="B135" s="275" t="s">
        <v>126</v>
      </c>
      <c r="C135" s="275"/>
      <c r="D135" s="44">
        <f>D77</f>
        <v>799.2034689599999</v>
      </c>
    </row>
    <row r="136" spans="1:4" ht="12.75" customHeight="1">
      <c r="A136" s="36" t="s">
        <v>81</v>
      </c>
      <c r="B136" s="275" t="s">
        <v>137</v>
      </c>
      <c r="C136" s="275"/>
      <c r="D136" s="44">
        <f>D104</f>
        <v>1442.177136</v>
      </c>
    </row>
    <row r="137" spans="1:4">
      <c r="A137" s="36" t="s">
        <v>83</v>
      </c>
      <c r="B137" s="275" t="s">
        <v>156</v>
      </c>
      <c r="C137" s="275"/>
      <c r="D137" s="44">
        <f>D112</f>
        <v>39.320362318840566</v>
      </c>
    </row>
    <row r="138" spans="1:4">
      <c r="A138" s="294" t="s">
        <v>180</v>
      </c>
      <c r="B138" s="294"/>
      <c r="C138" s="294"/>
      <c r="D138" s="46">
        <f>SUM(D133:D137)</f>
        <v>19888.758247278842</v>
      </c>
    </row>
    <row r="139" spans="1:4">
      <c r="A139" s="36" t="s">
        <v>85</v>
      </c>
      <c r="B139" s="274" t="s">
        <v>162</v>
      </c>
      <c r="C139" s="274"/>
      <c r="D139" s="44">
        <f>D125</f>
        <v>6118.4314657036994</v>
      </c>
    </row>
    <row r="140" spans="1:4">
      <c r="A140" s="277" t="s">
        <v>187</v>
      </c>
      <c r="B140" s="277"/>
      <c r="C140" s="277"/>
      <c r="D140" s="62">
        <f>SUM(D138:D139)</f>
        <v>26007.189712982541</v>
      </c>
    </row>
    <row r="142" spans="1:4" ht="221.45" customHeight="1">
      <c r="A142" s="301" t="s">
        <v>571</v>
      </c>
      <c r="B142" s="301"/>
      <c r="C142" s="301"/>
      <c r="D142" s="301"/>
    </row>
  </sheetData>
  <mergeCells count="83">
    <mergeCell ref="A28:D28"/>
    <mergeCell ref="A29:D29"/>
    <mergeCell ref="A48:D48"/>
    <mergeCell ref="A57:C57"/>
    <mergeCell ref="B62:C62"/>
    <mergeCell ref="A50:D50"/>
    <mergeCell ref="A58:D58"/>
    <mergeCell ref="A59:D59"/>
    <mergeCell ref="A61:D61"/>
    <mergeCell ref="A32:D32"/>
    <mergeCell ref="A43:B43"/>
    <mergeCell ref="A68:D68"/>
    <mergeCell ref="B64:C64"/>
    <mergeCell ref="B65:C65"/>
    <mergeCell ref="A66:C66"/>
    <mergeCell ref="A44:D44"/>
    <mergeCell ref="A46:D46"/>
    <mergeCell ref="A47:D47"/>
    <mergeCell ref="A45:D45"/>
    <mergeCell ref="A78:D78"/>
    <mergeCell ref="B101:C101"/>
    <mergeCell ref="B102:C102"/>
    <mergeCell ref="A104:C104"/>
    <mergeCell ref="B107:C107"/>
    <mergeCell ref="A79:D79"/>
    <mergeCell ref="A93:D93"/>
    <mergeCell ref="A82:D82"/>
    <mergeCell ref="A81:D81"/>
    <mergeCell ref="A98:B98"/>
    <mergeCell ref="A100:D100"/>
    <mergeCell ref="A106:D106"/>
    <mergeCell ref="A1:D1"/>
    <mergeCell ref="C9:D9"/>
    <mergeCell ref="A131:D131"/>
    <mergeCell ref="B14:C14"/>
    <mergeCell ref="B15:C15"/>
    <mergeCell ref="B16:C16"/>
    <mergeCell ref="B17:C17"/>
    <mergeCell ref="B18:C18"/>
    <mergeCell ref="A116:B116"/>
    <mergeCell ref="C116:D116"/>
    <mergeCell ref="A127:D127"/>
    <mergeCell ref="A112:C112"/>
    <mergeCell ref="A19:C19"/>
    <mergeCell ref="A30:D30"/>
    <mergeCell ref="A77:B77"/>
    <mergeCell ref="B63:C63"/>
    <mergeCell ref="B110:C110"/>
    <mergeCell ref="B111:C111"/>
    <mergeCell ref="B109:C109"/>
    <mergeCell ref="B133:C133"/>
    <mergeCell ref="B134:C134"/>
    <mergeCell ref="A113:D113"/>
    <mergeCell ref="A115:D115"/>
    <mergeCell ref="A128:D128"/>
    <mergeCell ref="A129:D129"/>
    <mergeCell ref="B137:C137"/>
    <mergeCell ref="A138:C138"/>
    <mergeCell ref="B136:C136"/>
    <mergeCell ref="A132:C132"/>
    <mergeCell ref="B135:C135"/>
    <mergeCell ref="C8:D8"/>
    <mergeCell ref="A3:D3"/>
    <mergeCell ref="C4:D4"/>
    <mergeCell ref="C5:D5"/>
    <mergeCell ref="C6:D6"/>
    <mergeCell ref="C7:D7"/>
    <mergeCell ref="A142:D142"/>
    <mergeCell ref="A11:D11"/>
    <mergeCell ref="A20:D20"/>
    <mergeCell ref="A22:D22"/>
    <mergeCell ref="A23:D23"/>
    <mergeCell ref="A27:B27"/>
    <mergeCell ref="B12:C12"/>
    <mergeCell ref="B13:C13"/>
    <mergeCell ref="B139:C139"/>
    <mergeCell ref="A140:C140"/>
    <mergeCell ref="A126:D126"/>
    <mergeCell ref="A84:D84"/>
    <mergeCell ref="A92:B92"/>
    <mergeCell ref="A95:D95"/>
    <mergeCell ref="A125:B125"/>
    <mergeCell ref="B108:C108"/>
  </mergeCells>
  <dataValidations count="1">
    <dataValidation type="list" allowBlank="1" showInputMessage="1" showErrorMessage="1" sqref="C116:D116" xr:uid="{00000000-0002-0000-0C00-000000000000}">
      <formula1>"Lucro presumido,Lucro real"</formula1>
    </dataValidation>
  </dataValidations>
  <printOptions horizontalCentered="1"/>
  <pageMargins left="0.55118110236220474" right="0.55118110236220474" top="1.2598425196850394" bottom="0.98425196850393704" header="0" footer="0"/>
  <pageSetup paperSize="9" scale="8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tabColor theme="9" tint="0.59999389629810485"/>
    <pageSetUpPr fitToPage="1"/>
  </sheetPr>
  <dimension ref="A1:G143"/>
  <sheetViews>
    <sheetView showGridLines="0" zoomScaleNormal="100" workbookViewId="0">
      <selection activeCell="B25" sqref="B25"/>
    </sheetView>
  </sheetViews>
  <sheetFormatPr defaultColWidth="8.7109375" defaultRowHeight="12.75"/>
  <cols>
    <col min="1" max="1" width="8.85546875" style="2" bestFit="1" customWidth="1"/>
    <col min="2" max="2" width="46.42578125" style="32" customWidth="1"/>
    <col min="3" max="3" width="17.7109375" style="32" customWidth="1"/>
    <col min="4" max="4" width="16.85546875" style="2" customWidth="1"/>
    <col min="5" max="16384" width="8.7109375" style="2"/>
  </cols>
  <sheetData>
    <row r="1" spans="1:7">
      <c r="A1" s="316" t="s">
        <v>62</v>
      </c>
      <c r="B1" s="316"/>
      <c r="C1" s="316"/>
      <c r="D1" s="316"/>
    </row>
    <row r="3" spans="1:7">
      <c r="A3" s="317" t="s">
        <v>63</v>
      </c>
      <c r="B3" s="317"/>
      <c r="C3" s="317"/>
      <c r="D3" s="317"/>
    </row>
    <row r="4" spans="1:7" ht="25.5">
      <c r="A4" s="35">
        <v>1</v>
      </c>
      <c r="B4" s="182" t="s">
        <v>64</v>
      </c>
      <c r="C4" s="299" t="s">
        <v>202</v>
      </c>
      <c r="D4" s="299"/>
    </row>
    <row r="5" spans="1:7">
      <c r="A5" s="34">
        <v>2</v>
      </c>
      <c r="B5" s="26" t="s">
        <v>66</v>
      </c>
      <c r="C5" s="314"/>
      <c r="D5" s="314"/>
    </row>
    <row r="6" spans="1:7">
      <c r="A6" s="34">
        <v>3</v>
      </c>
      <c r="B6" s="26" t="s">
        <v>67</v>
      </c>
      <c r="C6" s="315">
        <v>3101.79</v>
      </c>
      <c r="D6" s="315"/>
    </row>
    <row r="7" spans="1:7" ht="25.5" customHeight="1">
      <c r="A7" s="34">
        <v>4</v>
      </c>
      <c r="B7" s="26" t="s">
        <v>68</v>
      </c>
      <c r="C7" s="287" t="s">
        <v>550</v>
      </c>
      <c r="D7" s="288"/>
    </row>
    <row r="8" spans="1:7">
      <c r="A8" s="34">
        <v>5</v>
      </c>
      <c r="B8" s="26" t="s">
        <v>69</v>
      </c>
      <c r="C8" s="289">
        <v>45071</v>
      </c>
      <c r="D8" s="290"/>
    </row>
    <row r="9" spans="1:7">
      <c r="A9" s="34">
        <v>6</v>
      </c>
      <c r="B9" s="26" t="s">
        <v>70</v>
      </c>
      <c r="C9" s="289" t="s">
        <v>71</v>
      </c>
      <c r="D9" s="290"/>
    </row>
    <row r="11" spans="1:7">
      <c r="A11" s="277" t="s">
        <v>72</v>
      </c>
      <c r="B11" s="277"/>
      <c r="C11" s="277"/>
      <c r="D11" s="277"/>
    </row>
    <row r="12" spans="1:7">
      <c r="A12" s="63">
        <v>1</v>
      </c>
      <c r="B12" s="317" t="s">
        <v>73</v>
      </c>
      <c r="C12" s="317"/>
      <c r="D12" s="35" t="s">
        <v>74</v>
      </c>
      <c r="G12" s="2" t="s">
        <v>572</v>
      </c>
    </row>
    <row r="13" spans="1:7">
      <c r="A13" s="64" t="s">
        <v>75</v>
      </c>
      <c r="B13" s="274" t="s">
        <v>76</v>
      </c>
      <c r="C13" s="274"/>
      <c r="D13" s="60">
        <v>3236.09</v>
      </c>
    </row>
    <row r="14" spans="1:7">
      <c r="A14" s="64" t="s">
        <v>77</v>
      </c>
      <c r="B14" s="274" t="s">
        <v>191</v>
      </c>
      <c r="C14" s="274"/>
      <c r="D14" s="39" t="s">
        <v>79</v>
      </c>
    </row>
    <row r="15" spans="1:7">
      <c r="A15" s="64" t="s">
        <v>80</v>
      </c>
      <c r="B15" s="274" t="s">
        <v>185</v>
      </c>
      <c r="C15" s="274"/>
      <c r="D15" s="39"/>
    </row>
    <row r="16" spans="1:7">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3236.09</v>
      </c>
    </row>
    <row r="20" spans="1:4" ht="24" customHeight="1">
      <c r="A20" s="319" t="s">
        <v>88</v>
      </c>
      <c r="B20" s="319"/>
      <c r="C20" s="319"/>
      <c r="D20" s="319"/>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294.16058099999998</v>
      </c>
    </row>
    <row r="26" spans="1:4">
      <c r="A26" s="36" t="s">
        <v>77</v>
      </c>
      <c r="B26" s="42" t="s">
        <v>589</v>
      </c>
      <c r="C26" s="43">
        <v>3.0300000000000001E-2</v>
      </c>
      <c r="D26" s="44">
        <f>C26*$D$19</f>
        <v>98.053527000000003</v>
      </c>
    </row>
    <row r="27" spans="1:4">
      <c r="A27" s="294" t="s">
        <v>87</v>
      </c>
      <c r="B27" s="294"/>
      <c r="C27" s="45">
        <f t="shared" ref="C27:D27" si="0">SUM(C25:C26)</f>
        <v>0.1212</v>
      </c>
      <c r="D27" s="46">
        <f t="shared" si="0"/>
        <v>392.21410800000001</v>
      </c>
    </row>
    <row r="28" spans="1:4" ht="39" customHeight="1">
      <c r="A28" s="293" t="s">
        <v>93</v>
      </c>
      <c r="B28" s="293"/>
      <c r="C28" s="293"/>
      <c r="D28" s="293"/>
    </row>
    <row r="29" spans="1:4" ht="24.75" customHeight="1">
      <c r="A29" s="293" t="s">
        <v>94</v>
      </c>
      <c r="B29" s="293"/>
      <c r="C29" s="293"/>
      <c r="D29" s="293"/>
    </row>
    <row r="30" spans="1:4" ht="40.5" customHeight="1">
      <c r="A30" s="293" t="s">
        <v>203</v>
      </c>
      <c r="B30" s="293"/>
      <c r="C30" s="293"/>
      <c r="D30" s="293"/>
    </row>
    <row r="31" spans="1:4">
      <c r="A31" s="32"/>
      <c r="D31" s="32"/>
    </row>
    <row r="32" spans="1:4" ht="33"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725.66082160000008</v>
      </c>
    </row>
    <row r="35" spans="1:4">
      <c r="A35" s="36" t="s">
        <v>77</v>
      </c>
      <c r="B35" s="42" t="s">
        <v>100</v>
      </c>
      <c r="C35" s="48">
        <v>2.5000000000000001E-2</v>
      </c>
      <c r="D35" s="44">
        <f>$C35*(D$19+D$27)</f>
        <v>90.70760270000001</v>
      </c>
    </row>
    <row r="36" spans="1:4">
      <c r="A36" s="36" t="s">
        <v>80</v>
      </c>
      <c r="B36" s="42" t="s">
        <v>101</v>
      </c>
      <c r="C36" s="48">
        <v>0.03</v>
      </c>
      <c r="D36" s="44">
        <f t="shared" ref="D36:D40" si="1">C36*($D$19+$D$27)</f>
        <v>108.84912324</v>
      </c>
    </row>
    <row r="37" spans="1:4">
      <c r="A37" s="36" t="s">
        <v>81</v>
      </c>
      <c r="B37" s="42" t="s">
        <v>102</v>
      </c>
      <c r="C37" s="48">
        <v>1.4999999999999999E-2</v>
      </c>
      <c r="D37" s="44">
        <f t="shared" si="1"/>
        <v>54.424561619999999</v>
      </c>
    </row>
    <row r="38" spans="1:4">
      <c r="A38" s="36" t="s">
        <v>83</v>
      </c>
      <c r="B38" s="42" t="s">
        <v>103</v>
      </c>
      <c r="C38" s="48">
        <v>0.01</v>
      </c>
      <c r="D38" s="44">
        <f t="shared" si="1"/>
        <v>36.283041080000004</v>
      </c>
    </row>
    <row r="39" spans="1:4">
      <c r="A39" s="36" t="s">
        <v>85</v>
      </c>
      <c r="B39" s="42" t="s">
        <v>104</v>
      </c>
      <c r="C39" s="48">
        <v>6.0000000000000001E-3</v>
      </c>
      <c r="D39" s="44">
        <f t="shared" si="1"/>
        <v>21.769824648000004</v>
      </c>
    </row>
    <row r="40" spans="1:4">
      <c r="A40" s="36" t="s">
        <v>105</v>
      </c>
      <c r="B40" s="42" t="s">
        <v>106</v>
      </c>
      <c r="C40" s="48">
        <v>2E-3</v>
      </c>
      <c r="D40" s="44">
        <f t="shared" si="1"/>
        <v>7.2566082160000009</v>
      </c>
    </row>
    <row r="41" spans="1:4">
      <c r="A41" s="36" t="s">
        <v>107</v>
      </c>
      <c r="B41" s="42" t="s">
        <v>108</v>
      </c>
      <c r="C41" s="48">
        <v>0.08</v>
      </c>
      <c r="D41" s="44">
        <f>C41*($D$19+$D$27)</f>
        <v>290.26432864000003</v>
      </c>
    </row>
    <row r="42" spans="1:4">
      <c r="A42" s="36" t="s">
        <v>24</v>
      </c>
      <c r="B42" s="42" t="s">
        <v>109</v>
      </c>
      <c r="C42" s="48">
        <v>0</v>
      </c>
      <c r="D42" s="44">
        <f>C42*($D$19+$D$27)</f>
        <v>0</v>
      </c>
    </row>
    <row r="43" spans="1:4">
      <c r="A43" s="313" t="s">
        <v>87</v>
      </c>
      <c r="B43" s="313"/>
      <c r="C43" s="49">
        <f>SUM(C34:C42)</f>
        <v>0.36800000000000005</v>
      </c>
      <c r="D43" s="50">
        <f>SUM(D34:D42)</f>
        <v>1335.2159117440001</v>
      </c>
    </row>
    <row r="44" spans="1:4" ht="25.5" customHeight="1">
      <c r="A44" s="293" t="s">
        <v>110</v>
      </c>
      <c r="B44" s="293"/>
      <c r="C44" s="293"/>
      <c r="D44" s="293"/>
    </row>
    <row r="45" spans="1:4" ht="26.25" customHeight="1">
      <c r="A45" s="293" t="s">
        <v>111</v>
      </c>
      <c r="B45" s="293"/>
      <c r="C45" s="293"/>
      <c r="D45" s="293"/>
    </row>
    <row r="46" spans="1:4" ht="25.5" customHeight="1">
      <c r="A46" s="293" t="s">
        <v>112</v>
      </c>
      <c r="B46" s="293"/>
      <c r="C46" s="293"/>
      <c r="D46" s="293"/>
    </row>
    <row r="47" spans="1:4" ht="14.25" customHeight="1">
      <c r="A47" s="293" t="s">
        <v>113</v>
      </c>
      <c r="B47" s="293"/>
      <c r="C47" s="293"/>
      <c r="D47" s="293"/>
    </row>
    <row r="48" spans="1:4" ht="14.25" customHeight="1">
      <c r="A48" s="293" t="s">
        <v>114</v>
      </c>
      <c r="B48" s="293"/>
      <c r="C48" s="293"/>
      <c r="D48" s="293"/>
    </row>
    <row r="49" spans="1:4">
      <c r="A49" s="32"/>
      <c r="D49" s="32"/>
    </row>
    <row r="50" spans="1:4" ht="15" customHeight="1">
      <c r="A50" s="299" t="s">
        <v>115</v>
      </c>
      <c r="B50" s="299"/>
      <c r="C50" s="299"/>
      <c r="D50" s="299"/>
    </row>
    <row r="51" spans="1:4">
      <c r="A51" s="33" t="s">
        <v>116</v>
      </c>
      <c r="B51" s="33" t="s">
        <v>117</v>
      </c>
      <c r="C51" s="33" t="s">
        <v>118</v>
      </c>
      <c r="D51" s="33" t="s">
        <v>74</v>
      </c>
    </row>
    <row r="52" spans="1:4" ht="25.5">
      <c r="A52" s="36" t="s">
        <v>75</v>
      </c>
      <c r="B52" s="26" t="s">
        <v>119</v>
      </c>
      <c r="C52" s="51">
        <v>22</v>
      </c>
      <c r="D52" s="44">
        <f>ROUND((3.8+5.5)*2*C52,2)</f>
        <v>409.2</v>
      </c>
    </row>
    <row r="53" spans="1:4">
      <c r="A53" s="36" t="s">
        <v>77</v>
      </c>
      <c r="B53" s="52" t="s">
        <v>587</v>
      </c>
      <c r="C53" s="51">
        <v>22</v>
      </c>
      <c r="D53" s="44">
        <f>ROUND(40.5*C53,2)</f>
        <v>891</v>
      </c>
    </row>
    <row r="54" spans="1:4">
      <c r="A54" s="36" t="s">
        <v>80</v>
      </c>
      <c r="B54" s="42" t="s">
        <v>552</v>
      </c>
      <c r="C54" s="51" t="s">
        <v>79</v>
      </c>
      <c r="D54" s="44">
        <v>175.76</v>
      </c>
    </row>
    <row r="55" spans="1:4">
      <c r="A55" s="36" t="s">
        <v>81</v>
      </c>
      <c r="B55" s="42" t="s">
        <v>553</v>
      </c>
      <c r="C55" s="51" t="s">
        <v>79</v>
      </c>
      <c r="D55" s="44">
        <v>11.92</v>
      </c>
    </row>
    <row r="56" spans="1:4">
      <c r="A56" s="36" t="s">
        <v>83</v>
      </c>
      <c r="B56" s="42" t="s">
        <v>121</v>
      </c>
      <c r="C56" s="51" t="s">
        <v>79</v>
      </c>
      <c r="D56" s="44">
        <v>2.75</v>
      </c>
    </row>
    <row r="57" spans="1:4">
      <c r="A57" s="313" t="s">
        <v>87</v>
      </c>
      <c r="B57" s="313"/>
      <c r="C57" s="313"/>
      <c r="D57" s="50">
        <f>SUM(D52:D56)</f>
        <v>1490.63</v>
      </c>
    </row>
    <row r="58" spans="1:4" ht="33.6" customHeight="1">
      <c r="A58" s="293" t="s">
        <v>122</v>
      </c>
      <c r="B58" s="293"/>
      <c r="C58" s="293"/>
      <c r="D58" s="293"/>
    </row>
    <row r="59" spans="1:4" ht="31.9" customHeight="1">
      <c r="A59" s="293" t="s">
        <v>123</v>
      </c>
      <c r="B59" s="293"/>
      <c r="C59" s="293"/>
      <c r="D59" s="293"/>
    </row>
    <row r="60" spans="1:4">
      <c r="A60" s="32"/>
      <c r="D60" s="32"/>
    </row>
    <row r="61" spans="1:4" ht="15" customHeight="1">
      <c r="A61" s="277" t="s">
        <v>124</v>
      </c>
      <c r="B61" s="277"/>
      <c r="C61" s="277"/>
      <c r="D61" s="277"/>
    </row>
    <row r="62" spans="1:4">
      <c r="A62" s="35">
        <v>2</v>
      </c>
      <c r="B62" s="294" t="s">
        <v>125</v>
      </c>
      <c r="C62" s="294"/>
      <c r="D62" s="35" t="s">
        <v>74</v>
      </c>
    </row>
    <row r="63" spans="1:4" ht="30" customHeight="1">
      <c r="A63" s="36" t="s">
        <v>90</v>
      </c>
      <c r="B63" s="275" t="s">
        <v>595</v>
      </c>
      <c r="C63" s="275"/>
      <c r="D63" s="44">
        <f>D27</f>
        <v>392.21410800000001</v>
      </c>
    </row>
    <row r="64" spans="1:4">
      <c r="A64" s="36" t="s">
        <v>97</v>
      </c>
      <c r="B64" s="274" t="s">
        <v>98</v>
      </c>
      <c r="C64" s="274"/>
      <c r="D64" s="44">
        <f>D43</f>
        <v>1335.2159117440001</v>
      </c>
    </row>
    <row r="65" spans="1:4">
      <c r="A65" s="36" t="s">
        <v>116</v>
      </c>
      <c r="B65" s="274" t="s">
        <v>117</v>
      </c>
      <c r="C65" s="274"/>
      <c r="D65" s="44">
        <f>D57</f>
        <v>1490.63</v>
      </c>
    </row>
    <row r="66" spans="1:4">
      <c r="A66" s="296" t="s">
        <v>87</v>
      </c>
      <c r="B66" s="311"/>
      <c r="C66" s="297"/>
      <c r="D66" s="46">
        <f>SUM(D63:D65)</f>
        <v>3218.0600197440003</v>
      </c>
    </row>
    <row r="67" spans="1:4">
      <c r="A67" s="32"/>
      <c r="D67" s="32"/>
    </row>
    <row r="68" spans="1:4" ht="14.45" customHeight="1">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15.2388772536</v>
      </c>
    </row>
    <row r="71" spans="1:4">
      <c r="A71" s="36" t="s">
        <v>77</v>
      </c>
      <c r="B71" s="26" t="s">
        <v>129</v>
      </c>
      <c r="C71" s="48">
        <v>2.9999999999999997E-4</v>
      </c>
      <c r="D71" s="44">
        <f t="shared" si="2"/>
        <v>1.0884912324</v>
      </c>
    </row>
    <row r="72" spans="1:4" ht="25.5">
      <c r="A72" s="36" t="s">
        <v>80</v>
      </c>
      <c r="B72" s="26" t="s">
        <v>130</v>
      </c>
      <c r="C72" s="53">
        <v>9.9999999999999995E-7</v>
      </c>
      <c r="D72" s="44">
        <f t="shared" si="2"/>
        <v>3.6283041080000002E-3</v>
      </c>
    </row>
    <row r="73" spans="1:4">
      <c r="A73" s="36" t="s">
        <v>81</v>
      </c>
      <c r="B73" s="26" t="s">
        <v>131</v>
      </c>
      <c r="C73" s="54">
        <v>1.9400000000000001E-2</v>
      </c>
      <c r="D73" s="44">
        <f>C73*($D$19+$D$27)</f>
        <v>70.389099695200002</v>
      </c>
    </row>
    <row r="74" spans="1:4" ht="25.5">
      <c r="A74" s="36" t="s">
        <v>83</v>
      </c>
      <c r="B74" s="26" t="s">
        <v>132</v>
      </c>
      <c r="C74" s="48">
        <v>7.1000000000000004E-3</v>
      </c>
      <c r="D74" s="44">
        <f>C74*($D$19+$D$27)</f>
        <v>25.760959166800003</v>
      </c>
    </row>
    <row r="75" spans="1:4" ht="25.5">
      <c r="A75" s="36" t="s">
        <v>85</v>
      </c>
      <c r="B75" s="26" t="s">
        <v>133</v>
      </c>
      <c r="C75" s="48">
        <v>1E-4</v>
      </c>
      <c r="D75" s="44">
        <f t="shared" si="2"/>
        <v>0.36283041080000006</v>
      </c>
    </row>
    <row r="76" spans="1:4">
      <c r="A76" s="55" t="s">
        <v>105</v>
      </c>
      <c r="B76" s="56" t="s">
        <v>134</v>
      </c>
      <c r="C76" s="48">
        <v>3.49E-2</v>
      </c>
      <c r="D76" s="44">
        <f>C76*($D$19+$D$27)</f>
        <v>126.62781336920001</v>
      </c>
    </row>
    <row r="77" spans="1:4">
      <c r="A77" s="296" t="s">
        <v>87</v>
      </c>
      <c r="B77" s="297"/>
      <c r="C77" s="45">
        <f t="shared" ref="C77:D77" si="3">SUM(C70:C76)</f>
        <v>6.6001000000000004E-2</v>
      </c>
      <c r="D77" s="46">
        <f t="shared" si="3"/>
        <v>239.47169943210804</v>
      </c>
    </row>
    <row r="78" spans="1:4" ht="26.25" customHeight="1">
      <c r="A78" s="293" t="s">
        <v>135</v>
      </c>
      <c r="B78" s="293"/>
      <c r="C78" s="293"/>
      <c r="D78" s="293"/>
    </row>
    <row r="79" spans="1:4" ht="17.25" customHeight="1">
      <c r="A79" s="293" t="s">
        <v>136</v>
      </c>
      <c r="B79" s="293"/>
      <c r="C79" s="293"/>
      <c r="D79" s="293"/>
    </row>
    <row r="80" spans="1:4">
      <c r="A80" s="32"/>
      <c r="D80" s="32"/>
    </row>
    <row r="81" spans="1:4" ht="23.1" customHeight="1">
      <c r="A81" s="277" t="s">
        <v>137</v>
      </c>
      <c r="B81" s="277"/>
      <c r="C81" s="277"/>
      <c r="D81" s="277"/>
    </row>
    <row r="82" spans="1:4" ht="39.75" customHeight="1">
      <c r="A82" s="275" t="s">
        <v>138</v>
      </c>
      <c r="B82" s="275"/>
      <c r="C82" s="275"/>
      <c r="D82" s="275"/>
    </row>
    <row r="83" spans="1:4">
      <c r="A83" s="32"/>
      <c r="D83" s="32"/>
    </row>
    <row r="84" spans="1:4" ht="16.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329.81284341719999</v>
      </c>
    </row>
    <row r="87" spans="1:4">
      <c r="A87" s="36" t="s">
        <v>77</v>
      </c>
      <c r="B87" s="26" t="s">
        <v>143</v>
      </c>
      <c r="C87" s="48">
        <v>8.2000000000000007E-3</v>
      </c>
      <c r="D87" s="44">
        <f t="shared" si="4"/>
        <v>29.752093685600006</v>
      </c>
    </row>
    <row r="88" spans="1:4">
      <c r="A88" s="36" t="s">
        <v>80</v>
      </c>
      <c r="B88" s="26" t="s">
        <v>144</v>
      </c>
      <c r="C88" s="48">
        <v>2.0000000000000001E-4</v>
      </c>
      <c r="D88" s="44">
        <f t="shared" si="4"/>
        <v>0.72566082160000012</v>
      </c>
    </row>
    <row r="89" spans="1:4" ht="25.5">
      <c r="A89" s="36" t="s">
        <v>81</v>
      </c>
      <c r="B89" s="26" t="s">
        <v>145</v>
      </c>
      <c r="C89" s="48">
        <v>2.9999999999999997E-4</v>
      </c>
      <c r="D89" s="44">
        <f t="shared" si="4"/>
        <v>1.0884912324</v>
      </c>
    </row>
    <row r="90" spans="1:4">
      <c r="A90" s="36" t="s">
        <v>83</v>
      </c>
      <c r="B90" s="26" t="s">
        <v>146</v>
      </c>
      <c r="C90" s="48">
        <v>2.8999999999999998E-3</v>
      </c>
      <c r="D90" s="44">
        <f t="shared" si="4"/>
        <v>10.522081913199999</v>
      </c>
    </row>
    <row r="91" spans="1:4" ht="25.5">
      <c r="A91" s="36" t="s">
        <v>85</v>
      </c>
      <c r="B91" s="26" t="s">
        <v>147</v>
      </c>
      <c r="C91" s="48">
        <v>1.66E-2</v>
      </c>
      <c r="D91" s="44">
        <f t="shared" si="4"/>
        <v>60.229848192800006</v>
      </c>
    </row>
    <row r="92" spans="1:4">
      <c r="A92" s="296" t="s">
        <v>87</v>
      </c>
      <c r="B92" s="297"/>
      <c r="C92" s="45">
        <f t="shared" ref="C92:D92" si="5">SUM(C86:C91)</f>
        <v>0.1191</v>
      </c>
      <c r="D92" s="46">
        <f t="shared" si="5"/>
        <v>432.13101926280001</v>
      </c>
    </row>
    <row r="93" spans="1:4" ht="25.15" customHeight="1">
      <c r="A93" s="293" t="s">
        <v>148</v>
      </c>
      <c r="B93" s="293"/>
      <c r="C93" s="293"/>
      <c r="D93" s="293"/>
    </row>
    <row r="94" spans="1:4">
      <c r="A94" s="32"/>
      <c r="D94" s="32"/>
    </row>
    <row r="95" spans="1:4" ht="12.75" hidden="1" customHeight="1">
      <c r="A95" s="300" t="s">
        <v>149</v>
      </c>
      <c r="B95" s="300"/>
      <c r="C95" s="300"/>
      <c r="D95" s="300"/>
    </row>
    <row r="96" spans="1:4" ht="12.75" hidden="1" customHeight="1">
      <c r="A96" s="33" t="s">
        <v>150</v>
      </c>
      <c r="B96" s="33" t="s">
        <v>151</v>
      </c>
      <c r="C96" s="33" t="s">
        <v>74</v>
      </c>
      <c r="D96" s="33"/>
    </row>
    <row r="97" spans="1:4" ht="25.5" hidden="1" customHeight="1">
      <c r="A97" s="36" t="s">
        <v>75</v>
      </c>
      <c r="B97" s="26" t="s">
        <v>152</v>
      </c>
      <c r="C97" s="57"/>
      <c r="D97" s="58"/>
    </row>
    <row r="98" spans="1:4" ht="12.75" hidden="1" customHeight="1">
      <c r="A98" s="305" t="s">
        <v>87</v>
      </c>
      <c r="B98" s="307"/>
      <c r="C98" s="44">
        <f>SUM(C97)</f>
        <v>0</v>
      </c>
      <c r="D98" s="58"/>
    </row>
    <row r="99" spans="1:4" ht="12.75" hidden="1" customHeight="1">
      <c r="A99" s="32"/>
      <c r="D99" s="32"/>
    </row>
    <row r="100" spans="1:4" ht="18.600000000000001" customHeight="1">
      <c r="A100" s="277" t="s">
        <v>153</v>
      </c>
      <c r="B100" s="277"/>
      <c r="C100" s="277"/>
      <c r="D100" s="277"/>
    </row>
    <row r="101" spans="1:4">
      <c r="A101" s="35">
        <v>4</v>
      </c>
      <c r="B101" s="294" t="s">
        <v>154</v>
      </c>
      <c r="C101" s="294"/>
      <c r="D101" s="35" t="s">
        <v>74</v>
      </c>
    </row>
    <row r="102" spans="1:4">
      <c r="A102" s="36" t="s">
        <v>140</v>
      </c>
      <c r="B102" s="274" t="s">
        <v>141</v>
      </c>
      <c r="C102" s="274"/>
      <c r="D102" s="44">
        <f>D92</f>
        <v>432.13101926280001</v>
      </c>
    </row>
    <row r="103" spans="1:4" ht="12.75" hidden="1" customHeight="1">
      <c r="A103" s="36" t="s">
        <v>150</v>
      </c>
      <c r="B103" s="42" t="s">
        <v>155</v>
      </c>
      <c r="C103" s="42"/>
      <c r="D103" s="57">
        <f>C98</f>
        <v>0</v>
      </c>
    </row>
    <row r="104" spans="1:4">
      <c r="A104" s="294" t="s">
        <v>87</v>
      </c>
      <c r="B104" s="294"/>
      <c r="C104" s="294"/>
      <c r="D104" s="46">
        <f>SUM(D102:D103)</f>
        <v>432.13101926280001</v>
      </c>
    </row>
    <row r="105" spans="1:4">
      <c r="A105" s="32"/>
      <c r="D105" s="32"/>
    </row>
    <row r="106" spans="1:4" ht="14.45" customHeight="1">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5 - Ferramentas'!$I$145</f>
        <v>39.320362318840566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137.01202898550724</v>
      </c>
    </row>
    <row r="113" spans="1:4" ht="12.75" customHeight="1">
      <c r="A113" s="293" t="s">
        <v>161</v>
      </c>
      <c r="B113" s="293"/>
      <c r="C113" s="293"/>
      <c r="D113" s="293"/>
    </row>
    <row r="114" spans="1:4">
      <c r="A114" s="32"/>
      <c r="D114" s="32"/>
    </row>
    <row r="115" spans="1:4" ht="14.45" customHeight="1">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363.13823837122078</v>
      </c>
    </row>
    <row r="119" spans="1:4">
      <c r="A119" s="36" t="s">
        <v>77</v>
      </c>
      <c r="B119" s="42" t="s">
        <v>166</v>
      </c>
      <c r="C119" s="191">
        <v>6.7900000000000002E-2</v>
      </c>
      <c r="D119" s="192">
        <f>$C119*(D$138+D118)</f>
        <v>517.79881409352367</v>
      </c>
    </row>
    <row r="120" spans="1:4">
      <c r="A120" s="187" t="s">
        <v>80</v>
      </c>
      <c r="B120" s="188" t="s">
        <v>167</v>
      </c>
      <c r="C120" s="193">
        <f>SUM(C121:C123)</f>
        <v>0.14250000000000002</v>
      </c>
      <c r="D120" s="192">
        <f>(D$138+D$119+D$118)*($C120/IF($C116="Lucro presumido",91.45%,85.75%))</f>
        <v>1353.3265414976156</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2234.2635939623601</v>
      </c>
    </row>
    <row r="126" spans="1:4" ht="12.75" customHeight="1">
      <c r="A126" s="293" t="s">
        <v>175</v>
      </c>
      <c r="B126" s="293"/>
      <c r="C126" s="293"/>
      <c r="D126" s="293"/>
    </row>
    <row r="127" spans="1:4" ht="31.15" customHeight="1">
      <c r="A127" s="293" t="s">
        <v>176</v>
      </c>
      <c r="B127" s="293"/>
      <c r="C127" s="293"/>
      <c r="D127" s="293"/>
    </row>
    <row r="128" spans="1:4" ht="34.15" customHeight="1">
      <c r="A128" s="293" t="s">
        <v>562</v>
      </c>
      <c r="B128" s="293"/>
      <c r="C128" s="293"/>
      <c r="D128" s="293"/>
    </row>
    <row r="129" spans="1:4" ht="34.15" customHeight="1">
      <c r="A129" s="304" t="s">
        <v>561</v>
      </c>
      <c r="B129" s="304"/>
      <c r="C129" s="304"/>
      <c r="D129" s="304"/>
    </row>
    <row r="130" spans="1:4">
      <c r="A130" s="32"/>
      <c r="D130" s="32"/>
    </row>
    <row r="131" spans="1:4" ht="14.45" customHeight="1">
      <c r="A131" s="277" t="s">
        <v>177</v>
      </c>
      <c r="B131" s="277"/>
      <c r="C131" s="277"/>
      <c r="D131" s="277"/>
    </row>
    <row r="132" spans="1:4">
      <c r="A132" s="305" t="s">
        <v>178</v>
      </c>
      <c r="B132" s="306"/>
      <c r="C132" s="307"/>
      <c r="D132" s="33" t="s">
        <v>179</v>
      </c>
    </row>
    <row r="133" spans="1:4">
      <c r="A133" s="36" t="s">
        <v>75</v>
      </c>
      <c r="B133" s="275" t="s">
        <v>72</v>
      </c>
      <c r="C133" s="275"/>
      <c r="D133" s="44">
        <f>D19</f>
        <v>3236.09</v>
      </c>
    </row>
    <row r="134" spans="1:4" ht="30" customHeight="1">
      <c r="A134" s="36" t="s">
        <v>77</v>
      </c>
      <c r="B134" s="275" t="s">
        <v>89</v>
      </c>
      <c r="C134" s="275"/>
      <c r="D134" s="44">
        <f>D66</f>
        <v>3218.0600197440003</v>
      </c>
    </row>
    <row r="135" spans="1:4">
      <c r="A135" s="36" t="s">
        <v>80</v>
      </c>
      <c r="B135" s="275" t="s">
        <v>126</v>
      </c>
      <c r="C135" s="275"/>
      <c r="D135" s="44">
        <f>D77</f>
        <v>239.47169943210804</v>
      </c>
    </row>
    <row r="136" spans="1:4" ht="30" customHeight="1">
      <c r="A136" s="36" t="s">
        <v>81</v>
      </c>
      <c r="B136" s="275" t="s">
        <v>137</v>
      </c>
      <c r="C136" s="275"/>
      <c r="D136" s="44">
        <f>D104</f>
        <v>432.13101926280001</v>
      </c>
    </row>
    <row r="137" spans="1:4">
      <c r="A137" s="36" t="s">
        <v>83</v>
      </c>
      <c r="B137" s="275" t="s">
        <v>156</v>
      </c>
      <c r="C137" s="275"/>
      <c r="D137" s="44">
        <f>D112</f>
        <v>137.01202898550724</v>
      </c>
    </row>
    <row r="138" spans="1:4">
      <c r="A138" s="294" t="s">
        <v>180</v>
      </c>
      <c r="B138" s="294"/>
      <c r="C138" s="294"/>
      <c r="D138" s="46">
        <f>SUM(D133:D137)</f>
        <v>7262.7647674244154</v>
      </c>
    </row>
    <row r="139" spans="1:4">
      <c r="A139" s="36" t="s">
        <v>85</v>
      </c>
      <c r="B139" s="274" t="s">
        <v>162</v>
      </c>
      <c r="C139" s="274"/>
      <c r="D139" s="44">
        <f>D125</f>
        <v>2234.2635939623601</v>
      </c>
    </row>
    <row r="140" spans="1:4">
      <c r="A140" s="277" t="s">
        <v>187</v>
      </c>
      <c r="B140" s="277"/>
      <c r="C140" s="277"/>
      <c r="D140" s="62">
        <f>SUM(D138:D139)</f>
        <v>9497.0283613867759</v>
      </c>
    </row>
    <row r="143" spans="1:4" ht="226.9" customHeight="1">
      <c r="A143" s="301" t="s">
        <v>556</v>
      </c>
      <c r="B143" s="301"/>
      <c r="C143" s="301"/>
      <c r="D143" s="301"/>
    </row>
  </sheetData>
  <mergeCells count="83">
    <mergeCell ref="A140:C140"/>
    <mergeCell ref="A143:D143"/>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8:D128"/>
    <mergeCell ref="A129:D129"/>
    <mergeCell ref="B109:C109"/>
    <mergeCell ref="A92:B92"/>
    <mergeCell ref="A93:D93"/>
    <mergeCell ref="A95:D95"/>
    <mergeCell ref="A98:B98"/>
    <mergeCell ref="A100:D100"/>
    <mergeCell ref="B101:C101"/>
    <mergeCell ref="B102:C102"/>
    <mergeCell ref="A104:C104"/>
    <mergeCell ref="A106:D106"/>
    <mergeCell ref="B107:C107"/>
    <mergeCell ref="B108:C108"/>
    <mergeCell ref="A84:D84"/>
    <mergeCell ref="B62:C62"/>
    <mergeCell ref="B63:C63"/>
    <mergeCell ref="B64:C64"/>
    <mergeCell ref="B65:C65"/>
    <mergeCell ref="A66:C66"/>
    <mergeCell ref="A68:D68"/>
    <mergeCell ref="A77:B77"/>
    <mergeCell ref="A78:D78"/>
    <mergeCell ref="A79:D79"/>
    <mergeCell ref="A81:D81"/>
    <mergeCell ref="A82:D82"/>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30:D30"/>
    <mergeCell ref="B18:C18"/>
    <mergeCell ref="A19:C19"/>
    <mergeCell ref="A20:D20"/>
    <mergeCell ref="A22:D22"/>
    <mergeCell ref="A23:D23"/>
    <mergeCell ref="B16:C16"/>
    <mergeCell ref="B17:C17"/>
    <mergeCell ref="B15:C15"/>
    <mergeCell ref="B14:C14"/>
    <mergeCell ref="A1:D1"/>
    <mergeCell ref="A3:D3"/>
    <mergeCell ref="C4:D4"/>
    <mergeCell ref="C5:D5"/>
    <mergeCell ref="C6:D6"/>
    <mergeCell ref="C7:D7"/>
    <mergeCell ref="C8:D8"/>
    <mergeCell ref="C9:D9"/>
    <mergeCell ref="A11:D11"/>
    <mergeCell ref="B12:C12"/>
    <mergeCell ref="B13:C13"/>
  </mergeCells>
  <dataValidations count="1">
    <dataValidation type="list" allowBlank="1" showInputMessage="1" showErrorMessage="1" sqref="C116:D116" xr:uid="{00000000-0002-0000-0D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8">
    <tabColor theme="9" tint="0.59999389629810485"/>
    <pageSetUpPr fitToPage="1"/>
  </sheetPr>
  <dimension ref="A1:Q143"/>
  <sheetViews>
    <sheetView showGridLines="0" zoomScaleNormal="100" workbookViewId="0">
      <selection activeCell="A24" sqref="A24"/>
    </sheetView>
  </sheetViews>
  <sheetFormatPr defaultColWidth="8.7109375" defaultRowHeight="12.75"/>
  <cols>
    <col min="1" max="1" width="8.28515625" style="2" customWidth="1"/>
    <col min="2" max="2" width="46.140625" style="32" customWidth="1"/>
    <col min="3" max="3" width="15.140625" style="32" customWidth="1"/>
    <col min="4" max="4" width="16.85546875" style="2" customWidth="1"/>
    <col min="5" max="7" width="8.7109375" style="2"/>
    <col min="8" max="8" width="9.28515625" style="2" bestFit="1" customWidth="1"/>
    <col min="9" max="16384" width="8.7109375" style="2"/>
  </cols>
  <sheetData>
    <row r="1" spans="1:17">
      <c r="A1" s="316" t="s">
        <v>62</v>
      </c>
      <c r="B1" s="316"/>
      <c r="C1" s="316"/>
      <c r="D1" s="316"/>
    </row>
    <row r="3" spans="1:17">
      <c r="A3" s="317" t="s">
        <v>63</v>
      </c>
      <c r="B3" s="317"/>
      <c r="C3" s="317"/>
      <c r="D3" s="317"/>
    </row>
    <row r="4" spans="1:17" ht="25.5">
      <c r="A4" s="35">
        <v>1</v>
      </c>
      <c r="B4" s="182" t="s">
        <v>64</v>
      </c>
      <c r="C4" s="299" t="s">
        <v>204</v>
      </c>
      <c r="D4" s="299"/>
    </row>
    <row r="5" spans="1:17">
      <c r="A5" s="34">
        <v>2</v>
      </c>
      <c r="B5" s="26" t="s">
        <v>66</v>
      </c>
      <c r="C5" s="314"/>
      <c r="D5" s="314"/>
    </row>
    <row r="6" spans="1:17">
      <c r="A6" s="34">
        <v>3</v>
      </c>
      <c r="B6" s="26" t="s">
        <v>67</v>
      </c>
      <c r="C6" s="285">
        <v>2200</v>
      </c>
      <c r="D6" s="286"/>
    </row>
    <row r="7" spans="1:17" ht="25.5" customHeight="1">
      <c r="A7" s="34">
        <v>4</v>
      </c>
      <c r="B7" s="26" t="s">
        <v>68</v>
      </c>
      <c r="C7" s="287" t="s">
        <v>588</v>
      </c>
      <c r="D7" s="288"/>
    </row>
    <row r="8" spans="1:17">
      <c r="A8" s="34">
        <v>5</v>
      </c>
      <c r="B8" s="26" t="s">
        <v>69</v>
      </c>
      <c r="C8" s="289">
        <v>45047</v>
      </c>
      <c r="D8" s="290"/>
    </row>
    <row r="9" spans="1:17">
      <c r="A9" s="34">
        <v>6</v>
      </c>
      <c r="B9" s="26" t="s">
        <v>70</v>
      </c>
      <c r="C9" s="291" t="s">
        <v>594</v>
      </c>
      <c r="D9" s="290"/>
    </row>
    <row r="11" spans="1:17">
      <c r="A11" s="277" t="s">
        <v>72</v>
      </c>
      <c r="B11" s="277"/>
      <c r="C11" s="277"/>
      <c r="D11" s="277"/>
    </row>
    <row r="12" spans="1:17">
      <c r="A12" s="63">
        <v>1</v>
      </c>
      <c r="B12" s="317" t="s">
        <v>73</v>
      </c>
      <c r="C12" s="317"/>
      <c r="D12" s="35" t="s">
        <v>74</v>
      </c>
    </row>
    <row r="13" spans="1:17">
      <c r="A13" s="64" t="s">
        <v>75</v>
      </c>
      <c r="B13" s="274" t="s">
        <v>76</v>
      </c>
      <c r="C13" s="274"/>
      <c r="D13" s="38">
        <v>2999.48</v>
      </c>
      <c r="Q13" s="2">
        <f>10302*4.33%</f>
        <v>446.07659999999998</v>
      </c>
    </row>
    <row r="14" spans="1:17">
      <c r="A14" s="64" t="s">
        <v>77</v>
      </c>
      <c r="B14" s="274" t="s">
        <v>205</v>
      </c>
      <c r="C14" s="274"/>
      <c r="D14" s="39" t="s">
        <v>79</v>
      </c>
    </row>
    <row r="15" spans="1:17">
      <c r="A15" s="64" t="s">
        <v>80</v>
      </c>
      <c r="B15" s="274" t="s">
        <v>185</v>
      </c>
      <c r="C15" s="274"/>
      <c r="D15" s="39"/>
      <c r="Q15" s="2">
        <f>10302+Q13</f>
        <v>10748.0766</v>
      </c>
    </row>
    <row r="16" spans="1:17">
      <c r="A16" s="64" t="s">
        <v>81</v>
      </c>
      <c r="B16" s="274" t="s">
        <v>82</v>
      </c>
      <c r="C16" s="274"/>
      <c r="D16" s="65"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2999.48</v>
      </c>
    </row>
    <row r="20" spans="1:4" ht="24" customHeight="1">
      <c r="A20" s="319" t="s">
        <v>88</v>
      </c>
      <c r="B20" s="319"/>
      <c r="C20" s="319"/>
      <c r="D20" s="319"/>
    </row>
    <row r="22" spans="1:4">
      <c r="A22" s="328" t="s">
        <v>89</v>
      </c>
      <c r="B22" s="328"/>
      <c r="C22" s="328"/>
      <c r="D22" s="328"/>
    </row>
    <row r="23" spans="1:4">
      <c r="A23" s="333" t="s">
        <v>604</v>
      </c>
      <c r="B23" s="334"/>
      <c r="C23" s="334"/>
      <c r="D23" s="335"/>
    </row>
    <row r="24" spans="1:4" ht="25.5">
      <c r="A24" s="41" t="s">
        <v>90</v>
      </c>
      <c r="B24" s="41" t="s">
        <v>595</v>
      </c>
      <c r="C24" s="33" t="s">
        <v>91</v>
      </c>
      <c r="D24" s="41" t="s">
        <v>74</v>
      </c>
    </row>
    <row r="25" spans="1:4">
      <c r="A25" s="64" t="s">
        <v>75</v>
      </c>
      <c r="B25" s="42" t="s">
        <v>92</v>
      </c>
      <c r="C25" s="43">
        <v>9.0899999999999995E-2</v>
      </c>
      <c r="D25" s="44">
        <f>C25*$D$19</f>
        <v>272.65273199999996</v>
      </c>
    </row>
    <row r="26" spans="1:4">
      <c r="A26" s="64" t="s">
        <v>77</v>
      </c>
      <c r="B26" s="42" t="s">
        <v>589</v>
      </c>
      <c r="C26" s="43">
        <v>3.0300000000000001E-2</v>
      </c>
      <c r="D26" s="44">
        <f>C26*$D$19</f>
        <v>90.884243999999995</v>
      </c>
    </row>
    <row r="27" spans="1:4">
      <c r="A27" s="333" t="s">
        <v>87</v>
      </c>
      <c r="B27" s="335"/>
      <c r="C27" s="45">
        <f>SUM(C25:C26)</f>
        <v>0.1212</v>
      </c>
      <c r="D27" s="46">
        <f>SUM(D25:D26)</f>
        <v>363.53697599999998</v>
      </c>
    </row>
    <row r="28" spans="1:4" ht="39" customHeight="1">
      <c r="A28" s="319" t="s">
        <v>206</v>
      </c>
      <c r="B28" s="319"/>
      <c r="C28" s="319"/>
      <c r="D28" s="319"/>
    </row>
    <row r="29" spans="1:4" ht="24.75" customHeight="1">
      <c r="A29" s="301" t="s">
        <v>94</v>
      </c>
      <c r="B29" s="301"/>
      <c r="C29" s="301"/>
      <c r="D29" s="301"/>
    </row>
    <row r="30" spans="1:4" ht="40.5" customHeight="1">
      <c r="A30" s="301" t="s">
        <v>192</v>
      </c>
      <c r="B30" s="301"/>
      <c r="C30" s="301"/>
      <c r="D30" s="301"/>
    </row>
    <row r="32" spans="1:4" ht="33" customHeight="1">
      <c r="A32" s="340" t="s">
        <v>96</v>
      </c>
      <c r="B32" s="341"/>
      <c r="C32" s="341"/>
      <c r="D32" s="342"/>
    </row>
    <row r="33" spans="1:4">
      <c r="A33" s="63" t="s">
        <v>97</v>
      </c>
      <c r="B33" s="35" t="s">
        <v>98</v>
      </c>
      <c r="C33" s="35" t="s">
        <v>91</v>
      </c>
      <c r="D33" s="63" t="s">
        <v>74</v>
      </c>
    </row>
    <row r="34" spans="1:4">
      <c r="A34" s="64" t="s">
        <v>75</v>
      </c>
      <c r="B34" s="42" t="s">
        <v>99</v>
      </c>
      <c r="C34" s="48">
        <v>0.2</v>
      </c>
      <c r="D34" s="66">
        <f t="shared" ref="D34:D40" si="0">C34*($D$19+$D$27)</f>
        <v>672.60339520000002</v>
      </c>
    </row>
    <row r="35" spans="1:4">
      <c r="A35" s="64" t="s">
        <v>77</v>
      </c>
      <c r="B35" s="42" t="s">
        <v>100</v>
      </c>
      <c r="C35" s="48">
        <v>2.5000000000000001E-2</v>
      </c>
      <c r="D35" s="66">
        <f>$C35*(D$19+D$27)</f>
        <v>84.075424400000003</v>
      </c>
    </row>
    <row r="36" spans="1:4">
      <c r="A36" s="64" t="s">
        <v>80</v>
      </c>
      <c r="B36" s="42" t="s">
        <v>101</v>
      </c>
      <c r="C36" s="48">
        <v>0.03</v>
      </c>
      <c r="D36" s="66">
        <f t="shared" si="0"/>
        <v>100.89050927999999</v>
      </c>
    </row>
    <row r="37" spans="1:4">
      <c r="A37" s="64" t="s">
        <v>81</v>
      </c>
      <c r="B37" s="42" t="s">
        <v>102</v>
      </c>
      <c r="C37" s="48">
        <v>1.4999999999999999E-2</v>
      </c>
      <c r="D37" s="66">
        <f t="shared" si="0"/>
        <v>50.445254639999995</v>
      </c>
    </row>
    <row r="38" spans="1:4">
      <c r="A38" s="64" t="s">
        <v>83</v>
      </c>
      <c r="B38" s="42" t="s">
        <v>103</v>
      </c>
      <c r="C38" s="48">
        <v>0.01</v>
      </c>
      <c r="D38" s="66">
        <f t="shared" si="0"/>
        <v>33.630169760000001</v>
      </c>
    </row>
    <row r="39" spans="1:4">
      <c r="A39" s="64" t="s">
        <v>85</v>
      </c>
      <c r="B39" s="42" t="s">
        <v>104</v>
      </c>
      <c r="C39" s="48">
        <v>6.0000000000000001E-3</v>
      </c>
      <c r="D39" s="66">
        <f t="shared" si="0"/>
        <v>20.178101856000001</v>
      </c>
    </row>
    <row r="40" spans="1:4">
      <c r="A40" s="64" t="s">
        <v>105</v>
      </c>
      <c r="B40" s="42" t="s">
        <v>106</v>
      </c>
      <c r="C40" s="48">
        <v>2E-3</v>
      </c>
      <c r="D40" s="66">
        <f t="shared" si="0"/>
        <v>6.7260339519999999</v>
      </c>
    </row>
    <row r="41" spans="1:4">
      <c r="A41" s="64" t="s">
        <v>107</v>
      </c>
      <c r="B41" s="42" t="s">
        <v>108</v>
      </c>
      <c r="C41" s="48">
        <v>0.08</v>
      </c>
      <c r="D41" s="66">
        <f>C41*($D$19+$D$27)</f>
        <v>269.04135808000001</v>
      </c>
    </row>
    <row r="42" spans="1:4">
      <c r="A42" s="64" t="s">
        <v>24</v>
      </c>
      <c r="B42" s="42" t="s">
        <v>109</v>
      </c>
      <c r="C42" s="48">
        <v>0</v>
      </c>
      <c r="D42" s="66">
        <f>C42*($D$19+$D$27)</f>
        <v>0</v>
      </c>
    </row>
    <row r="43" spans="1:4">
      <c r="A43" s="318" t="s">
        <v>87</v>
      </c>
      <c r="B43" s="318"/>
      <c r="C43" s="61">
        <f>SUM(C34:C42)</f>
        <v>0.36800000000000005</v>
      </c>
      <c r="D43" s="67">
        <f>SUM(D34:D42)</f>
        <v>1237.5902471680001</v>
      </c>
    </row>
    <row r="44" spans="1:4" ht="25.5" customHeight="1">
      <c r="A44" s="319" t="s">
        <v>110</v>
      </c>
      <c r="B44" s="319"/>
      <c r="C44" s="319"/>
      <c r="D44" s="319"/>
    </row>
    <row r="45" spans="1:4" ht="26.25" customHeight="1">
      <c r="A45" s="301" t="s">
        <v>111</v>
      </c>
      <c r="B45" s="301"/>
      <c r="C45" s="301"/>
      <c r="D45" s="301"/>
    </row>
    <row r="46" spans="1:4" ht="25.5" customHeight="1">
      <c r="A46" s="301" t="s">
        <v>112</v>
      </c>
      <c r="B46" s="301"/>
      <c r="C46" s="301"/>
      <c r="D46" s="301"/>
    </row>
    <row r="47" spans="1:4" ht="14.25" customHeight="1">
      <c r="A47" s="301" t="s">
        <v>113</v>
      </c>
      <c r="B47" s="301"/>
      <c r="C47" s="301"/>
      <c r="D47" s="301"/>
    </row>
    <row r="48" spans="1:4" ht="14.25" customHeight="1">
      <c r="A48" s="301" t="s">
        <v>114</v>
      </c>
      <c r="B48" s="301"/>
      <c r="C48" s="301"/>
      <c r="D48" s="301"/>
    </row>
    <row r="49" spans="1:8">
      <c r="H49" s="68"/>
    </row>
    <row r="50" spans="1:8" ht="15" customHeight="1">
      <c r="A50" s="340" t="s">
        <v>115</v>
      </c>
      <c r="B50" s="341"/>
      <c r="C50" s="341"/>
      <c r="D50" s="342"/>
    </row>
    <row r="51" spans="1:8">
      <c r="A51" s="69" t="s">
        <v>116</v>
      </c>
      <c r="B51" s="33" t="s">
        <v>117</v>
      </c>
      <c r="C51" s="69" t="s">
        <v>118</v>
      </c>
      <c r="D51" s="33" t="s">
        <v>74</v>
      </c>
    </row>
    <row r="52" spans="1:8" ht="25.5">
      <c r="A52" s="64" t="s">
        <v>75</v>
      </c>
      <c r="B52" s="26" t="s">
        <v>119</v>
      </c>
      <c r="C52" s="70">
        <v>22</v>
      </c>
      <c r="D52" s="44">
        <f>ROUND((((3.8+5.5)*2*C52)-6%*D13),2)</f>
        <v>229.23</v>
      </c>
    </row>
    <row r="53" spans="1:8" ht="41.45" customHeight="1">
      <c r="A53" s="64" t="s">
        <v>77</v>
      </c>
      <c r="B53" s="26" t="s">
        <v>592</v>
      </c>
      <c r="C53" s="51">
        <v>22</v>
      </c>
      <c r="D53" s="44">
        <f>C53*(24.25*0.91)</f>
        <v>485.48499999999996</v>
      </c>
    </row>
    <row r="54" spans="1:8" ht="24.75" customHeight="1">
      <c r="A54" s="64"/>
      <c r="B54" s="235" t="s">
        <v>591</v>
      </c>
      <c r="C54" s="51">
        <v>22</v>
      </c>
      <c r="D54" s="44">
        <f>5.75*C54</f>
        <v>126.5</v>
      </c>
    </row>
    <row r="55" spans="1:8">
      <c r="A55" s="64" t="s">
        <v>80</v>
      </c>
      <c r="B55" s="42" t="s">
        <v>120</v>
      </c>
      <c r="C55" s="51"/>
      <c r="D55" s="44"/>
    </row>
    <row r="56" spans="1:8">
      <c r="A56" s="64" t="s">
        <v>81</v>
      </c>
      <c r="B56" s="42" t="s">
        <v>121</v>
      </c>
      <c r="C56" s="51"/>
      <c r="D56" s="44"/>
    </row>
    <row r="57" spans="1:8">
      <c r="A57" s="333" t="s">
        <v>87</v>
      </c>
      <c r="B57" s="334"/>
      <c r="C57" s="335"/>
      <c r="D57" s="46">
        <f>SUM(D52:D56)</f>
        <v>841.21499999999992</v>
      </c>
    </row>
    <row r="58" spans="1:8" ht="28.5" customHeight="1">
      <c r="A58" s="319" t="s">
        <v>122</v>
      </c>
      <c r="B58" s="319"/>
      <c r="C58" s="319"/>
      <c r="D58" s="319"/>
    </row>
    <row r="59" spans="1:8" ht="30" customHeight="1">
      <c r="A59" s="301" t="s">
        <v>123</v>
      </c>
      <c r="B59" s="301"/>
      <c r="C59" s="301"/>
      <c r="D59" s="301"/>
    </row>
    <row r="60" spans="1:8" ht="12.75" customHeight="1"/>
    <row r="61" spans="1:8" ht="15" customHeight="1">
      <c r="A61" s="328" t="s">
        <v>124</v>
      </c>
      <c r="B61" s="328"/>
      <c r="C61" s="328"/>
      <c r="D61" s="328"/>
    </row>
    <row r="62" spans="1:8">
      <c r="A62" s="35">
        <v>2</v>
      </c>
      <c r="B62" s="296" t="s">
        <v>125</v>
      </c>
      <c r="C62" s="297"/>
      <c r="D62" s="35" t="s">
        <v>74</v>
      </c>
    </row>
    <row r="63" spans="1:8" ht="30" customHeight="1">
      <c r="A63" s="36" t="s">
        <v>90</v>
      </c>
      <c r="B63" s="332" t="s">
        <v>595</v>
      </c>
      <c r="C63" s="276"/>
      <c r="D63" s="44">
        <f>D27</f>
        <v>363.53697599999998</v>
      </c>
    </row>
    <row r="64" spans="1:8" ht="12.75" customHeight="1">
      <c r="A64" s="36" t="s">
        <v>97</v>
      </c>
      <c r="B64" s="308" t="s">
        <v>98</v>
      </c>
      <c r="C64" s="309"/>
      <c r="D64" s="44">
        <f>D43</f>
        <v>1237.5902471680001</v>
      </c>
    </row>
    <row r="65" spans="1:4">
      <c r="A65" s="36" t="s">
        <v>116</v>
      </c>
      <c r="B65" s="308" t="s">
        <v>117</v>
      </c>
      <c r="C65" s="309"/>
      <c r="D65" s="44">
        <f>D57</f>
        <v>841.21499999999992</v>
      </c>
    </row>
    <row r="66" spans="1:4">
      <c r="A66" s="333" t="s">
        <v>87</v>
      </c>
      <c r="B66" s="334"/>
      <c r="C66" s="335"/>
      <c r="D66" s="46">
        <f>SUM(D63:D65)</f>
        <v>2442.3422231679997</v>
      </c>
    </row>
    <row r="68" spans="1:4" ht="14.45" customHeight="1">
      <c r="A68" s="328" t="s">
        <v>126</v>
      </c>
      <c r="B68" s="328"/>
      <c r="C68" s="328"/>
      <c r="D68" s="328"/>
    </row>
    <row r="69" spans="1:4">
      <c r="A69" s="35">
        <v>3</v>
      </c>
      <c r="B69" s="35" t="s">
        <v>127</v>
      </c>
      <c r="C69" s="35" t="s">
        <v>91</v>
      </c>
      <c r="D69" s="35" t="s">
        <v>74</v>
      </c>
    </row>
    <row r="70" spans="1:4">
      <c r="A70" s="36" t="s">
        <v>75</v>
      </c>
      <c r="B70" s="26" t="s">
        <v>128</v>
      </c>
      <c r="C70" s="48">
        <v>4.1999999999999997E-3</v>
      </c>
      <c r="D70" s="66">
        <f t="shared" ref="D70:D75" si="1">C70*($D$19+$D$27)</f>
        <v>14.124671299199999</v>
      </c>
    </row>
    <row r="71" spans="1:4">
      <c r="A71" s="36" t="s">
        <v>77</v>
      </c>
      <c r="B71" s="26" t="s">
        <v>129</v>
      </c>
      <c r="C71" s="48">
        <v>2.9999999999999997E-4</v>
      </c>
      <c r="D71" s="66">
        <f t="shared" si="1"/>
        <v>1.0089050927999998</v>
      </c>
    </row>
    <row r="72" spans="1:4" ht="25.5">
      <c r="A72" s="36" t="s">
        <v>80</v>
      </c>
      <c r="B72" s="26" t="s">
        <v>130</v>
      </c>
      <c r="C72" s="53">
        <v>9.9999999999999995E-7</v>
      </c>
      <c r="D72" s="66">
        <f t="shared" si="1"/>
        <v>3.3630169759999999E-3</v>
      </c>
    </row>
    <row r="73" spans="1:4">
      <c r="A73" s="36" t="s">
        <v>81</v>
      </c>
      <c r="B73" s="26" t="s">
        <v>131</v>
      </c>
      <c r="C73" s="54">
        <v>1.9400000000000001E-2</v>
      </c>
      <c r="D73" s="66">
        <f>C73*($D$19+$D$27)</f>
        <v>65.242529334400004</v>
      </c>
    </row>
    <row r="74" spans="1:4" ht="25.5">
      <c r="A74" s="36" t="s">
        <v>83</v>
      </c>
      <c r="B74" s="26" t="s">
        <v>132</v>
      </c>
      <c r="C74" s="48">
        <v>7.1000000000000004E-3</v>
      </c>
      <c r="D74" s="66">
        <f>C74*($D$19+$D$27)</f>
        <v>23.877420529600002</v>
      </c>
    </row>
    <row r="75" spans="1:4" ht="25.5">
      <c r="A75" s="36" t="s">
        <v>85</v>
      </c>
      <c r="B75" s="26" t="s">
        <v>133</v>
      </c>
      <c r="C75" s="48">
        <v>1E-4</v>
      </c>
      <c r="D75" s="66">
        <f t="shared" si="1"/>
        <v>0.3363016976</v>
      </c>
    </row>
    <row r="76" spans="1:4">
      <c r="A76" s="55" t="s">
        <v>105</v>
      </c>
      <c r="B76" s="56" t="s">
        <v>134</v>
      </c>
      <c r="C76" s="48">
        <v>3.49E-2</v>
      </c>
      <c r="D76" s="66">
        <f>C76*($D$19+$D$27)</f>
        <v>117.3692924624</v>
      </c>
    </row>
    <row r="77" spans="1:4">
      <c r="A77" s="333" t="s">
        <v>87</v>
      </c>
      <c r="B77" s="335"/>
      <c r="C77" s="45">
        <f>SUM(C70:C76)</f>
        <v>6.6001000000000004E-2</v>
      </c>
      <c r="D77" s="46">
        <f>SUM(D70:D76)</f>
        <v>221.962483432976</v>
      </c>
    </row>
    <row r="78" spans="1:4" ht="26.25" customHeight="1">
      <c r="A78" s="319" t="s">
        <v>135</v>
      </c>
      <c r="B78" s="319"/>
      <c r="C78" s="319"/>
      <c r="D78" s="319"/>
    </row>
    <row r="79" spans="1:4" ht="17.25" customHeight="1">
      <c r="A79" s="301" t="s">
        <v>136</v>
      </c>
      <c r="B79" s="301"/>
      <c r="C79" s="301"/>
      <c r="D79" s="301"/>
    </row>
    <row r="80" spans="1:4" ht="12.75" customHeight="1"/>
    <row r="81" spans="1:4" ht="23.1" customHeight="1">
      <c r="A81" s="328" t="s">
        <v>137</v>
      </c>
      <c r="B81" s="328"/>
      <c r="C81" s="328"/>
      <c r="D81" s="328"/>
    </row>
    <row r="82" spans="1:4" ht="39.75" customHeight="1">
      <c r="A82" s="343" t="s">
        <v>138</v>
      </c>
      <c r="B82" s="344"/>
      <c r="C82" s="344"/>
      <c r="D82" s="345"/>
    </row>
    <row r="83" spans="1:4" ht="12.75" customHeight="1"/>
    <row r="84" spans="1:4" ht="16.5" customHeight="1">
      <c r="A84" s="340" t="s">
        <v>139</v>
      </c>
      <c r="B84" s="341"/>
      <c r="C84" s="341"/>
      <c r="D84" s="342"/>
    </row>
    <row r="85" spans="1:4" ht="12.75" customHeight="1">
      <c r="A85" s="69" t="s">
        <v>140</v>
      </c>
      <c r="B85" s="33" t="s">
        <v>141</v>
      </c>
      <c r="C85" s="33" t="s">
        <v>91</v>
      </c>
      <c r="D85" s="33" t="s">
        <v>74</v>
      </c>
    </row>
    <row r="86" spans="1:4">
      <c r="A86" s="36" t="s">
        <v>75</v>
      </c>
      <c r="B86" s="26" t="s">
        <v>142</v>
      </c>
      <c r="C86" s="204">
        <v>9.0899999999999995E-2</v>
      </c>
      <c r="D86" s="66">
        <f t="shared" ref="D86:D91" si="2">C86*($D$19+$D$27)</f>
        <v>305.69824311839994</v>
      </c>
    </row>
    <row r="87" spans="1:4">
      <c r="A87" s="36" t="s">
        <v>77</v>
      </c>
      <c r="B87" s="26" t="s">
        <v>143</v>
      </c>
      <c r="C87" s="48">
        <v>8.2000000000000007E-3</v>
      </c>
      <c r="D87" s="66">
        <f t="shared" si="2"/>
        <v>27.576739203200002</v>
      </c>
    </row>
    <row r="88" spans="1:4">
      <c r="A88" s="36" t="s">
        <v>80</v>
      </c>
      <c r="B88" s="26" t="s">
        <v>144</v>
      </c>
      <c r="C88" s="48">
        <v>2.0000000000000001E-4</v>
      </c>
      <c r="D88" s="66">
        <f t="shared" si="2"/>
        <v>0.67260339520000001</v>
      </c>
    </row>
    <row r="89" spans="1:4" ht="25.5">
      <c r="A89" s="36" t="s">
        <v>81</v>
      </c>
      <c r="B89" s="26" t="s">
        <v>145</v>
      </c>
      <c r="C89" s="48">
        <v>2.9999999999999997E-4</v>
      </c>
      <c r="D89" s="66">
        <f t="shared" si="2"/>
        <v>1.0089050927999998</v>
      </c>
    </row>
    <row r="90" spans="1:4">
      <c r="A90" s="36" t="s">
        <v>83</v>
      </c>
      <c r="B90" s="26" t="s">
        <v>146</v>
      </c>
      <c r="C90" s="48">
        <v>2.8999999999999998E-3</v>
      </c>
      <c r="D90" s="66">
        <f t="shared" si="2"/>
        <v>9.7527492303999992</v>
      </c>
    </row>
    <row r="91" spans="1:4" ht="25.5">
      <c r="A91" s="36" t="s">
        <v>85</v>
      </c>
      <c r="B91" s="26" t="s">
        <v>147</v>
      </c>
      <c r="C91" s="48">
        <v>1.66E-2</v>
      </c>
      <c r="D91" s="66">
        <f t="shared" si="2"/>
        <v>55.826081801599997</v>
      </c>
    </row>
    <row r="92" spans="1:4">
      <c r="A92" s="333" t="s">
        <v>87</v>
      </c>
      <c r="B92" s="335"/>
      <c r="C92" s="45">
        <f>SUM(C86:C91)</f>
        <v>0.1191</v>
      </c>
      <c r="D92" s="46">
        <f>SUM(D86:D91)</f>
        <v>400.53532184159997</v>
      </c>
    </row>
    <row r="93" spans="1:4" ht="27" customHeight="1">
      <c r="A93" s="319" t="s">
        <v>148</v>
      </c>
      <c r="B93" s="319"/>
      <c r="C93" s="319"/>
      <c r="D93" s="319"/>
    </row>
    <row r="94" spans="1:4" ht="12.75" customHeight="1"/>
    <row r="95" spans="1:4" ht="12.75" hidden="1" customHeight="1">
      <c r="A95" s="329" t="s">
        <v>149</v>
      </c>
      <c r="B95" s="330"/>
      <c r="C95" s="330"/>
      <c r="D95" s="331"/>
    </row>
    <row r="96" spans="1:4" ht="12.75" hidden="1" customHeight="1">
      <c r="A96" s="69" t="s">
        <v>150</v>
      </c>
      <c r="B96" s="33" t="s">
        <v>151</v>
      </c>
      <c r="C96" s="33" t="s">
        <v>74</v>
      </c>
      <c r="D96" s="69"/>
    </row>
    <row r="97" spans="1:4" ht="25.5" hidden="1" customHeight="1">
      <c r="A97" s="36" t="s">
        <v>75</v>
      </c>
      <c r="B97" s="26" t="s">
        <v>152</v>
      </c>
      <c r="C97" s="57"/>
      <c r="D97" s="71"/>
    </row>
    <row r="98" spans="1:4" ht="12.75" hidden="1" customHeight="1">
      <c r="A98" s="329" t="s">
        <v>87</v>
      </c>
      <c r="B98" s="331"/>
      <c r="C98" s="44">
        <f>SUM(C97)</f>
        <v>0</v>
      </c>
      <c r="D98" s="71"/>
    </row>
    <row r="99" spans="1:4" ht="12.75" hidden="1" customHeight="1"/>
    <row r="100" spans="1:4" ht="18.600000000000001" customHeight="1">
      <c r="A100" s="328" t="s">
        <v>153</v>
      </c>
      <c r="B100" s="328"/>
      <c r="C100" s="328"/>
      <c r="D100" s="328"/>
    </row>
    <row r="101" spans="1:4">
      <c r="A101" s="63">
        <v>4</v>
      </c>
      <c r="B101" s="296" t="s">
        <v>154</v>
      </c>
      <c r="C101" s="297"/>
      <c r="D101" s="35" t="s">
        <v>74</v>
      </c>
    </row>
    <row r="102" spans="1:4">
      <c r="A102" s="64" t="s">
        <v>140</v>
      </c>
      <c r="B102" s="308" t="s">
        <v>141</v>
      </c>
      <c r="C102" s="309"/>
      <c r="D102" s="44">
        <f>D92</f>
        <v>400.53532184159997</v>
      </c>
    </row>
    <row r="103" spans="1:4" ht="12.75" hidden="1" customHeight="1">
      <c r="A103" s="64" t="s">
        <v>150</v>
      </c>
      <c r="B103" s="42" t="s">
        <v>155</v>
      </c>
      <c r="C103" s="42"/>
      <c r="D103" s="57">
        <f>C98</f>
        <v>0</v>
      </c>
    </row>
    <row r="104" spans="1:4">
      <c r="A104" s="333" t="s">
        <v>87</v>
      </c>
      <c r="B104" s="334"/>
      <c r="C104" s="335"/>
      <c r="D104" s="46">
        <f>SUM(D102:D103)</f>
        <v>400.53532184159997</v>
      </c>
    </row>
    <row r="106" spans="1:4" ht="14.45" customHeight="1">
      <c r="A106" s="328" t="s">
        <v>156</v>
      </c>
      <c r="B106" s="328"/>
      <c r="C106" s="328"/>
      <c r="D106" s="328"/>
    </row>
    <row r="107" spans="1:4">
      <c r="A107" s="69">
        <v>5</v>
      </c>
      <c r="B107" s="305" t="s">
        <v>157</v>
      </c>
      <c r="C107" s="307"/>
      <c r="D107" s="33" t="s">
        <v>74</v>
      </c>
    </row>
    <row r="108" spans="1:4">
      <c r="A108" s="64" t="s">
        <v>75</v>
      </c>
      <c r="B108" s="308" t="s">
        <v>158</v>
      </c>
      <c r="C108" s="309"/>
      <c r="D108" s="59">
        <f>'TABELA 4 Uniformes e EPIS'!$E$29</f>
        <v>97.691666666666663</v>
      </c>
    </row>
    <row r="109" spans="1:4">
      <c r="A109" s="64" t="s">
        <v>77</v>
      </c>
      <c r="B109" s="308" t="s">
        <v>207</v>
      </c>
      <c r="C109" s="309"/>
      <c r="D109" s="59">
        <f>'TABELA 4 Uniformes e EPIS'!$E$48+'TABELA 4 Uniformes e EPIS'!$E$83+'TABELA 5 - Ferramentas'!$I$145</f>
        <v>251.65369565217389</v>
      </c>
    </row>
    <row r="110" spans="1:4">
      <c r="A110" s="64" t="s">
        <v>80</v>
      </c>
      <c r="B110" s="308" t="s">
        <v>160</v>
      </c>
      <c r="C110" s="309"/>
      <c r="D110" s="44">
        <v>0</v>
      </c>
    </row>
    <row r="111" spans="1:4">
      <c r="A111" s="64" t="s">
        <v>81</v>
      </c>
      <c r="B111" s="308" t="s">
        <v>86</v>
      </c>
      <c r="C111" s="309"/>
      <c r="D111" s="44">
        <v>0</v>
      </c>
    </row>
    <row r="112" spans="1:4">
      <c r="A112" s="333" t="s">
        <v>87</v>
      </c>
      <c r="B112" s="334"/>
      <c r="C112" s="335"/>
      <c r="D112" s="46">
        <f>SUM(D108:D111)</f>
        <v>349.34536231884056</v>
      </c>
    </row>
    <row r="113" spans="1:4" ht="12.75" customHeight="1">
      <c r="A113" s="319" t="s">
        <v>161</v>
      </c>
      <c r="B113" s="319"/>
      <c r="C113" s="319"/>
      <c r="D113" s="319"/>
    </row>
    <row r="114" spans="1:4" ht="12.75" customHeight="1"/>
    <row r="115" spans="1:4" ht="14.45" customHeight="1">
      <c r="A115" s="328" t="s">
        <v>162</v>
      </c>
      <c r="B115" s="328"/>
      <c r="C115" s="328"/>
      <c r="D115" s="328"/>
    </row>
    <row r="116" spans="1:4" ht="25.5" customHeight="1">
      <c r="A116" s="336" t="s">
        <v>163</v>
      </c>
      <c r="B116" s="337"/>
      <c r="C116" s="338" t="s">
        <v>545</v>
      </c>
      <c r="D116" s="339"/>
    </row>
    <row r="117" spans="1:4" ht="12.75" customHeight="1">
      <c r="A117" s="63">
        <v>6</v>
      </c>
      <c r="B117" s="35" t="s">
        <v>164</v>
      </c>
      <c r="C117" s="35" t="s">
        <v>91</v>
      </c>
      <c r="D117" s="63" t="s">
        <v>74</v>
      </c>
    </row>
    <row r="118" spans="1:4">
      <c r="A118" s="64" t="s">
        <v>75</v>
      </c>
      <c r="B118" s="42" t="s">
        <v>165</v>
      </c>
      <c r="C118" s="191">
        <v>0.05</v>
      </c>
      <c r="D118" s="192">
        <f>$C118*D$138</f>
        <v>320.68326953807082</v>
      </c>
    </row>
    <row r="119" spans="1:4">
      <c r="A119" s="64" t="s">
        <v>77</v>
      </c>
      <c r="B119" s="42" t="s">
        <v>166</v>
      </c>
      <c r="C119" s="191">
        <v>6.7900000000000002E-2</v>
      </c>
      <c r="D119" s="192">
        <f>$C119*(D$138+D118)</f>
        <v>457.26227403433518</v>
      </c>
    </row>
    <row r="120" spans="1:4">
      <c r="A120" s="187" t="s">
        <v>80</v>
      </c>
      <c r="B120" s="188" t="s">
        <v>167</v>
      </c>
      <c r="C120" s="193">
        <f>SUM(C121:C123)</f>
        <v>0.14250000000000002</v>
      </c>
      <c r="D120" s="192">
        <f>(D$138+D$119+D$118)*($C120/IF($C116="Lucro presumido",91.45%,85.75%))</f>
        <v>1195.1073564344836</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333" t="s">
        <v>87</v>
      </c>
      <c r="B125" s="335"/>
      <c r="C125" s="197">
        <f>SUM(C118:C120)+(C124)</f>
        <v>0.26040000000000002</v>
      </c>
      <c r="D125" s="199">
        <f>SUM(D118:D124)</f>
        <v>1973.0529000068896</v>
      </c>
    </row>
    <row r="126" spans="1:4" ht="19.149999999999999" customHeight="1">
      <c r="A126" s="319" t="s">
        <v>175</v>
      </c>
      <c r="B126" s="319"/>
      <c r="C126" s="319"/>
      <c r="D126" s="319"/>
    </row>
    <row r="127" spans="1:4" ht="31.9" customHeight="1">
      <c r="A127" s="301" t="s">
        <v>176</v>
      </c>
      <c r="B127" s="301"/>
      <c r="C127" s="301"/>
      <c r="D127" s="301"/>
    </row>
    <row r="128" spans="1:4" ht="12.75" customHeight="1">
      <c r="A128" s="293" t="s">
        <v>562</v>
      </c>
      <c r="B128" s="293"/>
      <c r="C128" s="293"/>
      <c r="D128" s="293"/>
    </row>
    <row r="129" spans="1:4" ht="27" customHeight="1">
      <c r="A129" s="304" t="s">
        <v>561</v>
      </c>
      <c r="B129" s="304"/>
      <c r="C129" s="304"/>
      <c r="D129" s="304"/>
    </row>
    <row r="130" spans="1:4" ht="12.75" customHeight="1"/>
    <row r="131" spans="1:4" ht="14.45" customHeight="1">
      <c r="A131" s="328" t="s">
        <v>177</v>
      </c>
      <c r="B131" s="328"/>
      <c r="C131" s="328"/>
      <c r="D131" s="328"/>
    </row>
    <row r="132" spans="1:4">
      <c r="A132" s="329" t="s">
        <v>178</v>
      </c>
      <c r="B132" s="330"/>
      <c r="C132" s="331"/>
      <c r="D132" s="33" t="s">
        <v>179</v>
      </c>
    </row>
    <row r="133" spans="1:4">
      <c r="A133" s="36" t="s">
        <v>75</v>
      </c>
      <c r="B133" s="332" t="s">
        <v>72</v>
      </c>
      <c r="C133" s="276"/>
      <c r="D133" s="44">
        <f>D19</f>
        <v>2999.48</v>
      </c>
    </row>
    <row r="134" spans="1:4" ht="30" customHeight="1">
      <c r="A134" s="36" t="s">
        <v>77</v>
      </c>
      <c r="B134" s="332" t="s">
        <v>89</v>
      </c>
      <c r="C134" s="276"/>
      <c r="D134" s="44">
        <f>D66</f>
        <v>2442.3422231679997</v>
      </c>
    </row>
    <row r="135" spans="1:4" ht="12.75" customHeight="1">
      <c r="A135" s="36" t="s">
        <v>80</v>
      </c>
      <c r="B135" s="332" t="s">
        <v>126</v>
      </c>
      <c r="C135" s="276"/>
      <c r="D135" s="44">
        <f>D77</f>
        <v>221.962483432976</v>
      </c>
    </row>
    <row r="136" spans="1:4" ht="30" customHeight="1">
      <c r="A136" s="36" t="s">
        <v>81</v>
      </c>
      <c r="B136" s="332" t="s">
        <v>137</v>
      </c>
      <c r="C136" s="276"/>
      <c r="D136" s="44">
        <f>D104</f>
        <v>400.53532184159997</v>
      </c>
    </row>
    <row r="137" spans="1:4" ht="12.75" customHeight="1">
      <c r="A137" s="36" t="s">
        <v>83</v>
      </c>
      <c r="B137" s="332" t="s">
        <v>156</v>
      </c>
      <c r="C137" s="276"/>
      <c r="D137" s="44">
        <f>D112</f>
        <v>349.34536231884056</v>
      </c>
    </row>
    <row r="138" spans="1:4">
      <c r="A138" s="333" t="s">
        <v>180</v>
      </c>
      <c r="B138" s="334"/>
      <c r="C138" s="335"/>
      <c r="D138" s="46">
        <f>SUM(D133:D137)</f>
        <v>6413.6653907614163</v>
      </c>
    </row>
    <row r="139" spans="1:4">
      <c r="A139" s="64" t="s">
        <v>85</v>
      </c>
      <c r="B139" s="308" t="s">
        <v>162</v>
      </c>
      <c r="C139" s="309"/>
      <c r="D139" s="44">
        <f>D125</f>
        <v>1973.0529000068896</v>
      </c>
    </row>
    <row r="140" spans="1:4">
      <c r="A140" s="321" t="s">
        <v>208</v>
      </c>
      <c r="B140" s="321"/>
      <c r="C140" s="322"/>
      <c r="D140" s="72">
        <f>SUM(D138:D139)</f>
        <v>8386.7182907683055</v>
      </c>
    </row>
    <row r="143" spans="1:4" ht="225.6" customHeight="1">
      <c r="A143" s="301" t="s">
        <v>590</v>
      </c>
      <c r="B143" s="301"/>
      <c r="C143" s="301"/>
      <c r="D143" s="301"/>
    </row>
  </sheetData>
  <mergeCells count="83">
    <mergeCell ref="B13:C13"/>
    <mergeCell ref="C7:D7"/>
    <mergeCell ref="C8:D8"/>
    <mergeCell ref="C9:D9"/>
    <mergeCell ref="A11:D11"/>
    <mergeCell ref="B12:C12"/>
    <mergeCell ref="A1:D1"/>
    <mergeCell ref="A3:D3"/>
    <mergeCell ref="C4:D4"/>
    <mergeCell ref="C5:D5"/>
    <mergeCell ref="C6:D6"/>
    <mergeCell ref="A29:D29"/>
    <mergeCell ref="B14:C14"/>
    <mergeCell ref="B15:C15"/>
    <mergeCell ref="B16:C16"/>
    <mergeCell ref="B17:C17"/>
    <mergeCell ref="B18:C18"/>
    <mergeCell ref="A19:C19"/>
    <mergeCell ref="A20:D20"/>
    <mergeCell ref="A22:D22"/>
    <mergeCell ref="A23:D23"/>
    <mergeCell ref="A27:B27"/>
    <mergeCell ref="A28:D28"/>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27:D127"/>
    <mergeCell ref="A129:D129"/>
    <mergeCell ref="A131:D131"/>
    <mergeCell ref="A128:D128"/>
    <mergeCell ref="A143:D143"/>
    <mergeCell ref="A132:C132"/>
    <mergeCell ref="B133:C133"/>
    <mergeCell ref="B134:C134"/>
    <mergeCell ref="B135:C135"/>
    <mergeCell ref="B136:C136"/>
    <mergeCell ref="B137:C137"/>
    <mergeCell ref="A138:C138"/>
    <mergeCell ref="B139:C139"/>
    <mergeCell ref="A140:C140"/>
  </mergeCells>
  <dataValidations count="1">
    <dataValidation type="list" allowBlank="1" showInputMessage="1" showErrorMessage="1" sqref="C116:D116" xr:uid="{00000000-0002-0000-0E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9">
    <tabColor theme="7" tint="0.39997558519241921"/>
    <pageSetUpPr fitToPage="1"/>
  </sheetPr>
  <dimension ref="A1:D142"/>
  <sheetViews>
    <sheetView showGridLines="0" zoomScaleNormal="100" workbookViewId="0">
      <selection activeCell="H18" sqref="H18"/>
    </sheetView>
  </sheetViews>
  <sheetFormatPr defaultColWidth="8.7109375" defaultRowHeight="12.75"/>
  <cols>
    <col min="1" max="1" width="8.85546875" style="32" bestFit="1" customWidth="1"/>
    <col min="2" max="2" width="46.42578125" style="32" customWidth="1"/>
    <col min="3" max="3" width="17.7109375" style="32" customWidth="1"/>
    <col min="4" max="4" width="16.85546875" style="32" customWidth="1"/>
    <col min="5" max="16384" width="8.7109375" style="32"/>
  </cols>
  <sheetData>
    <row r="1" spans="1:4">
      <c r="A1" s="277" t="s">
        <v>62</v>
      </c>
      <c r="B1" s="277"/>
      <c r="C1" s="277"/>
      <c r="D1" s="277"/>
    </row>
    <row r="3" spans="1:4">
      <c r="A3" s="292" t="s">
        <v>63</v>
      </c>
      <c r="B3" s="292"/>
      <c r="C3" s="292"/>
      <c r="D3" s="292"/>
    </row>
    <row r="4" spans="1:4" ht="25.5">
      <c r="A4" s="35">
        <v>1</v>
      </c>
      <c r="B4" s="182" t="s">
        <v>64</v>
      </c>
      <c r="C4" s="299" t="s">
        <v>209</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c r="A8" s="34">
        <v>5</v>
      </c>
      <c r="B8" s="26" t="s">
        <v>69</v>
      </c>
      <c r="C8" s="289">
        <v>45047</v>
      </c>
      <c r="D8" s="290"/>
    </row>
    <row r="9" spans="1:4" ht="27.6" customHeight="1">
      <c r="A9" s="34">
        <v>6</v>
      </c>
      <c r="B9" s="26" t="s">
        <v>70</v>
      </c>
      <c r="C9" s="291" t="s">
        <v>594</v>
      </c>
      <c r="D9" s="290"/>
    </row>
    <row r="11" spans="1:4">
      <c r="A11" s="277" t="s">
        <v>72</v>
      </c>
      <c r="B11" s="277"/>
      <c r="C11" s="277"/>
      <c r="D11" s="277"/>
    </row>
    <row r="12" spans="1:4">
      <c r="A12" s="35">
        <v>1</v>
      </c>
      <c r="B12" s="292" t="s">
        <v>73</v>
      </c>
      <c r="C12" s="292"/>
      <c r="D12" s="35" t="s">
        <v>74</v>
      </c>
    </row>
    <row r="13" spans="1:4">
      <c r="A13" s="36" t="s">
        <v>75</v>
      </c>
      <c r="B13" s="274" t="s">
        <v>76</v>
      </c>
      <c r="C13" s="274"/>
      <c r="D13" s="38">
        <v>2168.58</v>
      </c>
    </row>
    <row r="14" spans="1:4">
      <c r="A14" s="36" t="s">
        <v>77</v>
      </c>
      <c r="B14" s="274" t="s">
        <v>78</v>
      </c>
      <c r="C14" s="274"/>
      <c r="D14" s="39" t="s">
        <v>79</v>
      </c>
    </row>
    <row r="15" spans="1:4">
      <c r="A15" s="36" t="s">
        <v>80</v>
      </c>
      <c r="B15" s="274" t="s">
        <v>185</v>
      </c>
      <c r="C15" s="274"/>
      <c r="D15" s="39"/>
    </row>
    <row r="16" spans="1:4">
      <c r="A16" s="36" t="s">
        <v>81</v>
      </c>
      <c r="B16" s="274" t="s">
        <v>82</v>
      </c>
      <c r="C16" s="274"/>
      <c r="D16" s="39" t="s">
        <v>79</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2168.58</v>
      </c>
    </row>
    <row r="20" spans="1:4" ht="24" customHeight="1">
      <c r="A20" s="295" t="s">
        <v>88</v>
      </c>
      <c r="B20" s="295"/>
      <c r="C20" s="295"/>
      <c r="D20" s="295"/>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197.12392199999999</v>
      </c>
    </row>
    <row r="26" spans="1:4">
      <c r="A26" s="36" t="s">
        <v>77</v>
      </c>
      <c r="B26" s="42" t="s">
        <v>589</v>
      </c>
      <c r="C26" s="43">
        <v>3.0300000000000001E-2</v>
      </c>
      <c r="D26" s="44">
        <f>C26*$D$19</f>
        <v>65.707973999999993</v>
      </c>
    </row>
    <row r="27" spans="1:4">
      <c r="A27" s="294" t="s">
        <v>87</v>
      </c>
      <c r="B27" s="294"/>
      <c r="C27" s="45">
        <f t="shared" ref="C27:D27" si="0">SUM(C25:C26)</f>
        <v>0.1212</v>
      </c>
      <c r="D27" s="46">
        <f t="shared" si="0"/>
        <v>262.83189599999997</v>
      </c>
    </row>
    <row r="28" spans="1:4" ht="39" customHeight="1">
      <c r="A28" s="293" t="s">
        <v>93</v>
      </c>
      <c r="B28" s="293"/>
      <c r="C28" s="293"/>
      <c r="D28" s="293"/>
    </row>
    <row r="29" spans="1:4" ht="24.75" customHeight="1">
      <c r="A29" s="293" t="s">
        <v>94</v>
      </c>
      <c r="B29" s="293"/>
      <c r="C29" s="293"/>
      <c r="D29" s="293"/>
    </row>
    <row r="30" spans="1:4" ht="40.5" customHeight="1">
      <c r="A30" s="293" t="s">
        <v>192</v>
      </c>
      <c r="B30" s="293"/>
      <c r="C30" s="293"/>
      <c r="D30" s="293"/>
    </row>
    <row r="32" spans="1:4" ht="33"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486.28237920000004</v>
      </c>
    </row>
    <row r="35" spans="1:4">
      <c r="A35" s="36" t="s">
        <v>77</v>
      </c>
      <c r="B35" s="42" t="s">
        <v>100</v>
      </c>
      <c r="C35" s="48">
        <v>2.5000000000000001E-2</v>
      </c>
      <c r="D35" s="44">
        <f>$C35*(D$19+D$27)</f>
        <v>60.785297400000005</v>
      </c>
    </row>
    <row r="36" spans="1:4">
      <c r="A36" s="36" t="s">
        <v>80</v>
      </c>
      <c r="B36" s="42" t="s">
        <v>101</v>
      </c>
      <c r="C36" s="48">
        <v>0.03</v>
      </c>
      <c r="D36" s="44">
        <f t="shared" ref="D36:D40" si="1">C36*($D$19+$D$27)</f>
        <v>72.942356880000006</v>
      </c>
    </row>
    <row r="37" spans="1:4">
      <c r="A37" s="36" t="s">
        <v>81</v>
      </c>
      <c r="B37" s="42" t="s">
        <v>102</v>
      </c>
      <c r="C37" s="48">
        <v>1.4999999999999999E-2</v>
      </c>
      <c r="D37" s="44">
        <f t="shared" si="1"/>
        <v>36.471178440000003</v>
      </c>
    </row>
    <row r="38" spans="1:4">
      <c r="A38" s="36" t="s">
        <v>83</v>
      </c>
      <c r="B38" s="42" t="s">
        <v>103</v>
      </c>
      <c r="C38" s="48">
        <v>0.01</v>
      </c>
      <c r="D38" s="44">
        <f t="shared" si="1"/>
        <v>24.314118960000002</v>
      </c>
    </row>
    <row r="39" spans="1:4">
      <c r="A39" s="36" t="s">
        <v>85</v>
      </c>
      <c r="B39" s="42" t="s">
        <v>104</v>
      </c>
      <c r="C39" s="48">
        <v>6.0000000000000001E-3</v>
      </c>
      <c r="D39" s="44">
        <f t="shared" si="1"/>
        <v>14.588471376000001</v>
      </c>
    </row>
    <row r="40" spans="1:4">
      <c r="A40" s="36" t="s">
        <v>105</v>
      </c>
      <c r="B40" s="42" t="s">
        <v>106</v>
      </c>
      <c r="C40" s="48">
        <v>2E-3</v>
      </c>
      <c r="D40" s="44">
        <f t="shared" si="1"/>
        <v>4.8628237920000004</v>
      </c>
    </row>
    <row r="41" spans="1:4">
      <c r="A41" s="36" t="s">
        <v>107</v>
      </c>
      <c r="B41" s="42" t="s">
        <v>108</v>
      </c>
      <c r="C41" s="48">
        <v>0.08</v>
      </c>
      <c r="D41" s="44">
        <f>C41*($D$19+$D$27)</f>
        <v>194.51295168000001</v>
      </c>
    </row>
    <row r="42" spans="1:4">
      <c r="A42" s="36" t="s">
        <v>24</v>
      </c>
      <c r="B42" s="42" t="s">
        <v>109</v>
      </c>
      <c r="C42" s="48">
        <v>0</v>
      </c>
      <c r="D42" s="44">
        <f>C42*($D$19+$D$27)</f>
        <v>0</v>
      </c>
    </row>
    <row r="43" spans="1:4">
      <c r="A43" s="313" t="s">
        <v>87</v>
      </c>
      <c r="B43" s="313"/>
      <c r="C43" s="49">
        <f>SUM(C34:C42)</f>
        <v>0.36800000000000005</v>
      </c>
      <c r="D43" s="50">
        <f>SUM(D34:D42)</f>
        <v>894.75957772800007</v>
      </c>
    </row>
    <row r="44" spans="1:4" ht="25.5" customHeight="1">
      <c r="A44" s="293" t="s">
        <v>110</v>
      </c>
      <c r="B44" s="293"/>
      <c r="C44" s="293"/>
      <c r="D44" s="293"/>
    </row>
    <row r="45" spans="1:4" ht="26.25" customHeight="1">
      <c r="A45" s="293" t="s">
        <v>111</v>
      </c>
      <c r="B45" s="293"/>
      <c r="C45" s="293"/>
      <c r="D45" s="293"/>
    </row>
    <row r="46" spans="1:4" ht="25.5" customHeight="1">
      <c r="A46" s="293" t="s">
        <v>112</v>
      </c>
      <c r="B46" s="293"/>
      <c r="C46" s="293"/>
      <c r="D46" s="293"/>
    </row>
    <row r="47" spans="1:4" ht="14.25" customHeight="1">
      <c r="A47" s="293" t="s">
        <v>113</v>
      </c>
      <c r="B47" s="293"/>
      <c r="C47" s="293"/>
      <c r="D47" s="293"/>
    </row>
    <row r="48" spans="1:4" ht="14.25" customHeight="1">
      <c r="A48" s="293" t="s">
        <v>114</v>
      </c>
      <c r="B48" s="293"/>
      <c r="C48" s="293"/>
      <c r="D48" s="293"/>
    </row>
    <row r="50" spans="1:4" ht="15" customHeight="1">
      <c r="A50" s="299" t="s">
        <v>115</v>
      </c>
      <c r="B50" s="299"/>
      <c r="C50" s="299"/>
      <c r="D50" s="299"/>
    </row>
    <row r="51" spans="1:4">
      <c r="A51" s="33" t="s">
        <v>116</v>
      </c>
      <c r="B51" s="33" t="s">
        <v>117</v>
      </c>
      <c r="C51" s="33" t="s">
        <v>118</v>
      </c>
      <c r="D51" s="33" t="s">
        <v>74</v>
      </c>
    </row>
    <row r="52" spans="1:4" ht="25.5">
      <c r="A52" s="36" t="s">
        <v>75</v>
      </c>
      <c r="B52" s="26" t="s">
        <v>119</v>
      </c>
      <c r="C52" s="51">
        <v>22</v>
      </c>
      <c r="D52" s="44">
        <f>ROUND((((3.8+5.5)*2*C52)-6%*D13),2)</f>
        <v>279.08999999999997</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891.07499999999993</v>
      </c>
    </row>
    <row r="58" spans="1:4" ht="28.5" customHeight="1">
      <c r="A58" s="293" t="s">
        <v>122</v>
      </c>
      <c r="B58" s="293"/>
      <c r="C58" s="293"/>
      <c r="D58" s="293"/>
    </row>
    <row r="59" spans="1:4" ht="19.5" customHeight="1">
      <c r="A59" s="293" t="s">
        <v>123</v>
      </c>
      <c r="B59" s="293"/>
      <c r="C59" s="293"/>
      <c r="D59" s="293"/>
    </row>
    <row r="61" spans="1:4" ht="15" customHeight="1">
      <c r="A61" s="277" t="s">
        <v>124</v>
      </c>
      <c r="B61" s="277"/>
      <c r="C61" s="277"/>
      <c r="D61" s="277"/>
    </row>
    <row r="62" spans="1:4">
      <c r="A62" s="35">
        <v>2</v>
      </c>
      <c r="B62" s="294" t="s">
        <v>125</v>
      </c>
      <c r="C62" s="294"/>
      <c r="D62" s="35" t="s">
        <v>74</v>
      </c>
    </row>
    <row r="63" spans="1:4" ht="30" customHeight="1">
      <c r="A63" s="36" t="s">
        <v>90</v>
      </c>
      <c r="B63" s="275" t="s">
        <v>595</v>
      </c>
      <c r="C63" s="275"/>
      <c r="D63" s="44">
        <f>D27</f>
        <v>262.83189599999997</v>
      </c>
    </row>
    <row r="64" spans="1:4">
      <c r="A64" s="36" t="s">
        <v>97</v>
      </c>
      <c r="B64" s="274" t="s">
        <v>98</v>
      </c>
      <c r="C64" s="274"/>
      <c r="D64" s="44">
        <f>D43</f>
        <v>894.75957772800007</v>
      </c>
    </row>
    <row r="65" spans="1:4">
      <c r="A65" s="36" t="s">
        <v>116</v>
      </c>
      <c r="B65" s="274" t="s">
        <v>117</v>
      </c>
      <c r="C65" s="274"/>
      <c r="D65" s="44">
        <f>D57</f>
        <v>891.07499999999993</v>
      </c>
    </row>
    <row r="66" spans="1:4">
      <c r="A66" s="296" t="s">
        <v>87</v>
      </c>
      <c r="B66" s="311"/>
      <c r="C66" s="297"/>
      <c r="D66" s="46">
        <f>SUM(D63:D65)</f>
        <v>2048.6664737279998</v>
      </c>
    </row>
    <row r="68" spans="1:4" ht="14.45" customHeight="1">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10.211929963199999</v>
      </c>
    </row>
    <row r="71" spans="1:4">
      <c r="A71" s="36" t="s">
        <v>77</v>
      </c>
      <c r="B71" s="26" t="s">
        <v>129</v>
      </c>
      <c r="C71" s="48">
        <v>2.9999999999999997E-4</v>
      </c>
      <c r="D71" s="44">
        <f t="shared" si="2"/>
        <v>0.72942356879999992</v>
      </c>
    </row>
    <row r="72" spans="1:4" ht="25.5">
      <c r="A72" s="36" t="s">
        <v>80</v>
      </c>
      <c r="B72" s="26" t="s">
        <v>130</v>
      </c>
      <c r="C72" s="53">
        <v>9.9999999999999995E-7</v>
      </c>
      <c r="D72" s="44">
        <f t="shared" si="2"/>
        <v>2.431411896E-3</v>
      </c>
    </row>
    <row r="73" spans="1:4">
      <c r="A73" s="36" t="s">
        <v>81</v>
      </c>
      <c r="B73" s="26" t="s">
        <v>131</v>
      </c>
      <c r="C73" s="54">
        <v>1.9400000000000001E-2</v>
      </c>
      <c r="D73" s="44">
        <f>C73*($D$19+$D$27)</f>
        <v>47.169390782400001</v>
      </c>
    </row>
    <row r="74" spans="1:4" ht="25.5">
      <c r="A74" s="36" t="s">
        <v>83</v>
      </c>
      <c r="B74" s="26" t="s">
        <v>132</v>
      </c>
      <c r="C74" s="48">
        <v>7.1000000000000004E-3</v>
      </c>
      <c r="D74" s="44">
        <f>C74*($D$19+$D$27)</f>
        <v>17.263024461600001</v>
      </c>
    </row>
    <row r="75" spans="1:4" ht="25.5">
      <c r="A75" s="36" t="s">
        <v>85</v>
      </c>
      <c r="B75" s="26" t="s">
        <v>133</v>
      </c>
      <c r="C75" s="48">
        <v>1E-4</v>
      </c>
      <c r="D75" s="44">
        <f t="shared" si="2"/>
        <v>0.24314118960000003</v>
      </c>
    </row>
    <row r="76" spans="1:4">
      <c r="A76" s="55" t="s">
        <v>105</v>
      </c>
      <c r="B76" s="56" t="s">
        <v>134</v>
      </c>
      <c r="C76" s="48">
        <v>3.49E-2</v>
      </c>
      <c r="D76" s="44">
        <f>C76*($D$19+$D$27)</f>
        <v>84.856275170400011</v>
      </c>
    </row>
    <row r="77" spans="1:4">
      <c r="A77" s="296" t="s">
        <v>87</v>
      </c>
      <c r="B77" s="297"/>
      <c r="C77" s="45">
        <f t="shared" ref="C77:D77" si="3">SUM(C70:C76)</f>
        <v>6.6001000000000004E-2</v>
      </c>
      <c r="D77" s="46">
        <f t="shared" si="3"/>
        <v>160.47561654789601</v>
      </c>
    </row>
    <row r="78" spans="1:4" ht="26.25" customHeight="1">
      <c r="A78" s="293" t="s">
        <v>135</v>
      </c>
      <c r="B78" s="293"/>
      <c r="C78" s="293"/>
      <c r="D78" s="293"/>
    </row>
    <row r="79" spans="1:4" ht="17.25" customHeight="1">
      <c r="A79" s="293" t="s">
        <v>136</v>
      </c>
      <c r="B79" s="293"/>
      <c r="C79" s="293"/>
      <c r="D79" s="293"/>
    </row>
    <row r="81" spans="1:4" ht="23.1" customHeight="1">
      <c r="A81" s="277" t="s">
        <v>137</v>
      </c>
      <c r="B81" s="277"/>
      <c r="C81" s="277"/>
      <c r="D81" s="277"/>
    </row>
    <row r="82" spans="1:4" ht="39.75" customHeight="1">
      <c r="A82" s="275" t="s">
        <v>138</v>
      </c>
      <c r="B82" s="275"/>
      <c r="C82" s="275"/>
      <c r="D82" s="275"/>
    </row>
    <row r="84" spans="1:4" ht="16.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C86*($D$19+$D$27)</f>
        <v>221.01534134639999</v>
      </c>
    </row>
    <row r="87" spans="1:4">
      <c r="A87" s="36" t="s">
        <v>77</v>
      </c>
      <c r="B87" s="26" t="s">
        <v>143</v>
      </c>
      <c r="C87" s="48">
        <v>8.2000000000000007E-3</v>
      </c>
      <c r="D87" s="44">
        <f t="shared" ref="D87:D91" si="4">C87*($D$19+$D$27)</f>
        <v>19.937577547200004</v>
      </c>
    </row>
    <row r="88" spans="1:4">
      <c r="A88" s="36" t="s">
        <v>80</v>
      </c>
      <c r="B88" s="26" t="s">
        <v>144</v>
      </c>
      <c r="C88" s="48">
        <v>2.0000000000000001E-4</v>
      </c>
      <c r="D88" s="44">
        <f t="shared" si="4"/>
        <v>0.48628237920000006</v>
      </c>
    </row>
    <row r="89" spans="1:4" ht="25.5">
      <c r="A89" s="36" t="s">
        <v>81</v>
      </c>
      <c r="B89" s="26" t="s">
        <v>145</v>
      </c>
      <c r="C89" s="48">
        <v>2.9999999999999997E-4</v>
      </c>
      <c r="D89" s="44">
        <f t="shared" si="4"/>
        <v>0.72942356879999992</v>
      </c>
    </row>
    <row r="90" spans="1:4">
      <c r="A90" s="36" t="s">
        <v>83</v>
      </c>
      <c r="B90" s="26" t="s">
        <v>146</v>
      </c>
      <c r="C90" s="48">
        <v>2.8999999999999998E-3</v>
      </c>
      <c r="D90" s="44">
        <f t="shared" si="4"/>
        <v>7.0510944983999995</v>
      </c>
    </row>
    <row r="91" spans="1:4" ht="25.5">
      <c r="A91" s="36" t="s">
        <v>85</v>
      </c>
      <c r="B91" s="26" t="s">
        <v>147</v>
      </c>
      <c r="C91" s="48">
        <v>1.66E-2</v>
      </c>
      <c r="D91" s="44">
        <f t="shared" si="4"/>
        <v>40.361437473599999</v>
      </c>
    </row>
    <row r="92" spans="1:4">
      <c r="A92" s="296" t="s">
        <v>87</v>
      </c>
      <c r="B92" s="297"/>
      <c r="C92" s="45">
        <f t="shared" ref="C92" si="5">SUM(C86:C91)</f>
        <v>0.1191</v>
      </c>
      <c r="D92" s="46">
        <f>SUM(D86:D91)</f>
        <v>289.58115681359999</v>
      </c>
    </row>
    <row r="93" spans="1:4" ht="30.75" customHeight="1">
      <c r="A93" s="293" t="s">
        <v>148</v>
      </c>
      <c r="B93" s="293"/>
      <c r="C93" s="293"/>
      <c r="D93" s="293"/>
    </row>
    <row r="95" spans="1:4" ht="12.75" hidden="1" customHeight="1">
      <c r="A95" s="300" t="s">
        <v>149</v>
      </c>
      <c r="B95" s="300"/>
      <c r="C95" s="300"/>
      <c r="D95" s="300"/>
    </row>
    <row r="96" spans="1:4" ht="12.75" hidden="1" customHeight="1">
      <c r="A96" s="33" t="s">
        <v>150</v>
      </c>
      <c r="B96" s="33" t="s">
        <v>151</v>
      </c>
      <c r="C96" s="33" t="s">
        <v>74</v>
      </c>
      <c r="D96" s="33"/>
    </row>
    <row r="97" spans="1:4" ht="25.5" hidden="1" customHeight="1">
      <c r="A97" s="36" t="s">
        <v>75</v>
      </c>
      <c r="B97" s="26" t="s">
        <v>152</v>
      </c>
      <c r="C97" s="57"/>
      <c r="D97" s="58"/>
    </row>
    <row r="98" spans="1:4" ht="12.75" hidden="1" customHeight="1">
      <c r="A98" s="305" t="s">
        <v>87</v>
      </c>
      <c r="B98" s="307"/>
      <c r="C98" s="44">
        <f>SUM(C97)</f>
        <v>0</v>
      </c>
      <c r="D98" s="58"/>
    </row>
    <row r="99" spans="1:4" ht="12.75" hidden="1" customHeight="1"/>
    <row r="100" spans="1:4" ht="18.600000000000001" customHeight="1">
      <c r="A100" s="277" t="s">
        <v>153</v>
      </c>
      <c r="B100" s="277"/>
      <c r="C100" s="277"/>
      <c r="D100" s="277"/>
    </row>
    <row r="101" spans="1:4">
      <c r="A101" s="35">
        <v>4</v>
      </c>
      <c r="B101" s="294" t="s">
        <v>154</v>
      </c>
      <c r="C101" s="294"/>
      <c r="D101" s="35" t="s">
        <v>74</v>
      </c>
    </row>
    <row r="102" spans="1:4">
      <c r="A102" s="36" t="s">
        <v>140</v>
      </c>
      <c r="B102" s="274" t="s">
        <v>141</v>
      </c>
      <c r="C102" s="274"/>
      <c r="D102" s="44">
        <f>D92</f>
        <v>289.58115681359999</v>
      </c>
    </row>
    <row r="103" spans="1:4" ht="12.75" hidden="1" customHeight="1">
      <c r="A103" s="36" t="s">
        <v>150</v>
      </c>
      <c r="B103" s="42" t="s">
        <v>155</v>
      </c>
      <c r="C103" s="42"/>
      <c r="D103" s="57">
        <f>C98</f>
        <v>0</v>
      </c>
    </row>
    <row r="104" spans="1:4">
      <c r="A104" s="294" t="s">
        <v>87</v>
      </c>
      <c r="B104" s="294"/>
      <c r="C104" s="294"/>
      <c r="D104" s="46">
        <f>SUM(D102:D103)</f>
        <v>289.58115681359999</v>
      </c>
    </row>
    <row r="106" spans="1:4" ht="14.45" customHeight="1">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EPIS'!$E$102+'TABELA 5 - Ferramentas'!$I$145</f>
        <v>54.283695652173897</v>
      </c>
    </row>
    <row r="110" spans="1:4">
      <c r="A110" s="36" t="s">
        <v>80</v>
      </c>
      <c r="B110" s="274" t="s">
        <v>160</v>
      </c>
      <c r="C110" s="274"/>
      <c r="D110" s="60" t="s">
        <v>79</v>
      </c>
    </row>
    <row r="111" spans="1:4">
      <c r="A111" s="36" t="s">
        <v>81</v>
      </c>
      <c r="B111" s="308" t="s">
        <v>86</v>
      </c>
      <c r="C111" s="309"/>
      <c r="D111" s="60" t="s">
        <v>79</v>
      </c>
    </row>
    <row r="112" spans="1:4">
      <c r="A112" s="294" t="s">
        <v>87</v>
      </c>
      <c r="B112" s="294"/>
      <c r="C112" s="294"/>
      <c r="D112" s="46">
        <f>SUM(D108:D111)</f>
        <v>151.97536231884055</v>
      </c>
    </row>
    <row r="113" spans="1:4" ht="12.75" customHeight="1">
      <c r="A113" s="293" t="s">
        <v>161</v>
      </c>
      <c r="B113" s="293"/>
      <c r="C113" s="293"/>
      <c r="D113" s="293"/>
    </row>
    <row r="115" spans="1:4" ht="14.45" customHeight="1">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240.96393047041681</v>
      </c>
    </row>
    <row r="119" spans="1:4">
      <c r="A119" s="36" t="s">
        <v>77</v>
      </c>
      <c r="B119" s="42" t="s">
        <v>166</v>
      </c>
      <c r="C119" s="191">
        <v>6.7900000000000002E-2</v>
      </c>
      <c r="D119" s="192">
        <f>$C119*(D$138+D118)</f>
        <v>343.59046845776732</v>
      </c>
    </row>
    <row r="120" spans="1:4">
      <c r="A120" s="187" t="s">
        <v>80</v>
      </c>
      <c r="B120" s="188" t="s">
        <v>167</v>
      </c>
      <c r="C120" s="193">
        <f>SUM(C121:C123)</f>
        <v>0.14250000000000002</v>
      </c>
      <c r="D120" s="192">
        <f>(D$138+D$119+D$118)*($C120/IF($C116="Lucro presumido",91.45%,85.75%))</f>
        <v>898.01306552531094</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1482.5674644534952</v>
      </c>
    </row>
    <row r="126" spans="1:4" ht="19.149999999999999" customHeight="1">
      <c r="A126" s="293" t="s">
        <v>175</v>
      </c>
      <c r="B126" s="293"/>
      <c r="C126" s="293"/>
      <c r="D126" s="293"/>
    </row>
    <row r="127" spans="1:4" ht="27.6" customHeight="1">
      <c r="A127" s="293" t="s">
        <v>176</v>
      </c>
      <c r="B127" s="293"/>
      <c r="C127" s="293"/>
      <c r="D127" s="293"/>
    </row>
    <row r="128" spans="1:4" ht="27.6" customHeight="1">
      <c r="A128" s="293" t="s">
        <v>562</v>
      </c>
      <c r="B128" s="293"/>
      <c r="C128" s="293"/>
      <c r="D128" s="293"/>
    </row>
    <row r="129" spans="1:4" ht="28.15" customHeight="1">
      <c r="A129" s="304" t="s">
        <v>561</v>
      </c>
      <c r="B129" s="304"/>
      <c r="C129" s="304"/>
      <c r="D129" s="304"/>
    </row>
    <row r="131" spans="1:4" ht="14.45" customHeight="1">
      <c r="A131" s="277" t="s">
        <v>177</v>
      </c>
      <c r="B131" s="277"/>
      <c r="C131" s="277"/>
      <c r="D131" s="277"/>
    </row>
    <row r="132" spans="1:4">
      <c r="A132" s="305" t="s">
        <v>178</v>
      </c>
      <c r="B132" s="306"/>
      <c r="C132" s="307"/>
      <c r="D132" s="33" t="s">
        <v>179</v>
      </c>
    </row>
    <row r="133" spans="1:4">
      <c r="A133" s="36" t="s">
        <v>75</v>
      </c>
      <c r="B133" s="275" t="s">
        <v>72</v>
      </c>
      <c r="C133" s="275"/>
      <c r="D133" s="44">
        <f>D19</f>
        <v>2168.58</v>
      </c>
    </row>
    <row r="134" spans="1:4" ht="30" customHeight="1">
      <c r="A134" s="36" t="s">
        <v>77</v>
      </c>
      <c r="B134" s="275" t="s">
        <v>89</v>
      </c>
      <c r="C134" s="275"/>
      <c r="D134" s="44">
        <f>D66</f>
        <v>2048.6664737279998</v>
      </c>
    </row>
    <row r="135" spans="1:4">
      <c r="A135" s="36" t="s">
        <v>80</v>
      </c>
      <c r="B135" s="275" t="s">
        <v>126</v>
      </c>
      <c r="C135" s="275"/>
      <c r="D135" s="44">
        <f>D77</f>
        <v>160.47561654789601</v>
      </c>
    </row>
    <row r="136" spans="1:4" ht="30" customHeight="1">
      <c r="A136" s="36" t="s">
        <v>81</v>
      </c>
      <c r="B136" s="275" t="s">
        <v>137</v>
      </c>
      <c r="C136" s="275"/>
      <c r="D136" s="44">
        <f>D104</f>
        <v>289.58115681359999</v>
      </c>
    </row>
    <row r="137" spans="1:4">
      <c r="A137" s="36" t="s">
        <v>83</v>
      </c>
      <c r="B137" s="275" t="s">
        <v>156</v>
      </c>
      <c r="C137" s="275"/>
      <c r="D137" s="44">
        <f>D112</f>
        <v>151.97536231884055</v>
      </c>
    </row>
    <row r="138" spans="1:4">
      <c r="A138" s="294" t="s">
        <v>180</v>
      </c>
      <c r="B138" s="294"/>
      <c r="C138" s="294"/>
      <c r="D138" s="46">
        <f>SUM(D133:D137)</f>
        <v>4819.2786094083358</v>
      </c>
    </row>
    <row r="139" spans="1:4">
      <c r="A139" s="36" t="s">
        <v>85</v>
      </c>
      <c r="B139" s="274" t="s">
        <v>162</v>
      </c>
      <c r="C139" s="274"/>
      <c r="D139" s="44">
        <f>D125</f>
        <v>1482.5674644534952</v>
      </c>
    </row>
    <row r="140" spans="1:4">
      <c r="A140" s="277" t="s">
        <v>187</v>
      </c>
      <c r="B140" s="277"/>
      <c r="C140" s="277"/>
      <c r="D140" s="62">
        <f>SUM(D138:D139)</f>
        <v>6301.8460738618305</v>
      </c>
    </row>
    <row r="142" spans="1:4" ht="204.6" customHeight="1">
      <c r="A142" s="301" t="s">
        <v>590</v>
      </c>
      <c r="B142" s="301"/>
      <c r="C142" s="301"/>
      <c r="D142" s="301"/>
    </row>
  </sheetData>
  <mergeCells count="83">
    <mergeCell ref="A140:C140"/>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9:D129"/>
    <mergeCell ref="A131:D131"/>
    <mergeCell ref="A132:C132"/>
    <mergeCell ref="A127:D127"/>
    <mergeCell ref="A128:D128"/>
    <mergeCell ref="B109:C109"/>
    <mergeCell ref="A92:B92"/>
    <mergeCell ref="A93:D93"/>
    <mergeCell ref="A95:D95"/>
    <mergeCell ref="A98:B98"/>
    <mergeCell ref="A100:D100"/>
    <mergeCell ref="B101:C101"/>
    <mergeCell ref="B102:C102"/>
    <mergeCell ref="A104:C104"/>
    <mergeCell ref="A106:D106"/>
    <mergeCell ref="B107:C107"/>
    <mergeCell ref="B108:C108"/>
    <mergeCell ref="A77:B77"/>
    <mergeCell ref="A78:D78"/>
    <mergeCell ref="A79:D79"/>
    <mergeCell ref="A81:D81"/>
    <mergeCell ref="A82:D82"/>
    <mergeCell ref="B63:C63"/>
    <mergeCell ref="B64:C64"/>
    <mergeCell ref="B65:C65"/>
    <mergeCell ref="A66:C66"/>
    <mergeCell ref="A68:D68"/>
    <mergeCell ref="B13:C13"/>
    <mergeCell ref="A30:D30"/>
    <mergeCell ref="B15:C15"/>
    <mergeCell ref="B16:C16"/>
    <mergeCell ref="B17:C17"/>
    <mergeCell ref="B18:C18"/>
    <mergeCell ref="A19:C19"/>
    <mergeCell ref="A20:D20"/>
    <mergeCell ref="A22:D22"/>
    <mergeCell ref="A23:D23"/>
    <mergeCell ref="A27:B27"/>
    <mergeCell ref="A28:D28"/>
    <mergeCell ref="A29:D29"/>
    <mergeCell ref="C7:D7"/>
    <mergeCell ref="C8:D8"/>
    <mergeCell ref="C9:D9"/>
    <mergeCell ref="A11:D11"/>
    <mergeCell ref="B12:C12"/>
    <mergeCell ref="A1:D1"/>
    <mergeCell ref="A3:D3"/>
    <mergeCell ref="C4:D4"/>
    <mergeCell ref="C5:D5"/>
    <mergeCell ref="C6:D6"/>
    <mergeCell ref="A142:D142"/>
    <mergeCell ref="B14:C14"/>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s>
  <dataValidations count="1">
    <dataValidation type="list" allowBlank="1" showInputMessage="1" showErrorMessage="1" sqref="C116:D116" xr:uid="{00000000-0002-0000-0F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theme="1" tint="4.9989318521683403E-2"/>
    <pageSetUpPr fitToPage="1"/>
  </sheetPr>
  <dimension ref="A1:F90"/>
  <sheetViews>
    <sheetView showGridLines="0" view="pageBreakPreview" topLeftCell="A7" zoomScale="145" zoomScaleNormal="100" zoomScaleSheetLayoutView="145" workbookViewId="0">
      <selection activeCell="C9" sqref="C9"/>
    </sheetView>
  </sheetViews>
  <sheetFormatPr defaultColWidth="9.140625" defaultRowHeight="12.75"/>
  <cols>
    <col min="1" max="1" width="5.7109375" style="32" customWidth="1"/>
    <col min="2" max="2" width="33.85546875" style="32" customWidth="1"/>
    <col min="3" max="3" width="17.28515625" style="32" bestFit="1" customWidth="1"/>
    <col min="4" max="4" width="8.7109375" style="32" bestFit="1" customWidth="1"/>
    <col min="5" max="5" width="17.140625" style="32" bestFit="1" customWidth="1"/>
    <col min="6" max="6" width="5.5703125" style="173" customWidth="1"/>
    <col min="7" max="16384" width="9.140625" style="32"/>
  </cols>
  <sheetData>
    <row r="1" spans="1:6">
      <c r="A1" s="254" t="s">
        <v>12</v>
      </c>
      <c r="B1" s="255"/>
      <c r="C1" s="255"/>
      <c r="D1" s="255"/>
      <c r="E1" s="255"/>
    </row>
    <row r="2" spans="1:6">
      <c r="A2" s="262" t="s">
        <v>13</v>
      </c>
      <c r="B2" s="263"/>
      <c r="C2" s="263"/>
      <c r="D2" s="263"/>
      <c r="E2" s="263"/>
    </row>
    <row r="3" spans="1:6">
      <c r="A3" s="260" t="s">
        <v>14</v>
      </c>
      <c r="B3" s="261"/>
      <c r="C3" s="261"/>
      <c r="D3" s="261"/>
      <c r="E3" s="261"/>
    </row>
    <row r="4" spans="1:6" ht="13.5" thickBot="1">
      <c r="A4" s="264" t="s">
        <v>15</v>
      </c>
      <c r="B4" s="265"/>
      <c r="C4" s="265"/>
      <c r="D4" s="265"/>
      <c r="E4" s="261"/>
    </row>
    <row r="5" spans="1:6" ht="13.5" thickBot="1">
      <c r="A5" s="266"/>
      <c r="B5" s="267"/>
      <c r="C5" s="267"/>
      <c r="D5" s="267"/>
      <c r="E5" s="268"/>
      <c r="F5" s="174"/>
    </row>
    <row r="6" spans="1:6" ht="26.25" thickBot="1">
      <c r="A6" s="258" t="s">
        <v>16</v>
      </c>
      <c r="B6" s="259"/>
      <c r="C6" s="84" t="s">
        <v>17</v>
      </c>
      <c r="D6" s="84" t="s">
        <v>18</v>
      </c>
      <c r="E6" s="84" t="s">
        <v>19</v>
      </c>
      <c r="F6" s="85"/>
    </row>
    <row r="7" spans="1:6" ht="13.5" thickBot="1">
      <c r="A7" s="256" t="s">
        <v>20</v>
      </c>
      <c r="B7" s="257"/>
      <c r="C7" s="86" t="s">
        <v>21</v>
      </c>
      <c r="D7" s="87" t="s">
        <v>22</v>
      </c>
      <c r="E7" s="88" t="s">
        <v>23</v>
      </c>
      <c r="F7" s="89"/>
    </row>
    <row r="8" spans="1:6">
      <c r="A8" s="90" t="s">
        <v>24</v>
      </c>
      <c r="B8" s="91" t="s">
        <v>25</v>
      </c>
      <c r="C8" s="92">
        <f>'3.1 Bomb Hidra 5X2hs'!D140</f>
        <v>9295.957287401834</v>
      </c>
      <c r="D8" s="93">
        <v>1</v>
      </c>
      <c r="E8" s="94">
        <f>C8*D8</f>
        <v>9295.957287401834</v>
      </c>
      <c r="F8" s="95"/>
    </row>
    <row r="9" spans="1:6">
      <c r="A9" s="96" t="s">
        <v>26</v>
      </c>
      <c r="B9" s="26" t="s">
        <v>27</v>
      </c>
      <c r="C9" s="97">
        <f>'3.2 Eletricista'!D140</f>
        <v>10192.568108411369</v>
      </c>
      <c r="D9" s="18">
        <v>1</v>
      </c>
      <c r="E9" s="98">
        <f t="shared" ref="E9:E25" si="0">C9*D9</f>
        <v>10192.568108411369</v>
      </c>
      <c r="F9" s="95"/>
    </row>
    <row r="10" spans="1:6">
      <c r="A10" s="96" t="s">
        <v>28</v>
      </c>
      <c r="B10" s="42" t="s">
        <v>29</v>
      </c>
      <c r="C10" s="97">
        <f>'3.3 Encarregado de Man'!D140</f>
        <v>10085.750781785668</v>
      </c>
      <c r="D10" s="18">
        <v>1</v>
      </c>
      <c r="E10" s="98">
        <f t="shared" si="0"/>
        <v>10085.750781785668</v>
      </c>
      <c r="F10" s="95"/>
    </row>
    <row r="11" spans="1:6">
      <c r="A11" s="96" t="s">
        <v>30</v>
      </c>
      <c r="B11" s="42" t="s">
        <v>31</v>
      </c>
      <c r="C11" s="97">
        <f>'3.4 Estoquista Ferram'!D140</f>
        <v>7634.6788197606766</v>
      </c>
      <c r="D11" s="18">
        <v>4</v>
      </c>
      <c r="E11" s="98">
        <f t="shared" si="0"/>
        <v>30538.715279042706</v>
      </c>
      <c r="F11" s="95"/>
    </row>
    <row r="12" spans="1:6">
      <c r="A12" s="96" t="s">
        <v>32</v>
      </c>
      <c r="B12" s="42" t="s">
        <v>33</v>
      </c>
      <c r="C12" s="97">
        <f>'3.5 Jardineiro'!D140</f>
        <v>7473.6843032186562</v>
      </c>
      <c r="D12" s="18">
        <v>2</v>
      </c>
      <c r="E12" s="98">
        <f t="shared" si="0"/>
        <v>14947.368606437312</v>
      </c>
      <c r="F12" s="95"/>
    </row>
    <row r="13" spans="1:6">
      <c r="A13" s="96" t="s">
        <v>34</v>
      </c>
      <c r="B13" s="42" t="s">
        <v>35</v>
      </c>
      <c r="C13" s="97">
        <f>'3.6  Lavador'!D140</f>
        <v>7583.034258437774</v>
      </c>
      <c r="D13" s="18">
        <v>1</v>
      </c>
      <c r="E13" s="98">
        <f t="shared" si="0"/>
        <v>7583.034258437774</v>
      </c>
      <c r="F13" s="95"/>
    </row>
    <row r="14" spans="1:6">
      <c r="A14" s="96" t="s">
        <v>36</v>
      </c>
      <c r="B14" s="42" t="s">
        <v>37</v>
      </c>
      <c r="C14" s="97">
        <f>'3.7 Marceneiro'!D140</f>
        <v>8508.4523941785392</v>
      </c>
      <c r="D14" s="18">
        <v>2</v>
      </c>
      <c r="E14" s="98">
        <f t="shared" si="0"/>
        <v>17016.904788357078</v>
      </c>
      <c r="F14" s="95"/>
    </row>
    <row r="15" spans="1:6">
      <c r="A15" s="96" t="s">
        <v>38</v>
      </c>
      <c r="B15" s="42" t="s">
        <v>39</v>
      </c>
      <c r="C15" s="97">
        <f>'3.8 Pedreiro'!D140</f>
        <v>7961.5486812402187</v>
      </c>
      <c r="D15" s="18">
        <v>1</v>
      </c>
      <c r="E15" s="98">
        <f t="shared" si="0"/>
        <v>7961.5486812402187</v>
      </c>
      <c r="F15" s="95"/>
    </row>
    <row r="16" spans="1:6">
      <c r="A16" s="96" t="s">
        <v>40</v>
      </c>
      <c r="B16" s="42" t="s">
        <v>41</v>
      </c>
      <c r="C16" s="97">
        <f>'3.9 Pintor-Gesseiro'!D140</f>
        <v>7933.2013847096068</v>
      </c>
      <c r="D16" s="18">
        <v>2</v>
      </c>
      <c r="E16" s="98">
        <f t="shared" si="0"/>
        <v>15866.402769419214</v>
      </c>
      <c r="F16" s="95"/>
    </row>
    <row r="17" spans="1:6">
      <c r="A17" s="96" t="s">
        <v>42</v>
      </c>
      <c r="B17" s="42" t="s">
        <v>43</v>
      </c>
      <c r="C17" s="97">
        <f>'3.10 Serralheiro'!D140</f>
        <v>9375.1050673762911</v>
      </c>
      <c r="D17" s="18">
        <v>1</v>
      </c>
      <c r="E17" s="98">
        <f t="shared" si="0"/>
        <v>9375.1050673762911</v>
      </c>
      <c r="F17" s="95"/>
    </row>
    <row r="18" spans="1:6">
      <c r="A18" s="96" t="s">
        <v>44</v>
      </c>
      <c r="B18" s="42" t="s">
        <v>45</v>
      </c>
      <c r="C18" s="97">
        <f>'3.11 Engenheiro'!D140</f>
        <v>26007.189712982541</v>
      </c>
      <c r="D18" s="18">
        <v>2</v>
      </c>
      <c r="E18" s="98">
        <f t="shared" si="0"/>
        <v>52014.379425965082</v>
      </c>
      <c r="F18" s="95"/>
    </row>
    <row r="19" spans="1:6">
      <c r="A19" s="96" t="s">
        <v>46</v>
      </c>
      <c r="B19" s="42" t="s">
        <v>47</v>
      </c>
      <c r="C19" s="97">
        <f>'3.12 Técnico telefonia'!D140</f>
        <v>9497.0283613867759</v>
      </c>
      <c r="D19" s="18">
        <v>1</v>
      </c>
      <c r="E19" s="98">
        <f t="shared" si="0"/>
        <v>9497.0283613867759</v>
      </c>
      <c r="F19" s="95"/>
    </row>
    <row r="20" spans="1:6">
      <c r="A20" s="96" t="s">
        <v>48</v>
      </c>
      <c r="B20" s="42" t="s">
        <v>49</v>
      </c>
      <c r="C20" s="97">
        <f>'3.13 Ofi Mec Refrig'!D140</f>
        <v>8386.7182907683055</v>
      </c>
      <c r="D20" s="18">
        <v>2</v>
      </c>
      <c r="E20" s="98">
        <f t="shared" si="0"/>
        <v>16773.436581536611</v>
      </c>
      <c r="F20" s="95"/>
    </row>
    <row r="21" spans="1:6" ht="31.9" customHeight="1" thickBot="1">
      <c r="A21" s="205" t="s">
        <v>50</v>
      </c>
      <c r="B21" s="209" t="s">
        <v>51</v>
      </c>
      <c r="C21" s="206">
        <f>'3.14 Ajud de Man e Rep'!D140</f>
        <v>6301.8460738618305</v>
      </c>
      <c r="D21" s="207">
        <v>3</v>
      </c>
      <c r="E21" s="99">
        <f t="shared" si="0"/>
        <v>18905.538221585492</v>
      </c>
      <c r="F21" s="95"/>
    </row>
    <row r="22" spans="1:6">
      <c r="A22" s="210" t="s">
        <v>52</v>
      </c>
      <c r="B22" s="209" t="s">
        <v>53</v>
      </c>
      <c r="C22" s="206">
        <f>'3.15 Téc Edificações'!D140</f>
        <v>8234.4540632385142</v>
      </c>
      <c r="D22" s="207">
        <v>2</v>
      </c>
      <c r="E22" s="208">
        <f t="shared" si="0"/>
        <v>16468.908126477028</v>
      </c>
      <c r="F22" s="95"/>
    </row>
    <row r="23" spans="1:6" ht="19.149999999999999" customHeight="1">
      <c r="A23" s="211" t="s">
        <v>54</v>
      </c>
      <c r="B23" s="26" t="s">
        <v>55</v>
      </c>
      <c r="C23" s="97">
        <f>'3.2 Eletricista'!D140</f>
        <v>10192.568108411369</v>
      </c>
      <c r="D23" s="18">
        <v>2</v>
      </c>
      <c r="E23" s="97">
        <f t="shared" si="0"/>
        <v>20385.136216822739</v>
      </c>
      <c r="F23" s="95"/>
    </row>
    <row r="24" spans="1:6" ht="14.45" customHeight="1">
      <c r="A24" s="211" t="s">
        <v>56</v>
      </c>
      <c r="B24" s="26" t="s">
        <v>57</v>
      </c>
      <c r="C24" s="97">
        <f>'Eletricista plantonista noturno'!D140</f>
        <v>10731.238474647358</v>
      </c>
      <c r="D24" s="18">
        <v>2</v>
      </c>
      <c r="E24" s="97">
        <f t="shared" si="0"/>
        <v>21462.476949294716</v>
      </c>
      <c r="F24" s="95"/>
    </row>
    <row r="25" spans="1:6" ht="28.15" customHeight="1">
      <c r="A25" s="211" t="s">
        <v>58</v>
      </c>
      <c r="B25" s="26" t="s">
        <v>59</v>
      </c>
      <c r="C25" s="97">
        <f>'Bomb hidr diurno 12-36'!D140</f>
        <v>8871.0780166875484</v>
      </c>
      <c r="D25" s="18">
        <v>2</v>
      </c>
      <c r="E25" s="97">
        <f t="shared" si="0"/>
        <v>17742.156033375097</v>
      </c>
      <c r="F25" s="95"/>
    </row>
    <row r="26" spans="1:6">
      <c r="A26" s="250" t="s">
        <v>60</v>
      </c>
      <c r="B26" s="251"/>
      <c r="C26" s="251"/>
      <c r="D26" s="251"/>
      <c r="E26" s="212">
        <f>SUM(E8:E25)</f>
        <v>306112.41554435296</v>
      </c>
      <c r="F26" s="100"/>
    </row>
    <row r="27" spans="1:6" ht="13.9" customHeight="1" thickBot="1">
      <c r="A27" s="269" t="s">
        <v>61</v>
      </c>
      <c r="B27" s="270"/>
      <c r="C27" s="270"/>
      <c r="D27" s="271"/>
      <c r="E27" s="101">
        <f>E26*12</f>
        <v>3673348.9865322355</v>
      </c>
      <c r="F27" s="100"/>
    </row>
    <row r="28" spans="1:6" ht="13.5" thickBot="1">
      <c r="A28" s="252" t="s">
        <v>547</v>
      </c>
      <c r="B28" s="253"/>
      <c r="C28" s="253"/>
      <c r="D28" s="253"/>
      <c r="E28" s="101">
        <f>E27*5</f>
        <v>18366744.932661176</v>
      </c>
      <c r="F28" s="102"/>
    </row>
    <row r="30" spans="1:6" ht="45" customHeight="1">
      <c r="A30" s="272"/>
      <c r="B30" s="272"/>
      <c r="C30" s="272"/>
      <c r="D30" s="272"/>
      <c r="E30" s="272"/>
      <c r="F30" s="175"/>
    </row>
    <row r="31" spans="1:6" ht="39" customHeight="1">
      <c r="A31" s="273"/>
      <c r="B31" s="273"/>
      <c r="C31" s="103"/>
      <c r="D31" s="103"/>
      <c r="E31" s="103"/>
    </row>
    <row r="32" spans="1:6">
      <c r="A32" s="272"/>
      <c r="B32" s="272"/>
      <c r="C32" s="104"/>
      <c r="D32" s="105"/>
      <c r="E32" s="104"/>
    </row>
    <row r="33" spans="1:5">
      <c r="A33" s="104"/>
      <c r="B33" s="13"/>
      <c r="C33" s="106"/>
      <c r="D33" s="29"/>
      <c r="E33" s="106"/>
    </row>
    <row r="34" spans="1:5">
      <c r="A34" s="104"/>
      <c r="B34" s="13"/>
      <c r="C34" s="106"/>
      <c r="D34" s="29"/>
      <c r="E34" s="106"/>
    </row>
    <row r="35" spans="1:5">
      <c r="A35" s="104"/>
      <c r="C35" s="106"/>
      <c r="D35" s="29"/>
      <c r="E35" s="106"/>
    </row>
    <row r="36" spans="1:5">
      <c r="A36" s="104"/>
      <c r="C36" s="106"/>
      <c r="D36" s="29"/>
      <c r="E36" s="106"/>
    </row>
    <row r="37" spans="1:5">
      <c r="A37" s="104"/>
      <c r="C37" s="106"/>
      <c r="D37" s="29"/>
      <c r="E37" s="106"/>
    </row>
    <row r="38" spans="1:5">
      <c r="A38" s="104"/>
      <c r="C38" s="106"/>
      <c r="D38" s="29"/>
      <c r="E38" s="106"/>
    </row>
    <row r="39" spans="1:5">
      <c r="A39" s="104"/>
      <c r="C39" s="106"/>
      <c r="D39" s="29"/>
      <c r="E39" s="106"/>
    </row>
    <row r="40" spans="1:5">
      <c r="A40" s="104"/>
      <c r="C40" s="106"/>
      <c r="D40" s="29"/>
      <c r="E40" s="106"/>
    </row>
    <row r="41" spans="1:5">
      <c r="A41" s="104"/>
      <c r="C41" s="106"/>
      <c r="D41" s="29"/>
      <c r="E41" s="106"/>
    </row>
    <row r="42" spans="1:5">
      <c r="A42" s="104"/>
      <c r="C42" s="106"/>
      <c r="D42" s="29"/>
      <c r="E42" s="106"/>
    </row>
    <row r="43" spans="1:5">
      <c r="A43" s="104"/>
      <c r="C43" s="106"/>
      <c r="D43" s="29"/>
      <c r="E43" s="106"/>
    </row>
    <row r="44" spans="1:5">
      <c r="A44" s="104"/>
      <c r="C44" s="106"/>
      <c r="D44" s="29"/>
      <c r="E44" s="106"/>
    </row>
    <row r="45" spans="1:5">
      <c r="A45" s="104"/>
      <c r="C45" s="106"/>
      <c r="D45" s="29"/>
      <c r="E45" s="106"/>
    </row>
    <row r="46" spans="1:5">
      <c r="A46" s="104"/>
      <c r="B46" s="13"/>
      <c r="C46" s="106"/>
      <c r="D46" s="29"/>
      <c r="E46" s="106"/>
    </row>
    <row r="47" spans="1:5" ht="15" customHeight="1">
      <c r="A47" s="273"/>
      <c r="B47" s="273"/>
      <c r="C47" s="273"/>
      <c r="D47" s="273"/>
      <c r="E47" s="107"/>
    </row>
    <row r="48" spans="1:5" ht="15.75" customHeight="1">
      <c r="A48" s="273"/>
      <c r="B48" s="273"/>
      <c r="C48" s="273"/>
      <c r="D48" s="273"/>
      <c r="E48" s="108"/>
    </row>
    <row r="49" spans="1:5">
      <c r="A49" s="272"/>
      <c r="B49" s="272"/>
      <c r="C49" s="272"/>
      <c r="D49" s="272"/>
      <c r="E49" s="272"/>
    </row>
    <row r="50" spans="1:5" ht="45" customHeight="1">
      <c r="A50" s="273"/>
      <c r="B50" s="273"/>
      <c r="C50" s="103"/>
      <c r="D50" s="103"/>
      <c r="E50" s="103"/>
    </row>
    <row r="51" spans="1:5">
      <c r="A51" s="272"/>
      <c r="B51" s="272"/>
      <c r="C51" s="104"/>
      <c r="D51" s="105"/>
      <c r="E51" s="104"/>
    </row>
    <row r="52" spans="1:5">
      <c r="A52" s="104"/>
      <c r="B52" s="13"/>
      <c r="C52" s="106"/>
      <c r="D52" s="29"/>
      <c r="E52" s="106"/>
    </row>
    <row r="53" spans="1:5">
      <c r="A53" s="104"/>
      <c r="B53" s="13"/>
      <c r="C53" s="106"/>
      <c r="D53" s="29"/>
      <c r="E53" s="106"/>
    </row>
    <row r="54" spans="1:5">
      <c r="A54" s="104"/>
      <c r="C54" s="106"/>
      <c r="D54" s="29"/>
      <c r="E54" s="106"/>
    </row>
    <row r="55" spans="1:5">
      <c r="A55" s="104"/>
      <c r="C55" s="106"/>
      <c r="D55" s="29"/>
      <c r="E55" s="106"/>
    </row>
    <row r="56" spans="1:5">
      <c r="A56" s="104"/>
      <c r="C56" s="106"/>
      <c r="D56" s="29"/>
      <c r="E56" s="106"/>
    </row>
    <row r="57" spans="1:5">
      <c r="A57" s="104"/>
      <c r="C57" s="106"/>
      <c r="D57" s="29"/>
      <c r="E57" s="106"/>
    </row>
    <row r="58" spans="1:5">
      <c r="A58" s="104"/>
      <c r="C58" s="106"/>
      <c r="D58" s="29"/>
      <c r="E58" s="106"/>
    </row>
    <row r="59" spans="1:5">
      <c r="A59" s="104"/>
      <c r="C59" s="106"/>
      <c r="D59" s="29"/>
      <c r="E59" s="106"/>
    </row>
    <row r="60" spans="1:5">
      <c r="A60" s="104"/>
      <c r="C60" s="106"/>
      <c r="D60" s="29"/>
      <c r="E60" s="106"/>
    </row>
    <row r="61" spans="1:5">
      <c r="A61" s="104"/>
      <c r="C61" s="106"/>
      <c r="D61" s="29"/>
      <c r="E61" s="106"/>
    </row>
    <row r="62" spans="1:5">
      <c r="A62" s="104"/>
      <c r="C62" s="106"/>
      <c r="D62" s="29"/>
      <c r="E62" s="106"/>
    </row>
    <row r="63" spans="1:5">
      <c r="A63" s="104"/>
      <c r="C63" s="106"/>
      <c r="D63" s="29"/>
      <c r="E63" s="106"/>
    </row>
    <row r="64" spans="1:5">
      <c r="A64" s="104"/>
      <c r="C64" s="106"/>
      <c r="D64" s="29"/>
      <c r="E64" s="106"/>
    </row>
    <row r="65" spans="1:5">
      <c r="A65" s="104"/>
      <c r="B65" s="13"/>
      <c r="C65" s="106"/>
      <c r="D65" s="29"/>
      <c r="E65" s="106"/>
    </row>
    <row r="66" spans="1:5">
      <c r="A66" s="273"/>
      <c r="B66" s="273"/>
      <c r="C66" s="273"/>
      <c r="D66" s="273"/>
      <c r="E66" s="107"/>
    </row>
    <row r="67" spans="1:5">
      <c r="A67" s="273"/>
      <c r="B67" s="273"/>
      <c r="C67" s="273"/>
      <c r="D67" s="273"/>
      <c r="E67" s="108"/>
    </row>
    <row r="70" spans="1:5" ht="45" customHeight="1"/>
    <row r="90" ht="45" customHeight="1"/>
  </sheetData>
  <mergeCells count="20">
    <mergeCell ref="A51:B51"/>
    <mergeCell ref="A66:D66"/>
    <mergeCell ref="A67:D67"/>
    <mergeCell ref="A30:E30"/>
    <mergeCell ref="A49:E49"/>
    <mergeCell ref="A31:B31"/>
    <mergeCell ref="A32:B32"/>
    <mergeCell ref="A47:D47"/>
    <mergeCell ref="A48:D48"/>
    <mergeCell ref="A50:B50"/>
    <mergeCell ref="A26:D26"/>
    <mergeCell ref="A28:D28"/>
    <mergeCell ref="A1:E1"/>
    <mergeCell ref="A7:B7"/>
    <mergeCell ref="A6:B6"/>
    <mergeCell ref="A3:E3"/>
    <mergeCell ref="A2:E2"/>
    <mergeCell ref="A4:E4"/>
    <mergeCell ref="A5:E5"/>
    <mergeCell ref="A27:D27"/>
  </mergeCells>
  <printOptions horizontalCentered="1"/>
  <pageMargins left="0.55118110236220474" right="0.55118110236220474" top="1.2598425196850394" bottom="0.98425196850393704" header="0" footer="0"/>
  <pageSetup paperSize="9" fitToHeight="0" orientation="portrait" r:id="rId1"/>
  <rowBreaks count="1" manualBreakCount="1">
    <brk id="33"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3F4EC-C024-4323-817D-03F209B896EC}">
  <sheetPr codeName="Planilha20"/>
  <dimension ref="A1:I142"/>
  <sheetViews>
    <sheetView showGridLines="0" workbookViewId="0">
      <selection activeCell="M18" sqref="M18"/>
    </sheetView>
  </sheetViews>
  <sheetFormatPr defaultColWidth="8.7109375" defaultRowHeight="12.75"/>
  <cols>
    <col min="1" max="1" width="8.85546875" style="32" bestFit="1" customWidth="1"/>
    <col min="2" max="2" width="46.42578125" style="32" customWidth="1"/>
    <col min="3" max="3" width="17.7109375" style="32" customWidth="1"/>
    <col min="4" max="4" width="16.85546875" style="32" customWidth="1"/>
    <col min="5" max="16384" width="8.7109375" style="32"/>
  </cols>
  <sheetData>
    <row r="1" spans="1:4">
      <c r="A1" s="277" t="s">
        <v>62</v>
      </c>
      <c r="B1" s="277"/>
      <c r="C1" s="277"/>
      <c r="D1" s="277"/>
    </row>
    <row r="3" spans="1:4">
      <c r="A3" s="292" t="s">
        <v>63</v>
      </c>
      <c r="B3" s="292"/>
      <c r="C3" s="292"/>
      <c r="D3" s="292"/>
    </row>
    <row r="4" spans="1:4" ht="25.5">
      <c r="A4" s="35">
        <v>1</v>
      </c>
      <c r="B4" s="182" t="s">
        <v>64</v>
      </c>
      <c r="C4" s="299" t="s">
        <v>210</v>
      </c>
      <c r="D4" s="299"/>
    </row>
    <row r="5" spans="1:4">
      <c r="A5" s="34">
        <v>2</v>
      </c>
      <c r="B5" s="26" t="s">
        <v>66</v>
      </c>
      <c r="C5" s="314"/>
      <c r="D5" s="314"/>
    </row>
    <row r="6" spans="1:4">
      <c r="A6" s="34">
        <v>3</v>
      </c>
      <c r="B6" s="26" t="s">
        <v>67</v>
      </c>
      <c r="C6" s="315">
        <v>3142.76</v>
      </c>
      <c r="D6" s="315"/>
    </row>
    <row r="7" spans="1:4" ht="25.5" customHeight="1">
      <c r="A7" s="34">
        <v>4</v>
      </c>
      <c r="B7" s="26" t="s">
        <v>68</v>
      </c>
      <c r="C7" s="287" t="s">
        <v>599</v>
      </c>
      <c r="D7" s="288"/>
    </row>
    <row r="8" spans="1:4" ht="24" customHeight="1">
      <c r="A8" s="34">
        <v>5</v>
      </c>
      <c r="B8" s="26" t="s">
        <v>69</v>
      </c>
      <c r="C8" s="289" t="s">
        <v>573</v>
      </c>
      <c r="D8" s="290"/>
    </row>
    <row r="9" spans="1:4" ht="27" customHeight="1">
      <c r="A9" s="34">
        <v>6</v>
      </c>
      <c r="B9" s="26" t="s">
        <v>70</v>
      </c>
      <c r="C9" s="291" t="s">
        <v>600</v>
      </c>
      <c r="D9" s="290"/>
    </row>
    <row r="11" spans="1:4">
      <c r="A11" s="277" t="s">
        <v>72</v>
      </c>
      <c r="B11" s="277"/>
      <c r="C11" s="277"/>
      <c r="D11" s="277"/>
    </row>
    <row r="12" spans="1:4">
      <c r="A12" s="35">
        <v>1</v>
      </c>
      <c r="B12" s="292" t="s">
        <v>73</v>
      </c>
      <c r="C12" s="292"/>
      <c r="D12" s="35" t="s">
        <v>74</v>
      </c>
    </row>
    <row r="13" spans="1:4">
      <c r="A13" s="36" t="s">
        <v>75</v>
      </c>
      <c r="B13" s="274" t="s">
        <v>76</v>
      </c>
      <c r="C13" s="274"/>
      <c r="D13" s="38">
        <v>3529.04</v>
      </c>
    </row>
    <row r="14" spans="1:4">
      <c r="A14" s="36" t="s">
        <v>77</v>
      </c>
      <c r="B14" s="274" t="s">
        <v>78</v>
      </c>
      <c r="C14" s="274"/>
      <c r="D14" s="39" t="s">
        <v>79</v>
      </c>
    </row>
    <row r="15" spans="1:4">
      <c r="A15" s="36" t="s">
        <v>80</v>
      </c>
      <c r="B15" s="274" t="s">
        <v>185</v>
      </c>
      <c r="C15" s="274"/>
      <c r="D15" s="39"/>
    </row>
    <row r="16" spans="1:4">
      <c r="A16" s="36" t="s">
        <v>81</v>
      </c>
      <c r="B16" s="274" t="s">
        <v>82</v>
      </c>
      <c r="C16" s="274"/>
      <c r="D16" s="39" t="s">
        <v>79</v>
      </c>
    </row>
    <row r="17" spans="1:8">
      <c r="A17" s="36" t="s">
        <v>83</v>
      </c>
      <c r="B17" s="274" t="s">
        <v>84</v>
      </c>
      <c r="C17" s="274"/>
      <c r="D17" s="39" t="s">
        <v>79</v>
      </c>
    </row>
    <row r="18" spans="1:8">
      <c r="A18" s="36" t="s">
        <v>85</v>
      </c>
      <c r="B18" s="274" t="s">
        <v>86</v>
      </c>
      <c r="C18" s="274"/>
      <c r="D18" s="39" t="s">
        <v>79</v>
      </c>
    </row>
    <row r="19" spans="1:8">
      <c r="A19" s="294" t="s">
        <v>87</v>
      </c>
      <c r="B19" s="294"/>
      <c r="C19" s="294"/>
      <c r="D19" s="40">
        <f>SUM(D13:D18)</f>
        <v>3529.04</v>
      </c>
    </row>
    <row r="20" spans="1:8" ht="24" customHeight="1">
      <c r="A20" s="295" t="s">
        <v>88</v>
      </c>
      <c r="B20" s="295"/>
      <c r="C20" s="295"/>
      <c r="D20" s="295"/>
    </row>
    <row r="22" spans="1:8">
      <c r="A22" s="277" t="s">
        <v>89</v>
      </c>
      <c r="B22" s="277"/>
      <c r="C22" s="277"/>
      <c r="D22" s="277"/>
    </row>
    <row r="23" spans="1:8">
      <c r="A23" s="294" t="s">
        <v>604</v>
      </c>
      <c r="B23" s="294"/>
      <c r="C23" s="294"/>
      <c r="D23" s="294"/>
    </row>
    <row r="24" spans="1:8" ht="25.5">
      <c r="A24" s="41" t="s">
        <v>90</v>
      </c>
      <c r="B24" s="41" t="s">
        <v>595</v>
      </c>
      <c r="C24" s="33" t="s">
        <v>91</v>
      </c>
      <c r="D24" s="41" t="s">
        <v>74</v>
      </c>
    </row>
    <row r="25" spans="1:8">
      <c r="A25" s="36" t="s">
        <v>75</v>
      </c>
      <c r="B25" s="42" t="s">
        <v>92</v>
      </c>
      <c r="C25" s="43">
        <v>9.0899999999999995E-2</v>
      </c>
      <c r="D25" s="44">
        <f>C25*$D$19</f>
        <v>320.789736</v>
      </c>
    </row>
    <row r="26" spans="1:8">
      <c r="A26" s="36" t="s">
        <v>77</v>
      </c>
      <c r="B26" s="42" t="s">
        <v>589</v>
      </c>
      <c r="C26" s="43">
        <v>3.0300000000000001E-2</v>
      </c>
      <c r="D26" s="44">
        <f>C26*$D$19</f>
        <v>106.929912</v>
      </c>
    </row>
    <row r="27" spans="1:8">
      <c r="A27" s="294" t="s">
        <v>87</v>
      </c>
      <c r="B27" s="294"/>
      <c r="C27" s="45">
        <f t="shared" ref="C27:D27" si="0">SUM(C25:C26)</f>
        <v>0.1212</v>
      </c>
      <c r="D27" s="46">
        <f t="shared" si="0"/>
        <v>427.71964800000001</v>
      </c>
    </row>
    <row r="28" spans="1:8" ht="39" customHeight="1">
      <c r="A28" s="293" t="s">
        <v>93</v>
      </c>
      <c r="B28" s="293"/>
      <c r="C28" s="293"/>
      <c r="D28" s="293"/>
    </row>
    <row r="29" spans="1:8" ht="24.75" customHeight="1">
      <c r="A29" s="293" t="s">
        <v>94</v>
      </c>
      <c r="B29" s="293"/>
      <c r="C29" s="293"/>
      <c r="D29" s="293"/>
      <c r="H29" s="32" t="s">
        <v>24</v>
      </c>
    </row>
    <row r="30" spans="1:8" ht="40.5" customHeight="1">
      <c r="A30" s="293" t="s">
        <v>192</v>
      </c>
      <c r="B30" s="293"/>
      <c r="C30" s="293"/>
      <c r="D30" s="293"/>
    </row>
    <row r="32" spans="1:8" ht="33"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791.35192960000006</v>
      </c>
    </row>
    <row r="35" spans="1:4">
      <c r="A35" s="36" t="s">
        <v>77</v>
      </c>
      <c r="B35" s="42" t="s">
        <v>100</v>
      </c>
      <c r="C35" s="48">
        <v>2.5000000000000001E-2</v>
      </c>
      <c r="D35" s="44">
        <f>$C35*(D$19+D$27)</f>
        <v>98.918991200000008</v>
      </c>
    </row>
    <row r="36" spans="1:4">
      <c r="A36" s="36" t="s">
        <v>80</v>
      </c>
      <c r="B36" s="42" t="s">
        <v>101</v>
      </c>
      <c r="C36" s="48">
        <v>0.03</v>
      </c>
      <c r="D36" s="44">
        <f t="shared" ref="D36:D40" si="1">C36*($D$19+$D$27)</f>
        <v>118.70278944</v>
      </c>
    </row>
    <row r="37" spans="1:4">
      <c r="A37" s="36" t="s">
        <v>81</v>
      </c>
      <c r="B37" s="42" t="s">
        <v>102</v>
      </c>
      <c r="C37" s="48">
        <v>1.4999999999999999E-2</v>
      </c>
      <c r="D37" s="44">
        <f t="shared" si="1"/>
        <v>59.351394720000002</v>
      </c>
    </row>
    <row r="38" spans="1:4">
      <c r="A38" s="36" t="s">
        <v>83</v>
      </c>
      <c r="B38" s="42" t="s">
        <v>103</v>
      </c>
      <c r="C38" s="48">
        <v>0.01</v>
      </c>
      <c r="D38" s="44">
        <f t="shared" si="1"/>
        <v>39.567596480000006</v>
      </c>
    </row>
    <row r="39" spans="1:4">
      <c r="A39" s="36" t="s">
        <v>85</v>
      </c>
      <c r="B39" s="42" t="s">
        <v>104</v>
      </c>
      <c r="C39" s="48">
        <v>6.0000000000000001E-3</v>
      </c>
      <c r="D39" s="44">
        <f t="shared" si="1"/>
        <v>23.740557888000001</v>
      </c>
    </row>
    <row r="40" spans="1:4">
      <c r="A40" s="36" t="s">
        <v>105</v>
      </c>
      <c r="B40" s="42" t="s">
        <v>106</v>
      </c>
      <c r="C40" s="48">
        <v>2E-3</v>
      </c>
      <c r="D40" s="44">
        <f t="shared" si="1"/>
        <v>7.9135192960000005</v>
      </c>
    </row>
    <row r="41" spans="1:4">
      <c r="A41" s="36" t="s">
        <v>107</v>
      </c>
      <c r="B41" s="42" t="s">
        <v>108</v>
      </c>
      <c r="C41" s="48">
        <v>0.08</v>
      </c>
      <c r="D41" s="44">
        <f>C41*($D$19+$D$27)</f>
        <v>316.54077184000005</v>
      </c>
    </row>
    <row r="42" spans="1:4">
      <c r="A42" s="36" t="s">
        <v>24</v>
      </c>
      <c r="B42" s="42" t="s">
        <v>109</v>
      </c>
      <c r="C42" s="48">
        <v>0</v>
      </c>
      <c r="D42" s="44">
        <f>C42*($D$19+$D$27)</f>
        <v>0</v>
      </c>
    </row>
    <row r="43" spans="1:4">
      <c r="A43" s="313" t="s">
        <v>87</v>
      </c>
      <c r="B43" s="313"/>
      <c r="C43" s="49">
        <f>SUM(C34:C42)</f>
        <v>0.36800000000000005</v>
      </c>
      <c r="D43" s="50">
        <f>SUM(D34:D42)</f>
        <v>1456.0875504640003</v>
      </c>
    </row>
    <row r="44" spans="1:4" ht="25.5" customHeight="1">
      <c r="A44" s="293" t="s">
        <v>110</v>
      </c>
      <c r="B44" s="293"/>
      <c r="C44" s="293"/>
      <c r="D44" s="293"/>
    </row>
    <row r="45" spans="1:4" ht="26.25" customHeight="1">
      <c r="A45" s="293" t="s">
        <v>111</v>
      </c>
      <c r="B45" s="293"/>
      <c r="C45" s="293"/>
      <c r="D45" s="293"/>
    </row>
    <row r="46" spans="1:4" ht="25.5" customHeight="1">
      <c r="A46" s="293" t="s">
        <v>112</v>
      </c>
      <c r="B46" s="293"/>
      <c r="C46" s="293"/>
      <c r="D46" s="293"/>
    </row>
    <row r="47" spans="1:4" ht="14.25" customHeight="1">
      <c r="A47" s="293" t="s">
        <v>113</v>
      </c>
      <c r="B47" s="293"/>
      <c r="C47" s="293"/>
      <c r="D47" s="293"/>
    </row>
    <row r="48" spans="1:4" ht="14.25" customHeight="1">
      <c r="A48" s="293" t="s">
        <v>114</v>
      </c>
      <c r="B48" s="293"/>
      <c r="C48" s="293"/>
      <c r="D48" s="293"/>
    </row>
    <row r="50" spans="1:9" ht="15" customHeight="1">
      <c r="A50" s="299" t="s">
        <v>115</v>
      </c>
      <c r="B50" s="299"/>
      <c r="C50" s="299"/>
      <c r="D50" s="299"/>
    </row>
    <row r="51" spans="1:9">
      <c r="A51" s="33" t="s">
        <v>116</v>
      </c>
      <c r="B51" s="33" t="s">
        <v>117</v>
      </c>
      <c r="C51" s="33" t="s">
        <v>118</v>
      </c>
      <c r="D51" s="33" t="s">
        <v>74</v>
      </c>
    </row>
    <row r="52" spans="1:9" ht="25.5">
      <c r="A52" s="36" t="s">
        <v>75</v>
      </c>
      <c r="B52" s="26" t="s">
        <v>119</v>
      </c>
      <c r="C52" s="51">
        <v>22</v>
      </c>
      <c r="D52" s="44">
        <f>ROUND((((3.8+5.5)*2*C52)-6%*D13),2)</f>
        <v>197.46</v>
      </c>
    </row>
    <row r="53" spans="1:9" ht="25.5">
      <c r="A53" s="36" t="s">
        <v>77</v>
      </c>
      <c r="B53" s="26" t="s">
        <v>601</v>
      </c>
      <c r="C53" s="51">
        <v>22</v>
      </c>
      <c r="D53" s="44">
        <f>C53*40.5</f>
        <v>891</v>
      </c>
      <c r="I53" s="32">
        <f>40.5*22</f>
        <v>891</v>
      </c>
    </row>
    <row r="54" spans="1:9">
      <c r="A54" s="36" t="s">
        <v>80</v>
      </c>
      <c r="B54" s="42" t="s">
        <v>598</v>
      </c>
      <c r="C54" s="51" t="s">
        <v>79</v>
      </c>
      <c r="D54" s="44">
        <v>175.76</v>
      </c>
    </row>
    <row r="55" spans="1:9">
      <c r="A55" s="36" t="s">
        <v>81</v>
      </c>
      <c r="B55" s="42" t="s">
        <v>120</v>
      </c>
      <c r="C55" s="51" t="s">
        <v>79</v>
      </c>
      <c r="D55" s="44">
        <v>11.92</v>
      </c>
    </row>
    <row r="56" spans="1:9">
      <c r="A56" s="36" t="s">
        <v>83</v>
      </c>
      <c r="B56" s="42" t="s">
        <v>575</v>
      </c>
      <c r="C56" s="51" t="s">
        <v>79</v>
      </c>
      <c r="D56" s="44">
        <v>2.52</v>
      </c>
    </row>
    <row r="57" spans="1:9">
      <c r="A57" s="313" t="s">
        <v>87</v>
      </c>
      <c r="B57" s="313"/>
      <c r="C57" s="313"/>
      <c r="D57" s="50" t="s">
        <v>574</v>
      </c>
    </row>
    <row r="58" spans="1:9" ht="28.5" customHeight="1">
      <c r="A58" s="293" t="s">
        <v>122</v>
      </c>
      <c r="B58" s="293"/>
      <c r="C58" s="293"/>
      <c r="D58" s="293"/>
    </row>
    <row r="59" spans="1:9" ht="19.5" customHeight="1">
      <c r="A59" s="293" t="s">
        <v>123</v>
      </c>
      <c r="B59" s="293"/>
      <c r="C59" s="293"/>
      <c r="D59" s="293"/>
    </row>
    <row r="61" spans="1:9" ht="15" customHeight="1">
      <c r="A61" s="277" t="s">
        <v>124</v>
      </c>
      <c r="B61" s="277"/>
      <c r="C61" s="277"/>
      <c r="D61" s="277"/>
    </row>
    <row r="62" spans="1:9">
      <c r="A62" s="35">
        <v>2</v>
      </c>
      <c r="B62" s="294" t="s">
        <v>125</v>
      </c>
      <c r="C62" s="294"/>
      <c r="D62" s="35" t="s">
        <v>74</v>
      </c>
    </row>
    <row r="63" spans="1:9" ht="30" customHeight="1">
      <c r="A63" s="36" t="s">
        <v>90</v>
      </c>
      <c r="B63" s="275" t="s">
        <v>595</v>
      </c>
      <c r="C63" s="275"/>
      <c r="D63" s="44">
        <f>D27</f>
        <v>427.71964800000001</v>
      </c>
    </row>
    <row r="64" spans="1:9">
      <c r="A64" s="36" t="s">
        <v>97</v>
      </c>
      <c r="B64" s="274" t="s">
        <v>98</v>
      </c>
      <c r="C64" s="274"/>
      <c r="D64" s="44">
        <f>D43</f>
        <v>1456.0875504640003</v>
      </c>
    </row>
    <row r="65" spans="1:4">
      <c r="A65" s="36" t="s">
        <v>116</v>
      </c>
      <c r="B65" s="274" t="s">
        <v>117</v>
      </c>
      <c r="C65" s="274"/>
      <c r="D65" s="44" t="str">
        <f>D57</f>
        <v>,</v>
      </c>
    </row>
    <row r="66" spans="1:4">
      <c r="A66" s="296" t="s">
        <v>87</v>
      </c>
      <c r="B66" s="311"/>
      <c r="C66" s="297"/>
      <c r="D66" s="46">
        <f>SUM(D63:D65)</f>
        <v>1883.8071984640003</v>
      </c>
    </row>
    <row r="68" spans="1:4" ht="14.45" customHeight="1">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16.618390521599999</v>
      </c>
    </row>
    <row r="71" spans="1:4">
      <c r="A71" s="36" t="s">
        <v>77</v>
      </c>
      <c r="B71" s="26" t="s">
        <v>129</v>
      </c>
      <c r="C71" s="48">
        <v>2.9999999999999997E-4</v>
      </c>
      <c r="D71" s="44">
        <f t="shared" si="2"/>
        <v>1.1870278943999999</v>
      </c>
    </row>
    <row r="72" spans="1:4" ht="25.5">
      <c r="A72" s="36" t="s">
        <v>80</v>
      </c>
      <c r="B72" s="26" t="s">
        <v>130</v>
      </c>
      <c r="C72" s="53">
        <v>9.9999999999999995E-7</v>
      </c>
      <c r="D72" s="44">
        <f t="shared" si="2"/>
        <v>3.9567596479999998E-3</v>
      </c>
    </row>
    <row r="73" spans="1:4">
      <c r="A73" s="36" t="s">
        <v>81</v>
      </c>
      <c r="B73" s="26" t="s">
        <v>131</v>
      </c>
      <c r="C73" s="54">
        <v>1.9400000000000001E-2</v>
      </c>
      <c r="D73" s="44">
        <f>C73*($D$19+$D$27)</f>
        <v>76.761137171200005</v>
      </c>
    </row>
    <row r="74" spans="1:4" ht="25.5">
      <c r="A74" s="36" t="s">
        <v>83</v>
      </c>
      <c r="B74" s="26" t="s">
        <v>132</v>
      </c>
      <c r="C74" s="48">
        <v>7.1000000000000004E-3</v>
      </c>
      <c r="D74" s="44">
        <f>C74*($D$19+$D$27)</f>
        <v>28.092993500800002</v>
      </c>
    </row>
    <row r="75" spans="1:4" ht="25.5">
      <c r="A75" s="36" t="s">
        <v>85</v>
      </c>
      <c r="B75" s="26" t="s">
        <v>133</v>
      </c>
      <c r="C75" s="48">
        <v>1E-4</v>
      </c>
      <c r="D75" s="44">
        <f t="shared" si="2"/>
        <v>0.39567596480000006</v>
      </c>
    </row>
    <row r="76" spans="1:4">
      <c r="A76" s="55" t="s">
        <v>105</v>
      </c>
      <c r="B76" s="56" t="s">
        <v>134</v>
      </c>
      <c r="C76" s="48">
        <v>3.49E-2</v>
      </c>
      <c r="D76" s="44">
        <f>C76*($D$19+$D$27)</f>
        <v>138.09091171520001</v>
      </c>
    </row>
    <row r="77" spans="1:4">
      <c r="A77" s="296" t="s">
        <v>87</v>
      </c>
      <c r="B77" s="297"/>
      <c r="C77" s="45">
        <f t="shared" ref="C77:D77" si="3">SUM(C70:C76)</f>
        <v>6.6001000000000004E-2</v>
      </c>
      <c r="D77" s="46">
        <f t="shared" si="3"/>
        <v>261.15009352764804</v>
      </c>
    </row>
    <row r="78" spans="1:4" ht="26.25" customHeight="1">
      <c r="A78" s="293" t="s">
        <v>135</v>
      </c>
      <c r="B78" s="293"/>
      <c r="C78" s="293"/>
      <c r="D78" s="293"/>
    </row>
    <row r="79" spans="1:4" ht="17.25" customHeight="1">
      <c r="A79" s="293" t="s">
        <v>136</v>
      </c>
      <c r="B79" s="293"/>
      <c r="C79" s="293"/>
      <c r="D79" s="293"/>
    </row>
    <row r="81" spans="1:4" ht="23.1" customHeight="1">
      <c r="A81" s="277" t="s">
        <v>137</v>
      </c>
      <c r="B81" s="277"/>
      <c r="C81" s="277"/>
      <c r="D81" s="277"/>
    </row>
    <row r="82" spans="1:4" ht="39.75" customHeight="1">
      <c r="A82" s="275" t="s">
        <v>138</v>
      </c>
      <c r="B82" s="275"/>
      <c r="C82" s="275"/>
      <c r="D82" s="275"/>
    </row>
    <row r="84" spans="1:4" ht="16.5" customHeight="1">
      <c r="A84" s="299" t="s">
        <v>139</v>
      </c>
      <c r="B84" s="299"/>
      <c r="C84" s="299"/>
      <c r="D84" s="299"/>
    </row>
    <row r="85" spans="1:4">
      <c r="A85" s="33" t="s">
        <v>140</v>
      </c>
      <c r="B85" s="33" t="s">
        <v>141</v>
      </c>
      <c r="C85" s="33" t="s">
        <v>91</v>
      </c>
      <c r="D85" s="33" t="s">
        <v>74</v>
      </c>
    </row>
    <row r="86" spans="1:4">
      <c r="A86" s="36" t="s">
        <v>75</v>
      </c>
      <c r="B86" s="26" t="s">
        <v>142</v>
      </c>
      <c r="C86" s="48">
        <v>9.0899999999999995E-2</v>
      </c>
      <c r="D86" s="44">
        <f t="shared" ref="D86:D91" si="4">C86*($D$19+$D$27)</f>
        <v>359.66945200319998</v>
      </c>
    </row>
    <row r="87" spans="1:4">
      <c r="A87" s="36" t="s">
        <v>77</v>
      </c>
      <c r="B87" s="26" t="s">
        <v>143</v>
      </c>
      <c r="C87" s="48">
        <v>8.2000000000000007E-3</v>
      </c>
      <c r="D87" s="44">
        <f t="shared" si="4"/>
        <v>32.445429113600007</v>
      </c>
    </row>
    <row r="88" spans="1:4">
      <c r="A88" s="36" t="s">
        <v>80</v>
      </c>
      <c r="B88" s="26" t="s">
        <v>144</v>
      </c>
      <c r="C88" s="48">
        <v>2.0000000000000001E-4</v>
      </c>
      <c r="D88" s="44">
        <f t="shared" si="4"/>
        <v>0.79135192960000011</v>
      </c>
    </row>
    <row r="89" spans="1:4" ht="25.5">
      <c r="A89" s="36" t="s">
        <v>81</v>
      </c>
      <c r="B89" s="26" t="s">
        <v>145</v>
      </c>
      <c r="C89" s="48">
        <v>2.9999999999999997E-4</v>
      </c>
      <c r="D89" s="44">
        <f t="shared" si="4"/>
        <v>1.1870278943999999</v>
      </c>
    </row>
    <row r="90" spans="1:4">
      <c r="A90" s="36" t="s">
        <v>83</v>
      </c>
      <c r="B90" s="26" t="s">
        <v>146</v>
      </c>
      <c r="C90" s="48">
        <v>2.8999999999999998E-3</v>
      </c>
      <c r="D90" s="44">
        <f t="shared" si="4"/>
        <v>11.4746029792</v>
      </c>
    </row>
    <row r="91" spans="1:4" ht="25.5">
      <c r="A91" s="36" t="s">
        <v>85</v>
      </c>
      <c r="B91" s="26" t="s">
        <v>147</v>
      </c>
      <c r="C91" s="48">
        <v>1.66E-2</v>
      </c>
      <c r="D91" s="44">
        <f t="shared" si="4"/>
        <v>65.682210156800011</v>
      </c>
    </row>
    <row r="92" spans="1:4">
      <c r="A92" s="296" t="s">
        <v>87</v>
      </c>
      <c r="B92" s="297"/>
      <c r="C92" s="45">
        <f t="shared" ref="C92:D92" si="5">SUM(C86:C91)</f>
        <v>0.1191</v>
      </c>
      <c r="D92" s="46">
        <f t="shared" si="5"/>
        <v>471.25007407680005</v>
      </c>
    </row>
    <row r="93" spans="1:4" ht="30.75" customHeight="1">
      <c r="A93" s="293" t="s">
        <v>148</v>
      </c>
      <c r="B93" s="293"/>
      <c r="C93" s="293"/>
      <c r="D93" s="293"/>
    </row>
    <row r="95" spans="1:4" ht="12.75" hidden="1" customHeight="1">
      <c r="A95" s="300" t="s">
        <v>149</v>
      </c>
      <c r="B95" s="300"/>
      <c r="C95" s="300"/>
      <c r="D95" s="300"/>
    </row>
    <row r="96" spans="1:4" ht="12.75" hidden="1" customHeight="1">
      <c r="A96" s="33" t="s">
        <v>150</v>
      </c>
      <c r="B96" s="33" t="s">
        <v>151</v>
      </c>
      <c r="C96" s="33" t="s">
        <v>74</v>
      </c>
      <c r="D96" s="33"/>
    </row>
    <row r="97" spans="1:4" ht="25.5" hidden="1" customHeight="1">
      <c r="A97" s="36" t="s">
        <v>75</v>
      </c>
      <c r="B97" s="26" t="s">
        <v>152</v>
      </c>
      <c r="C97" s="57"/>
      <c r="D97" s="58"/>
    </row>
    <row r="98" spans="1:4" ht="12.75" hidden="1" customHeight="1">
      <c r="A98" s="305" t="s">
        <v>87</v>
      </c>
      <c r="B98" s="307"/>
      <c r="C98" s="44">
        <f>SUM(C97)</f>
        <v>0</v>
      </c>
      <c r="D98" s="58"/>
    </row>
    <row r="99" spans="1:4" ht="12.75" hidden="1" customHeight="1"/>
    <row r="100" spans="1:4" ht="18.600000000000001" customHeight="1">
      <c r="A100" s="277" t="s">
        <v>153</v>
      </c>
      <c r="B100" s="277"/>
      <c r="C100" s="277"/>
      <c r="D100" s="277"/>
    </row>
    <row r="101" spans="1:4">
      <c r="A101" s="35">
        <v>4</v>
      </c>
      <c r="B101" s="294" t="s">
        <v>154</v>
      </c>
      <c r="C101" s="294"/>
      <c r="D101" s="35" t="s">
        <v>74</v>
      </c>
    </row>
    <row r="102" spans="1:4">
      <c r="A102" s="36" t="s">
        <v>140</v>
      </c>
      <c r="B102" s="274" t="s">
        <v>141</v>
      </c>
      <c r="C102" s="274"/>
      <c r="D102" s="44">
        <f>D92</f>
        <v>471.25007407680005</v>
      </c>
    </row>
    <row r="103" spans="1:4" ht="12.75" hidden="1" customHeight="1">
      <c r="A103" s="36" t="s">
        <v>150</v>
      </c>
      <c r="B103" s="42" t="s">
        <v>155</v>
      </c>
      <c r="C103" s="42"/>
      <c r="D103" s="57">
        <f>C98</f>
        <v>0</v>
      </c>
    </row>
    <row r="104" spans="1:4">
      <c r="A104" s="294" t="s">
        <v>87</v>
      </c>
      <c r="B104" s="294"/>
      <c r="C104" s="294"/>
      <c r="D104" s="46">
        <f>SUM(D102:D103)</f>
        <v>471.25007407680005</v>
      </c>
    </row>
    <row r="106" spans="1:4" ht="14.45" customHeight="1">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EPIS'!$E$102+'TABELA 5 - Ferramentas'!$I$145</f>
        <v>54.283695652173897</v>
      </c>
    </row>
    <row r="110" spans="1:4">
      <c r="A110" s="36" t="s">
        <v>80</v>
      </c>
      <c r="B110" s="274" t="s">
        <v>160</v>
      </c>
      <c r="C110" s="274"/>
      <c r="D110" s="60" t="s">
        <v>79</v>
      </c>
    </row>
    <row r="111" spans="1:4">
      <c r="A111" s="36" t="s">
        <v>81</v>
      </c>
      <c r="B111" s="308" t="s">
        <v>86</v>
      </c>
      <c r="C111" s="309"/>
      <c r="D111" s="60" t="s">
        <v>79</v>
      </c>
    </row>
    <row r="112" spans="1:4">
      <c r="A112" s="294" t="s">
        <v>87</v>
      </c>
      <c r="B112" s="294"/>
      <c r="C112" s="294"/>
      <c r="D112" s="46">
        <f>SUM(D108:D111)</f>
        <v>151.97536231884055</v>
      </c>
    </row>
    <row r="113" spans="1:4" ht="12.75" customHeight="1">
      <c r="A113" s="293" t="s">
        <v>161</v>
      </c>
      <c r="B113" s="293"/>
      <c r="C113" s="293"/>
      <c r="D113" s="293"/>
    </row>
    <row r="115" spans="1:4" ht="14.45" customHeight="1">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314.86113641936447</v>
      </c>
    </row>
    <row r="119" spans="1:4">
      <c r="A119" s="36" t="s">
        <v>77</v>
      </c>
      <c r="B119" s="42" t="s">
        <v>166</v>
      </c>
      <c r="C119" s="191">
        <v>6.7900000000000002E-2</v>
      </c>
      <c r="D119" s="192">
        <f>$C119*(D$138+D118)</f>
        <v>448.96049442037179</v>
      </c>
    </row>
    <row r="120" spans="1:4">
      <c r="A120" s="187" t="s">
        <v>80</v>
      </c>
      <c r="B120" s="188" t="s">
        <v>167</v>
      </c>
      <c r="C120" s="193">
        <f>SUM(C121:C123)</f>
        <v>0.14250000000000002</v>
      </c>
      <c r="D120" s="192">
        <f>(D$138+D$119+D$118)*($C120/IF($C116="Lucro presumido",91.45%,85.75%))</f>
        <v>1173.4097040114882</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9">
        <f>SUM(D118:D124)</f>
        <v>1937.2313348512243</v>
      </c>
    </row>
    <row r="126" spans="1:4" ht="16.149999999999999" customHeight="1">
      <c r="A126" s="293" t="s">
        <v>175</v>
      </c>
      <c r="B126" s="293"/>
      <c r="C126" s="293"/>
      <c r="D126" s="293"/>
    </row>
    <row r="127" spans="1:4" ht="30.6" customHeight="1">
      <c r="A127" s="293" t="s">
        <v>176</v>
      </c>
      <c r="B127" s="293"/>
      <c r="C127" s="293"/>
      <c r="D127" s="293"/>
    </row>
    <row r="128" spans="1:4" ht="30" customHeight="1">
      <c r="A128" s="293" t="s">
        <v>562</v>
      </c>
      <c r="B128" s="293"/>
      <c r="C128" s="293"/>
      <c r="D128" s="293"/>
    </row>
    <row r="129" spans="1:4" ht="30.6" customHeight="1">
      <c r="A129" s="304" t="s">
        <v>561</v>
      </c>
      <c r="B129" s="304"/>
      <c r="C129" s="304"/>
      <c r="D129" s="304"/>
    </row>
    <row r="131" spans="1:4" ht="14.45" customHeight="1">
      <c r="A131" s="277" t="s">
        <v>177</v>
      </c>
      <c r="B131" s="277"/>
      <c r="C131" s="277"/>
      <c r="D131" s="277"/>
    </row>
    <row r="132" spans="1:4">
      <c r="A132" s="305" t="s">
        <v>178</v>
      </c>
      <c r="B132" s="306"/>
      <c r="C132" s="307"/>
      <c r="D132" s="33" t="s">
        <v>179</v>
      </c>
    </row>
    <row r="133" spans="1:4">
      <c r="A133" s="36" t="s">
        <v>75</v>
      </c>
      <c r="B133" s="275" t="s">
        <v>72</v>
      </c>
      <c r="C133" s="275"/>
      <c r="D133" s="44">
        <f>D19</f>
        <v>3529.04</v>
      </c>
    </row>
    <row r="134" spans="1:4" ht="30" customHeight="1">
      <c r="A134" s="36" t="s">
        <v>77</v>
      </c>
      <c r="B134" s="275" t="s">
        <v>89</v>
      </c>
      <c r="C134" s="275"/>
      <c r="D134" s="44">
        <f>D66</f>
        <v>1883.8071984640003</v>
      </c>
    </row>
    <row r="135" spans="1:4">
      <c r="A135" s="36" t="s">
        <v>80</v>
      </c>
      <c r="B135" s="275" t="s">
        <v>126</v>
      </c>
      <c r="C135" s="275"/>
      <c r="D135" s="44">
        <f>D77</f>
        <v>261.15009352764804</v>
      </c>
    </row>
    <row r="136" spans="1:4" ht="30" customHeight="1">
      <c r="A136" s="36" t="s">
        <v>81</v>
      </c>
      <c r="B136" s="275" t="s">
        <v>137</v>
      </c>
      <c r="C136" s="275"/>
      <c r="D136" s="44">
        <f>D104</f>
        <v>471.25007407680005</v>
      </c>
    </row>
    <row r="137" spans="1:4">
      <c r="A137" s="36" t="s">
        <v>83</v>
      </c>
      <c r="B137" s="275" t="s">
        <v>156</v>
      </c>
      <c r="C137" s="275"/>
      <c r="D137" s="44">
        <f>D112</f>
        <v>151.97536231884055</v>
      </c>
    </row>
    <row r="138" spans="1:4">
      <c r="A138" s="294" t="s">
        <v>180</v>
      </c>
      <c r="B138" s="294"/>
      <c r="C138" s="294"/>
      <c r="D138" s="46">
        <f>SUM(D133:D137)</f>
        <v>6297.222728387289</v>
      </c>
    </row>
    <row r="139" spans="1:4">
      <c r="A139" s="36" t="s">
        <v>85</v>
      </c>
      <c r="B139" s="274" t="s">
        <v>162</v>
      </c>
      <c r="C139" s="274"/>
      <c r="D139" s="44">
        <f>D125</f>
        <v>1937.2313348512243</v>
      </c>
    </row>
    <row r="140" spans="1:4">
      <c r="A140" s="277" t="s">
        <v>187</v>
      </c>
      <c r="B140" s="277"/>
      <c r="C140" s="277"/>
      <c r="D140" s="62">
        <f>SUM(D138:D139)</f>
        <v>8234.4540632385142</v>
      </c>
    </row>
    <row r="142" spans="1:4" ht="216.6" customHeight="1">
      <c r="A142" s="301" t="s">
        <v>602</v>
      </c>
      <c r="B142" s="301"/>
      <c r="C142" s="301"/>
      <c r="D142" s="301"/>
    </row>
  </sheetData>
  <mergeCells count="83">
    <mergeCell ref="B14:C14"/>
    <mergeCell ref="A1:D1"/>
    <mergeCell ref="A3:D3"/>
    <mergeCell ref="C4:D4"/>
    <mergeCell ref="C5:D5"/>
    <mergeCell ref="C6:D6"/>
    <mergeCell ref="C7:D7"/>
    <mergeCell ref="C8:D8"/>
    <mergeCell ref="C9:D9"/>
    <mergeCell ref="A11:D11"/>
    <mergeCell ref="B12:C12"/>
    <mergeCell ref="B13:C13"/>
    <mergeCell ref="A30:D30"/>
    <mergeCell ref="B15:C15"/>
    <mergeCell ref="B16:C16"/>
    <mergeCell ref="B17:C17"/>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9:D129"/>
    <mergeCell ref="A131:D131"/>
    <mergeCell ref="A132:C132"/>
    <mergeCell ref="A127:D127"/>
    <mergeCell ref="A128:D128"/>
    <mergeCell ref="A140:C140"/>
    <mergeCell ref="A142:D142"/>
    <mergeCell ref="B134:C134"/>
    <mergeCell ref="B135:C135"/>
    <mergeCell ref="B136:C136"/>
    <mergeCell ref="B137:C137"/>
    <mergeCell ref="A138:C138"/>
    <mergeCell ref="B139:C139"/>
  </mergeCells>
  <dataValidations disablePrompts="1" count="1">
    <dataValidation type="list" allowBlank="1" showInputMessage="1" showErrorMessage="1" sqref="C116:D116" xr:uid="{2CC5D19D-69CC-40EB-99A1-0AE335C102D6}">
      <formula1>"Lucro presumido,Lucro real"</formula1>
    </dataValidation>
  </dataValidation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1">
    <tabColor theme="0"/>
    <pageSetUpPr fitToPage="1"/>
  </sheetPr>
  <dimension ref="A1:K137"/>
  <sheetViews>
    <sheetView showGridLines="0" view="pageBreakPreview" topLeftCell="A20" zoomScale="145" zoomScaleNormal="100" zoomScaleSheetLayoutView="145" workbookViewId="0">
      <selection activeCell="B61" sqref="B61"/>
    </sheetView>
  </sheetViews>
  <sheetFormatPr defaultColWidth="9" defaultRowHeight="12.75"/>
  <cols>
    <col min="1" max="1" width="55.7109375" style="13" customWidth="1"/>
    <col min="2" max="2" width="11.140625" style="29" customWidth="1"/>
    <col min="3" max="3" width="11.85546875" style="30" bestFit="1" customWidth="1"/>
    <col min="4" max="4" width="12.7109375" style="31" customWidth="1"/>
    <col min="5" max="5" width="13.5703125" style="30" bestFit="1" customWidth="1"/>
    <col min="6" max="11" width="9" style="13" hidden="1" customWidth="1"/>
    <col min="12" max="16384" width="9" style="13"/>
  </cols>
  <sheetData>
    <row r="1" spans="1:11" ht="19.899999999999999" customHeight="1">
      <c r="A1" s="352" t="s">
        <v>211</v>
      </c>
      <c r="B1" s="352"/>
      <c r="C1" s="352"/>
      <c r="D1" s="352"/>
      <c r="E1" s="352"/>
    </row>
    <row r="2" spans="1:11" ht="28.15" customHeight="1">
      <c r="A2" s="347" t="s">
        <v>212</v>
      </c>
      <c r="B2" s="347"/>
      <c r="C2" s="347"/>
      <c r="D2" s="347"/>
      <c r="E2" s="347"/>
    </row>
    <row r="3" spans="1:11" ht="25.5">
      <c r="A3" s="14" t="s">
        <v>213</v>
      </c>
      <c r="B3" s="14" t="s">
        <v>583</v>
      </c>
      <c r="C3" s="14" t="s">
        <v>214</v>
      </c>
      <c r="D3" s="14" t="s">
        <v>215</v>
      </c>
      <c r="E3" s="14" t="s">
        <v>216</v>
      </c>
    </row>
    <row r="4" spans="1:11" ht="25.5">
      <c r="A4" s="213" t="s">
        <v>217</v>
      </c>
      <c r="B4" s="214">
        <v>2</v>
      </c>
      <c r="C4" s="215">
        <v>76.25</v>
      </c>
      <c r="D4" s="215">
        <f t="shared" ref="D4:D14" si="0">C4*B4</f>
        <v>152.5</v>
      </c>
      <c r="E4" s="17">
        <f>D4*2</f>
        <v>305</v>
      </c>
      <c r="F4" s="288"/>
      <c r="G4" s="350"/>
      <c r="H4" s="350"/>
      <c r="I4" s="350"/>
      <c r="J4" s="350"/>
      <c r="K4" s="350"/>
    </row>
    <row r="5" spans="1:11" ht="25.5">
      <c r="A5" s="15" t="s">
        <v>218</v>
      </c>
      <c r="B5" s="16">
        <v>4</v>
      </c>
      <c r="C5" s="17">
        <v>33.5</v>
      </c>
      <c r="D5" s="17">
        <f t="shared" si="0"/>
        <v>134</v>
      </c>
      <c r="E5" s="17">
        <f t="shared" ref="E5:E14" si="1">D5*2</f>
        <v>268</v>
      </c>
      <c r="F5" s="288"/>
      <c r="G5" s="350"/>
      <c r="H5" s="350"/>
      <c r="I5" s="350"/>
      <c r="J5" s="350"/>
      <c r="K5" s="350"/>
    </row>
    <row r="6" spans="1:11" ht="25.5">
      <c r="A6" s="15" t="s">
        <v>219</v>
      </c>
      <c r="B6" s="16">
        <v>1</v>
      </c>
      <c r="C6" s="17">
        <v>85.45</v>
      </c>
      <c r="D6" s="17">
        <f t="shared" si="0"/>
        <v>85.45</v>
      </c>
      <c r="E6" s="17">
        <f t="shared" si="1"/>
        <v>170.9</v>
      </c>
      <c r="F6" s="288"/>
      <c r="G6" s="350"/>
      <c r="H6" s="350"/>
      <c r="I6" s="350"/>
      <c r="J6" s="350"/>
      <c r="K6" s="350"/>
    </row>
    <row r="7" spans="1:11" ht="76.5">
      <c r="A7" s="15" t="s">
        <v>220</v>
      </c>
      <c r="B7" s="16">
        <v>1</v>
      </c>
      <c r="C7" s="17">
        <v>43.49</v>
      </c>
      <c r="D7" s="17">
        <f t="shared" si="0"/>
        <v>43.49</v>
      </c>
      <c r="E7" s="17">
        <f t="shared" si="1"/>
        <v>86.98</v>
      </c>
      <c r="F7" s="288"/>
      <c r="G7" s="350"/>
      <c r="H7" s="350"/>
      <c r="I7" s="350"/>
      <c r="J7" s="350"/>
      <c r="K7" s="350"/>
    </row>
    <row r="8" spans="1:11">
      <c r="A8" s="15" t="s">
        <v>221</v>
      </c>
      <c r="B8" s="16">
        <v>4</v>
      </c>
      <c r="C8" s="17">
        <v>13.25</v>
      </c>
      <c r="D8" s="17">
        <f t="shared" si="0"/>
        <v>53</v>
      </c>
      <c r="E8" s="17">
        <f t="shared" si="1"/>
        <v>106</v>
      </c>
      <c r="F8" s="288"/>
      <c r="G8" s="350"/>
      <c r="H8" s="350"/>
      <c r="I8" s="350"/>
      <c r="J8" s="350"/>
      <c r="K8" s="350"/>
    </row>
    <row r="9" spans="1:11" ht="25.5">
      <c r="A9" s="15" t="s">
        <v>222</v>
      </c>
      <c r="B9" s="16">
        <v>1</v>
      </c>
      <c r="C9" s="17">
        <v>22</v>
      </c>
      <c r="D9" s="17">
        <f t="shared" si="0"/>
        <v>22</v>
      </c>
      <c r="E9" s="17">
        <f t="shared" si="1"/>
        <v>44</v>
      </c>
      <c r="F9" s="288" t="s">
        <v>223</v>
      </c>
      <c r="G9" s="350"/>
      <c r="H9" s="350"/>
      <c r="I9" s="350"/>
      <c r="J9" s="350"/>
      <c r="K9" s="350"/>
    </row>
    <row r="10" spans="1:11" ht="51">
      <c r="A10" s="15" t="s">
        <v>224</v>
      </c>
      <c r="B10" s="16">
        <v>1</v>
      </c>
      <c r="C10" s="17">
        <v>516.87</v>
      </c>
      <c r="D10" s="17">
        <f t="shared" si="0"/>
        <v>516.87</v>
      </c>
      <c r="E10" s="17">
        <f t="shared" si="1"/>
        <v>1033.74</v>
      </c>
      <c r="F10" s="288"/>
      <c r="G10" s="350"/>
      <c r="H10" s="350"/>
      <c r="I10" s="350"/>
      <c r="J10" s="350"/>
      <c r="K10" s="350"/>
    </row>
    <row r="11" spans="1:11" ht="25.5">
      <c r="A11" s="15" t="s">
        <v>225</v>
      </c>
      <c r="B11" s="16">
        <v>1</v>
      </c>
      <c r="C11" s="17">
        <v>61.23</v>
      </c>
      <c r="D11" s="17">
        <f t="shared" si="0"/>
        <v>61.23</v>
      </c>
      <c r="E11" s="17">
        <f t="shared" si="1"/>
        <v>122.46</v>
      </c>
      <c r="F11" s="288"/>
      <c r="G11" s="350"/>
      <c r="H11" s="350"/>
      <c r="I11" s="350"/>
      <c r="J11" s="350"/>
      <c r="K11" s="350"/>
    </row>
    <row r="12" spans="1:11">
      <c r="A12" s="15" t="s">
        <v>226</v>
      </c>
      <c r="B12" s="16">
        <v>1</v>
      </c>
      <c r="C12" s="17">
        <v>25.41</v>
      </c>
      <c r="D12" s="17">
        <f t="shared" si="0"/>
        <v>25.41</v>
      </c>
      <c r="E12" s="17">
        <f t="shared" si="1"/>
        <v>50.82</v>
      </c>
      <c r="F12" s="288"/>
      <c r="G12" s="350"/>
      <c r="H12" s="350"/>
      <c r="I12" s="350"/>
      <c r="J12" s="350"/>
      <c r="K12" s="350"/>
    </row>
    <row r="13" spans="1:11">
      <c r="A13" s="15" t="s">
        <v>227</v>
      </c>
      <c r="B13" s="16">
        <v>1</v>
      </c>
      <c r="C13" s="17">
        <v>51.14</v>
      </c>
      <c r="D13" s="17">
        <f t="shared" si="0"/>
        <v>51.14</v>
      </c>
      <c r="E13" s="17">
        <f t="shared" si="1"/>
        <v>102.28</v>
      </c>
      <c r="F13" s="288"/>
      <c r="G13" s="350"/>
      <c r="H13" s="350"/>
      <c r="I13" s="350"/>
      <c r="J13" s="350"/>
      <c r="K13" s="350"/>
    </row>
    <row r="14" spans="1:11" ht="37.5" customHeight="1">
      <c r="A14" s="15" t="s">
        <v>228</v>
      </c>
      <c r="B14" s="16">
        <v>1</v>
      </c>
      <c r="C14" s="17">
        <v>153.26</v>
      </c>
      <c r="D14" s="17">
        <f t="shared" si="0"/>
        <v>153.26</v>
      </c>
      <c r="E14" s="17">
        <f t="shared" si="1"/>
        <v>306.52</v>
      </c>
    </row>
    <row r="15" spans="1:11">
      <c r="A15" s="353" t="s">
        <v>229</v>
      </c>
      <c r="B15" s="353"/>
      <c r="C15" s="353"/>
      <c r="D15" s="353"/>
      <c r="E15" s="19">
        <f>SUM(E4:E14)</f>
        <v>2596.7000000000003</v>
      </c>
    </row>
    <row r="16" spans="1:11">
      <c r="A16" s="353" t="s">
        <v>230</v>
      </c>
      <c r="B16" s="353"/>
      <c r="C16" s="353"/>
      <c r="D16" s="353"/>
      <c r="E16" s="19">
        <f>E15/12</f>
        <v>216.39166666666668</v>
      </c>
    </row>
    <row r="17" spans="1:11">
      <c r="A17" s="20"/>
      <c r="B17" s="20"/>
      <c r="C17" s="20"/>
      <c r="D17" s="20"/>
      <c r="E17" s="21"/>
    </row>
    <row r="18" spans="1:11">
      <c r="B18" s="13"/>
      <c r="C18" s="13"/>
      <c r="D18" s="13"/>
      <c r="E18" s="13"/>
    </row>
    <row r="19" spans="1:11" ht="42" customHeight="1">
      <c r="A19" s="347" t="s">
        <v>231</v>
      </c>
      <c r="B19" s="347"/>
      <c r="C19" s="347"/>
      <c r="D19" s="347"/>
      <c r="E19" s="347"/>
    </row>
    <row r="20" spans="1:11" ht="25.5">
      <c r="A20" s="14" t="s">
        <v>213</v>
      </c>
      <c r="B20" s="14" t="s">
        <v>584</v>
      </c>
      <c r="C20" s="14" t="s">
        <v>214</v>
      </c>
      <c r="D20" s="14" t="s">
        <v>215</v>
      </c>
      <c r="E20" s="14" t="s">
        <v>216</v>
      </c>
      <c r="F20" s="288" t="s">
        <v>232</v>
      </c>
      <c r="G20" s="350"/>
      <c r="H20" s="350"/>
      <c r="I20" s="350"/>
      <c r="J20" s="350"/>
      <c r="K20" s="350"/>
    </row>
    <row r="21" spans="1:11" ht="37.15" customHeight="1">
      <c r="A21" s="22" t="s">
        <v>233</v>
      </c>
      <c r="B21" s="23">
        <v>1</v>
      </c>
      <c r="C21" s="17">
        <v>65.47</v>
      </c>
      <c r="D21" s="24">
        <f t="shared" ref="D21:D27" si="2">C21*B21</f>
        <v>65.47</v>
      </c>
      <c r="E21" s="24">
        <f>D21*2</f>
        <v>130.94</v>
      </c>
      <c r="F21" s="288"/>
      <c r="G21" s="350"/>
      <c r="H21" s="350"/>
      <c r="I21" s="350"/>
      <c r="J21" s="350"/>
      <c r="K21" s="350"/>
    </row>
    <row r="22" spans="1:11" ht="25.5">
      <c r="A22" s="22" t="s">
        <v>217</v>
      </c>
      <c r="B22" s="23">
        <v>2</v>
      </c>
      <c r="C22" s="17">
        <f t="shared" ref="C22:C27" si="3">C4</f>
        <v>76.25</v>
      </c>
      <c r="D22" s="24">
        <f t="shared" si="2"/>
        <v>152.5</v>
      </c>
      <c r="E22" s="24">
        <f t="shared" ref="E22:E27" si="4">D22*2</f>
        <v>305</v>
      </c>
      <c r="F22" s="288"/>
      <c r="G22" s="350"/>
      <c r="H22" s="350"/>
      <c r="I22" s="350"/>
      <c r="J22" s="350"/>
      <c r="K22" s="350"/>
    </row>
    <row r="23" spans="1:11" ht="25.5">
      <c r="A23" s="22" t="s">
        <v>234</v>
      </c>
      <c r="B23" s="23">
        <v>4</v>
      </c>
      <c r="C23" s="17">
        <f t="shared" si="3"/>
        <v>33.5</v>
      </c>
      <c r="D23" s="24">
        <f t="shared" si="2"/>
        <v>134</v>
      </c>
      <c r="E23" s="24">
        <f t="shared" si="4"/>
        <v>268</v>
      </c>
      <c r="F23" s="288"/>
      <c r="G23" s="350"/>
      <c r="H23" s="350"/>
      <c r="I23" s="350"/>
      <c r="J23" s="350"/>
      <c r="K23" s="350"/>
    </row>
    <row r="24" spans="1:11" ht="25.5">
      <c r="A24" s="22" t="s">
        <v>235</v>
      </c>
      <c r="B24" s="23">
        <v>1</v>
      </c>
      <c r="C24" s="17">
        <f t="shared" si="3"/>
        <v>85.45</v>
      </c>
      <c r="D24" s="24">
        <f t="shared" si="2"/>
        <v>85.45</v>
      </c>
      <c r="E24" s="24">
        <f t="shared" si="4"/>
        <v>170.9</v>
      </c>
      <c r="F24" s="288"/>
      <c r="G24" s="350"/>
      <c r="H24" s="350"/>
      <c r="I24" s="350"/>
      <c r="J24" s="350"/>
      <c r="K24" s="350"/>
    </row>
    <row r="25" spans="1:11" ht="76.5">
      <c r="A25" s="22" t="s">
        <v>220</v>
      </c>
      <c r="B25" s="23">
        <v>2</v>
      </c>
      <c r="C25" s="17">
        <f t="shared" si="3"/>
        <v>43.49</v>
      </c>
      <c r="D25" s="24">
        <f t="shared" si="2"/>
        <v>86.98</v>
      </c>
      <c r="E25" s="24">
        <f t="shared" si="4"/>
        <v>173.96</v>
      </c>
      <c r="F25" s="288"/>
      <c r="G25" s="350"/>
      <c r="H25" s="350"/>
      <c r="I25" s="350"/>
      <c r="J25" s="350"/>
      <c r="K25" s="350"/>
    </row>
    <row r="26" spans="1:11" ht="18" customHeight="1">
      <c r="A26" s="22" t="s">
        <v>221</v>
      </c>
      <c r="B26" s="23">
        <v>3</v>
      </c>
      <c r="C26" s="17">
        <f t="shared" si="3"/>
        <v>13.25</v>
      </c>
      <c r="D26" s="24">
        <f t="shared" si="2"/>
        <v>39.75</v>
      </c>
      <c r="E26" s="24">
        <f t="shared" si="4"/>
        <v>79.5</v>
      </c>
    </row>
    <row r="27" spans="1:11" ht="25.5">
      <c r="A27" s="22" t="s">
        <v>222</v>
      </c>
      <c r="B27" s="23">
        <v>1</v>
      </c>
      <c r="C27" s="17">
        <f t="shared" si="3"/>
        <v>22</v>
      </c>
      <c r="D27" s="24">
        <f t="shared" si="2"/>
        <v>22</v>
      </c>
      <c r="E27" s="24">
        <f t="shared" si="4"/>
        <v>44</v>
      </c>
    </row>
    <row r="28" spans="1:11">
      <c r="A28" s="353" t="s">
        <v>229</v>
      </c>
      <c r="B28" s="353"/>
      <c r="C28" s="353"/>
      <c r="D28" s="353"/>
      <c r="E28" s="19">
        <f>SUM(E21:E27)</f>
        <v>1172.3</v>
      </c>
    </row>
    <row r="29" spans="1:11" ht="18" customHeight="1">
      <c r="A29" s="353" t="s">
        <v>230</v>
      </c>
      <c r="B29" s="353"/>
      <c r="C29" s="353"/>
      <c r="D29" s="353"/>
      <c r="E29" s="19">
        <f>E28/12</f>
        <v>97.691666666666663</v>
      </c>
    </row>
    <row r="30" spans="1:11" ht="28.5" customHeight="1">
      <c r="B30" s="13"/>
      <c r="C30" s="13"/>
      <c r="D30" s="13"/>
      <c r="E30" s="13"/>
    </row>
    <row r="31" spans="1:11" ht="18.75" customHeight="1">
      <c r="A31" s="347" t="s">
        <v>236</v>
      </c>
      <c r="B31" s="347"/>
      <c r="C31" s="347"/>
      <c r="D31" s="347"/>
      <c r="E31" s="347"/>
      <c r="F31" s="288" t="s">
        <v>232</v>
      </c>
      <c r="G31" s="350"/>
      <c r="H31" s="350"/>
      <c r="I31" s="350"/>
      <c r="J31" s="350"/>
      <c r="K31" s="350"/>
    </row>
    <row r="32" spans="1:11" ht="25.5">
      <c r="A32" s="14" t="s">
        <v>213</v>
      </c>
      <c r="B32" s="14" t="s">
        <v>584</v>
      </c>
      <c r="C32" s="14" t="s">
        <v>214</v>
      </c>
      <c r="D32" s="14" t="s">
        <v>215</v>
      </c>
      <c r="E32" s="14" t="s">
        <v>216</v>
      </c>
      <c r="F32" s="288"/>
      <c r="G32" s="350"/>
      <c r="H32" s="350"/>
      <c r="I32" s="350"/>
      <c r="J32" s="350"/>
      <c r="K32" s="350"/>
    </row>
    <row r="33" spans="1:11" ht="25.5">
      <c r="A33" s="22" t="s">
        <v>237</v>
      </c>
      <c r="B33" s="23">
        <v>2</v>
      </c>
      <c r="C33" s="17">
        <f>C4</f>
        <v>76.25</v>
      </c>
      <c r="D33" s="24">
        <f t="shared" ref="D33:D38" si="5">C33*B33</f>
        <v>152.5</v>
      </c>
      <c r="E33" s="24">
        <f>D33*2</f>
        <v>305</v>
      </c>
      <c r="F33" s="288"/>
      <c r="G33" s="350"/>
      <c r="H33" s="350"/>
      <c r="I33" s="350"/>
      <c r="J33" s="350"/>
      <c r="K33" s="350"/>
    </row>
    <row r="34" spans="1:11" ht="30.75" customHeight="1">
      <c r="A34" s="22" t="s">
        <v>238</v>
      </c>
      <c r="B34" s="23">
        <v>4</v>
      </c>
      <c r="C34" s="17">
        <f>C23</f>
        <v>33.5</v>
      </c>
      <c r="D34" s="24">
        <f t="shared" si="5"/>
        <v>134</v>
      </c>
      <c r="E34" s="24">
        <f t="shared" ref="E34:E38" si="6">D34*2</f>
        <v>268</v>
      </c>
      <c r="F34" s="288"/>
      <c r="G34" s="350"/>
      <c r="H34" s="350"/>
      <c r="I34" s="350"/>
      <c r="J34" s="350"/>
      <c r="K34" s="350"/>
    </row>
    <row r="35" spans="1:11" ht="44.25" customHeight="1">
      <c r="A35" s="22" t="s">
        <v>239</v>
      </c>
      <c r="B35" s="23">
        <v>1</v>
      </c>
      <c r="C35" s="17">
        <f>C24</f>
        <v>85.45</v>
      </c>
      <c r="D35" s="24">
        <f t="shared" si="5"/>
        <v>85.45</v>
      </c>
      <c r="E35" s="24">
        <f t="shared" si="6"/>
        <v>170.9</v>
      </c>
      <c r="F35" s="288"/>
      <c r="G35" s="350"/>
      <c r="H35" s="350"/>
      <c r="I35" s="350"/>
      <c r="J35" s="350"/>
      <c r="K35" s="350"/>
    </row>
    <row r="36" spans="1:11" ht="44.25" customHeight="1">
      <c r="A36" s="213" t="s">
        <v>240</v>
      </c>
      <c r="B36" s="23">
        <v>2</v>
      </c>
      <c r="C36" s="17">
        <v>49.41</v>
      </c>
      <c r="D36" s="24">
        <f t="shared" si="5"/>
        <v>98.82</v>
      </c>
      <c r="E36" s="24">
        <f t="shared" si="6"/>
        <v>197.64</v>
      </c>
    </row>
    <row r="37" spans="1:11" ht="15.75" customHeight="1">
      <c r="A37" s="22" t="s">
        <v>221</v>
      </c>
      <c r="B37" s="23">
        <v>3</v>
      </c>
      <c r="C37" s="17">
        <f>C26</f>
        <v>13.25</v>
      </c>
      <c r="D37" s="24">
        <f t="shared" si="5"/>
        <v>39.75</v>
      </c>
      <c r="E37" s="24">
        <f t="shared" si="6"/>
        <v>79.5</v>
      </c>
    </row>
    <row r="38" spans="1:11" ht="25.5">
      <c r="A38" s="22" t="s">
        <v>222</v>
      </c>
      <c r="B38" s="23">
        <v>1</v>
      </c>
      <c r="C38" s="17">
        <f>C27</f>
        <v>22</v>
      </c>
      <c r="D38" s="24">
        <f t="shared" si="5"/>
        <v>22</v>
      </c>
      <c r="E38" s="24">
        <f t="shared" si="6"/>
        <v>44</v>
      </c>
    </row>
    <row r="39" spans="1:11">
      <c r="A39" s="346" t="s">
        <v>241</v>
      </c>
      <c r="B39" s="346"/>
      <c r="C39" s="346"/>
      <c r="D39" s="346"/>
      <c r="E39" s="25">
        <f>SUM(E33:E38)</f>
        <v>1065.04</v>
      </c>
    </row>
    <row r="40" spans="1:11">
      <c r="A40" s="346" t="s">
        <v>230</v>
      </c>
      <c r="B40" s="346"/>
      <c r="C40" s="346"/>
      <c r="D40" s="346"/>
      <c r="E40" s="25">
        <f>E39/12</f>
        <v>88.75333333333333</v>
      </c>
    </row>
    <row r="41" spans="1:11" ht="18" customHeight="1">
      <c r="A41" s="351"/>
      <c r="B41" s="351"/>
      <c r="C41" s="351"/>
      <c r="D41" s="351"/>
      <c r="E41" s="351"/>
    </row>
    <row r="42" spans="1:11">
      <c r="A42" s="352" t="s">
        <v>242</v>
      </c>
      <c r="B42" s="352"/>
      <c r="C42" s="352"/>
      <c r="D42" s="352"/>
      <c r="E42" s="352"/>
      <c r="F42" s="288" t="s">
        <v>243</v>
      </c>
      <c r="G42" s="350"/>
      <c r="H42" s="350"/>
      <c r="I42" s="350"/>
      <c r="J42" s="350"/>
      <c r="K42" s="350"/>
    </row>
    <row r="43" spans="1:11">
      <c r="A43" s="347" t="s">
        <v>244</v>
      </c>
      <c r="B43" s="347"/>
      <c r="C43" s="347"/>
      <c r="D43" s="347"/>
      <c r="E43" s="347"/>
      <c r="F43" s="288"/>
      <c r="G43" s="350"/>
      <c r="H43" s="350"/>
      <c r="I43" s="350"/>
      <c r="J43" s="350"/>
      <c r="K43" s="350"/>
    </row>
    <row r="44" spans="1:11" ht="25.5">
      <c r="A44" s="14" t="s">
        <v>245</v>
      </c>
      <c r="B44" s="14" t="s">
        <v>584</v>
      </c>
      <c r="C44" s="14" t="s">
        <v>214</v>
      </c>
      <c r="D44" s="14" t="s">
        <v>215</v>
      </c>
      <c r="E44" s="14" t="s">
        <v>216</v>
      </c>
    </row>
    <row r="45" spans="1:11" ht="38.25">
      <c r="A45" s="27" t="s">
        <v>246</v>
      </c>
      <c r="B45" s="23">
        <v>1</v>
      </c>
      <c r="C45" s="17">
        <v>10.42</v>
      </c>
      <c r="D45" s="24">
        <f>C45*B45</f>
        <v>10.42</v>
      </c>
      <c r="E45" s="24">
        <f>D45*2</f>
        <v>20.84</v>
      </c>
    </row>
    <row r="46" spans="1:11" ht="25.5">
      <c r="A46" s="27" t="s">
        <v>247</v>
      </c>
      <c r="B46" s="23">
        <v>1</v>
      </c>
      <c r="C46" s="17">
        <v>17.38</v>
      </c>
      <c r="D46" s="24">
        <f>C46*B46</f>
        <v>17.38</v>
      </c>
      <c r="E46" s="24">
        <f>D46*2</f>
        <v>34.76</v>
      </c>
    </row>
    <row r="47" spans="1:11">
      <c r="A47" s="346" t="s">
        <v>229</v>
      </c>
      <c r="B47" s="346"/>
      <c r="C47" s="346"/>
      <c r="D47" s="346"/>
      <c r="E47" s="25">
        <f>SUM(E45:E46)</f>
        <v>55.599999999999994</v>
      </c>
    </row>
    <row r="48" spans="1:11" ht="18" customHeight="1">
      <c r="A48" s="346" t="s">
        <v>230</v>
      </c>
      <c r="B48" s="346"/>
      <c r="C48" s="346"/>
      <c r="D48" s="346"/>
      <c r="E48" s="25">
        <f>E47/12</f>
        <v>4.6333333333333329</v>
      </c>
      <c r="F48" s="288" t="s">
        <v>243</v>
      </c>
      <c r="G48" s="350"/>
      <c r="H48" s="350"/>
      <c r="I48" s="350"/>
      <c r="J48" s="350"/>
      <c r="K48" s="350"/>
    </row>
    <row r="49" spans="1:11">
      <c r="B49" s="13"/>
      <c r="C49" s="13"/>
      <c r="D49" s="13"/>
      <c r="E49" s="13"/>
      <c r="F49" s="288"/>
      <c r="G49" s="350"/>
      <c r="H49" s="350"/>
      <c r="I49" s="350"/>
      <c r="J49" s="350"/>
      <c r="K49" s="350"/>
    </row>
    <row r="50" spans="1:11">
      <c r="A50" s="347" t="s">
        <v>248</v>
      </c>
      <c r="B50" s="347"/>
      <c r="C50" s="347"/>
      <c r="D50" s="347"/>
      <c r="E50" s="347"/>
      <c r="F50" s="288"/>
      <c r="G50" s="350"/>
      <c r="H50" s="350"/>
      <c r="I50" s="350"/>
      <c r="J50" s="350"/>
      <c r="K50" s="350"/>
    </row>
    <row r="51" spans="1:11" ht="25.5">
      <c r="A51" s="14" t="s">
        <v>245</v>
      </c>
      <c r="B51" s="14" t="s">
        <v>584</v>
      </c>
      <c r="C51" s="14" t="s">
        <v>214</v>
      </c>
      <c r="D51" s="14" t="s">
        <v>215</v>
      </c>
      <c r="E51" s="14" t="s">
        <v>216</v>
      </c>
      <c r="F51" s="288"/>
      <c r="G51" s="350"/>
      <c r="H51" s="350"/>
      <c r="I51" s="350"/>
      <c r="J51" s="350"/>
      <c r="K51" s="350"/>
    </row>
    <row r="52" spans="1:11" ht="25.5">
      <c r="A52" s="28" t="s">
        <v>249</v>
      </c>
      <c r="B52" s="16">
        <v>1</v>
      </c>
      <c r="C52" s="17">
        <v>84.36</v>
      </c>
      <c r="D52" s="24">
        <f>C52*B52</f>
        <v>84.36</v>
      </c>
      <c r="E52" s="24">
        <f>D52*2</f>
        <v>168.72</v>
      </c>
    </row>
    <row r="53" spans="1:11" ht="38.25">
      <c r="A53" s="28" t="s">
        <v>250</v>
      </c>
      <c r="B53" s="16">
        <v>1</v>
      </c>
      <c r="C53" s="17">
        <v>44.89</v>
      </c>
      <c r="D53" s="24">
        <f>C53*B53</f>
        <v>44.89</v>
      </c>
      <c r="E53" s="24">
        <f t="shared" ref="E53:E55" si="7">D53*2</f>
        <v>89.78</v>
      </c>
    </row>
    <row r="54" spans="1:11" ht="25.5">
      <c r="A54" s="28" t="s">
        <v>251</v>
      </c>
      <c r="B54" s="16">
        <v>1</v>
      </c>
      <c r="C54" s="17">
        <v>382.37</v>
      </c>
      <c r="D54" s="24">
        <f>C54*B54</f>
        <v>382.37</v>
      </c>
      <c r="E54" s="24">
        <f t="shared" si="7"/>
        <v>764.74</v>
      </c>
    </row>
    <row r="55" spans="1:11" ht="38.25">
      <c r="A55" s="28" t="s">
        <v>252</v>
      </c>
      <c r="B55" s="16">
        <v>1</v>
      </c>
      <c r="C55" s="17">
        <v>4.1100000000000003</v>
      </c>
      <c r="D55" s="24">
        <f>C55*B55</f>
        <v>4.1100000000000003</v>
      </c>
      <c r="E55" s="24">
        <f t="shared" si="7"/>
        <v>8.2200000000000006</v>
      </c>
    </row>
    <row r="56" spans="1:11">
      <c r="A56" s="346" t="s">
        <v>229</v>
      </c>
      <c r="B56" s="346"/>
      <c r="C56" s="346"/>
      <c r="D56" s="346"/>
      <c r="E56" s="25">
        <f>SUM(E52:E55)</f>
        <v>1031.46</v>
      </c>
      <c r="F56" s="288" t="s">
        <v>243</v>
      </c>
      <c r="G56" s="350"/>
      <c r="H56" s="350"/>
      <c r="I56" s="350"/>
      <c r="J56" s="350"/>
      <c r="K56" s="350"/>
    </row>
    <row r="57" spans="1:11">
      <c r="A57" s="346" t="s">
        <v>230</v>
      </c>
      <c r="B57" s="346"/>
      <c r="C57" s="346"/>
      <c r="D57" s="346"/>
      <c r="E57" s="25">
        <f>E56/12</f>
        <v>85.954999999999998</v>
      </c>
      <c r="F57" s="288"/>
      <c r="G57" s="350"/>
      <c r="H57" s="350"/>
      <c r="I57" s="350"/>
      <c r="J57" s="350"/>
      <c r="K57" s="350"/>
    </row>
    <row r="58" spans="1:11" ht="21" customHeight="1">
      <c r="B58" s="13"/>
      <c r="C58" s="13"/>
      <c r="D58" s="13"/>
      <c r="E58" s="13"/>
      <c r="F58" s="288"/>
      <c r="G58" s="350"/>
      <c r="H58" s="350"/>
      <c r="I58" s="350"/>
      <c r="J58" s="350"/>
      <c r="K58" s="350"/>
    </row>
    <row r="59" spans="1:11">
      <c r="A59" s="347" t="s">
        <v>253</v>
      </c>
      <c r="B59" s="347"/>
      <c r="C59" s="347"/>
      <c r="D59" s="347"/>
      <c r="E59" s="347"/>
      <c r="F59" s="288"/>
      <c r="G59" s="350"/>
      <c r="H59" s="350"/>
      <c r="I59" s="350"/>
      <c r="J59" s="350"/>
      <c r="K59" s="350"/>
    </row>
    <row r="60" spans="1:11" ht="25.5">
      <c r="A60" s="14" t="s">
        <v>245</v>
      </c>
      <c r="B60" s="14" t="s">
        <v>584</v>
      </c>
      <c r="C60" s="14" t="s">
        <v>214</v>
      </c>
      <c r="D60" s="14" t="s">
        <v>215</v>
      </c>
      <c r="E60" s="14" t="s">
        <v>216</v>
      </c>
      <c r="F60" s="288"/>
      <c r="G60" s="350"/>
      <c r="H60" s="350"/>
      <c r="I60" s="350"/>
      <c r="J60" s="350"/>
      <c r="K60" s="350"/>
    </row>
    <row r="61" spans="1:11" ht="25.5">
      <c r="A61" s="28" t="s">
        <v>254</v>
      </c>
      <c r="B61" s="16">
        <v>2</v>
      </c>
      <c r="C61" s="17">
        <v>12.32</v>
      </c>
      <c r="D61" s="24">
        <f t="shared" ref="D61:D68" si="8">C61*B61</f>
        <v>24.64</v>
      </c>
      <c r="E61" s="24">
        <f>D61*2</f>
        <v>49.28</v>
      </c>
      <c r="F61" s="288"/>
      <c r="G61" s="350"/>
      <c r="H61" s="350"/>
      <c r="I61" s="350"/>
      <c r="J61" s="350"/>
      <c r="K61" s="350"/>
    </row>
    <row r="62" spans="1:11" ht="25.5">
      <c r="A62" s="28" t="s">
        <v>255</v>
      </c>
      <c r="B62" s="16">
        <v>2</v>
      </c>
      <c r="C62" s="17">
        <v>40.67</v>
      </c>
      <c r="D62" s="24">
        <f t="shared" si="8"/>
        <v>81.34</v>
      </c>
      <c r="E62" s="24">
        <f t="shared" ref="E62:E68" si="9">D62*2</f>
        <v>162.68</v>
      </c>
      <c r="F62" s="288"/>
      <c r="G62" s="350"/>
      <c r="H62" s="350"/>
      <c r="I62" s="350"/>
      <c r="J62" s="350"/>
      <c r="K62" s="350"/>
    </row>
    <row r="63" spans="1:11" ht="25.5">
      <c r="A63" s="28" t="s">
        <v>256</v>
      </c>
      <c r="B63" s="16">
        <v>2</v>
      </c>
      <c r="C63" s="17">
        <v>23.12</v>
      </c>
      <c r="D63" s="24">
        <f t="shared" si="8"/>
        <v>46.24</v>
      </c>
      <c r="E63" s="24">
        <f t="shared" si="9"/>
        <v>92.48</v>
      </c>
    </row>
    <row r="64" spans="1:11" ht="25.5">
      <c r="A64" s="28" t="s">
        <v>257</v>
      </c>
      <c r="B64" s="16">
        <v>2</v>
      </c>
      <c r="C64" s="17">
        <v>14.26</v>
      </c>
      <c r="D64" s="24">
        <f t="shared" si="8"/>
        <v>28.52</v>
      </c>
      <c r="E64" s="24">
        <f t="shared" si="9"/>
        <v>57.04</v>
      </c>
    </row>
    <row r="65" spans="1:11" ht="63.75">
      <c r="A65" s="28" t="s">
        <v>258</v>
      </c>
      <c r="B65" s="16">
        <v>1</v>
      </c>
      <c r="C65" s="17">
        <v>315.98</v>
      </c>
      <c r="D65" s="24">
        <f t="shared" si="8"/>
        <v>315.98</v>
      </c>
      <c r="E65" s="24">
        <f t="shared" si="9"/>
        <v>631.96</v>
      </c>
    </row>
    <row r="66" spans="1:11">
      <c r="A66" s="28" t="s">
        <v>259</v>
      </c>
      <c r="B66" s="16">
        <v>1</v>
      </c>
      <c r="C66" s="17">
        <v>47.82</v>
      </c>
      <c r="D66" s="24">
        <f t="shared" si="8"/>
        <v>47.82</v>
      </c>
      <c r="E66" s="24">
        <f t="shared" si="9"/>
        <v>95.64</v>
      </c>
    </row>
    <row r="67" spans="1:11">
      <c r="A67" s="28" t="s">
        <v>260</v>
      </c>
      <c r="B67" s="16">
        <v>1</v>
      </c>
      <c r="C67" s="17">
        <v>57.08</v>
      </c>
      <c r="D67" s="24">
        <f t="shared" si="8"/>
        <v>57.08</v>
      </c>
      <c r="E67" s="24">
        <f t="shared" si="9"/>
        <v>114.16</v>
      </c>
    </row>
    <row r="68" spans="1:11">
      <c r="A68" s="28" t="s">
        <v>261</v>
      </c>
      <c r="B68" s="16">
        <v>1</v>
      </c>
      <c r="C68" s="17">
        <v>13.75</v>
      </c>
      <c r="D68" s="24">
        <f t="shared" si="8"/>
        <v>13.75</v>
      </c>
      <c r="E68" s="24">
        <f t="shared" si="9"/>
        <v>27.5</v>
      </c>
      <c r="F68" s="288" t="s">
        <v>243</v>
      </c>
      <c r="G68" s="350"/>
      <c r="H68" s="350"/>
      <c r="I68" s="350"/>
      <c r="J68" s="350"/>
      <c r="K68" s="350"/>
    </row>
    <row r="69" spans="1:11">
      <c r="A69" s="346" t="s">
        <v>229</v>
      </c>
      <c r="B69" s="346"/>
      <c r="C69" s="346"/>
      <c r="D69" s="346"/>
      <c r="E69" s="25">
        <f>SUM(E61:E68)</f>
        <v>1230.7400000000002</v>
      </c>
      <c r="F69" s="288"/>
      <c r="G69" s="350"/>
      <c r="H69" s="350"/>
      <c r="I69" s="350"/>
      <c r="J69" s="350"/>
      <c r="K69" s="350"/>
    </row>
    <row r="70" spans="1:11">
      <c r="A70" s="346" t="s">
        <v>230</v>
      </c>
      <c r="B70" s="346"/>
      <c r="C70" s="346"/>
      <c r="D70" s="346"/>
      <c r="E70" s="25">
        <f>E69/12</f>
        <v>102.56166666666668</v>
      </c>
      <c r="F70" s="288"/>
      <c r="G70" s="350"/>
      <c r="H70" s="350"/>
      <c r="I70" s="350"/>
      <c r="J70" s="350"/>
      <c r="K70" s="350"/>
    </row>
    <row r="71" spans="1:11">
      <c r="B71" s="13"/>
      <c r="C71" s="13"/>
      <c r="D71" s="13"/>
      <c r="E71" s="13"/>
      <c r="F71" s="288"/>
      <c r="G71" s="350"/>
      <c r="H71" s="350"/>
      <c r="I71" s="350"/>
      <c r="J71" s="350"/>
      <c r="K71" s="350"/>
    </row>
    <row r="72" spans="1:11">
      <c r="A72" s="347" t="s">
        <v>262</v>
      </c>
      <c r="B72" s="347"/>
      <c r="C72" s="347"/>
      <c r="D72" s="347"/>
      <c r="E72" s="347"/>
      <c r="F72" s="288"/>
      <c r="G72" s="350"/>
      <c r="H72" s="350"/>
      <c r="I72" s="350"/>
      <c r="J72" s="350"/>
      <c r="K72" s="350"/>
    </row>
    <row r="73" spans="1:11" ht="25.5">
      <c r="A73" s="14" t="s">
        <v>245</v>
      </c>
      <c r="B73" s="14" t="s">
        <v>584</v>
      </c>
      <c r="C73" s="14" t="s">
        <v>214</v>
      </c>
      <c r="D73" s="14" t="s">
        <v>215</v>
      </c>
      <c r="E73" s="14" t="s">
        <v>216</v>
      </c>
      <c r="F73" s="288"/>
      <c r="G73" s="350"/>
      <c r="H73" s="350"/>
      <c r="I73" s="350"/>
      <c r="J73" s="350"/>
      <c r="K73" s="350"/>
    </row>
    <row r="74" spans="1:11" ht="25.5">
      <c r="A74" s="28" t="s">
        <v>249</v>
      </c>
      <c r="B74" s="16">
        <v>1</v>
      </c>
      <c r="C74" s="17">
        <f>C52</f>
        <v>84.36</v>
      </c>
      <c r="D74" s="24">
        <f t="shared" ref="D74:D81" si="10">C74*B74</f>
        <v>84.36</v>
      </c>
      <c r="E74" s="24">
        <f>D74*2</f>
        <v>168.72</v>
      </c>
      <c r="F74" s="288"/>
      <c r="G74" s="350"/>
      <c r="H74" s="350"/>
      <c r="I74" s="350"/>
      <c r="J74" s="350"/>
      <c r="K74" s="350"/>
    </row>
    <row r="75" spans="1:11">
      <c r="A75" s="28" t="s">
        <v>263</v>
      </c>
      <c r="B75" s="16">
        <v>1</v>
      </c>
      <c r="C75" s="17">
        <v>5.83</v>
      </c>
      <c r="D75" s="24">
        <f t="shared" si="10"/>
        <v>5.83</v>
      </c>
      <c r="E75" s="24">
        <f t="shared" ref="E75:E81" si="11">D75*2</f>
        <v>11.66</v>
      </c>
    </row>
    <row r="76" spans="1:11">
      <c r="A76" s="28" t="s">
        <v>264</v>
      </c>
      <c r="B76" s="16">
        <v>1</v>
      </c>
      <c r="C76" s="17">
        <v>81.88</v>
      </c>
      <c r="D76" s="24">
        <f t="shared" si="10"/>
        <v>81.88</v>
      </c>
      <c r="E76" s="24">
        <f t="shared" si="11"/>
        <v>163.76</v>
      </c>
    </row>
    <row r="77" spans="1:11" ht="25.5">
      <c r="A77" s="28" t="s">
        <v>265</v>
      </c>
      <c r="B77" s="16">
        <v>1</v>
      </c>
      <c r="C77" s="17">
        <f>C54</f>
        <v>382.37</v>
      </c>
      <c r="D77" s="24">
        <f t="shared" si="10"/>
        <v>382.37</v>
      </c>
      <c r="E77" s="24">
        <f t="shared" si="11"/>
        <v>764.74</v>
      </c>
    </row>
    <row r="78" spans="1:11" ht="38.25">
      <c r="A78" s="28" t="s">
        <v>250</v>
      </c>
      <c r="B78" s="16">
        <v>1</v>
      </c>
      <c r="C78" s="17">
        <f>C53</f>
        <v>44.89</v>
      </c>
      <c r="D78" s="24">
        <f t="shared" si="10"/>
        <v>44.89</v>
      </c>
      <c r="E78" s="24">
        <f t="shared" si="11"/>
        <v>89.78</v>
      </c>
    </row>
    <row r="79" spans="1:11" ht="25.5">
      <c r="A79" s="28" t="s">
        <v>266</v>
      </c>
      <c r="B79" s="16">
        <v>1</v>
      </c>
      <c r="C79" s="17">
        <v>216.84</v>
      </c>
      <c r="D79" s="24">
        <f t="shared" si="10"/>
        <v>216.84</v>
      </c>
      <c r="E79" s="24">
        <f t="shared" si="11"/>
        <v>433.68</v>
      </c>
    </row>
    <row r="80" spans="1:11" ht="25.5">
      <c r="A80" s="28" t="s">
        <v>267</v>
      </c>
      <c r="B80" s="16">
        <v>1</v>
      </c>
      <c r="C80" s="17">
        <v>207.63</v>
      </c>
      <c r="D80" s="24">
        <f t="shared" si="10"/>
        <v>207.63</v>
      </c>
      <c r="E80" s="24">
        <f t="shared" si="11"/>
        <v>415.26</v>
      </c>
      <c r="F80" s="288" t="s">
        <v>243</v>
      </c>
      <c r="G80" s="350"/>
      <c r="H80" s="350"/>
      <c r="I80" s="350"/>
      <c r="J80" s="350"/>
      <c r="K80" s="350"/>
    </row>
    <row r="81" spans="1:11" ht="25.5">
      <c r="A81" s="28" t="s">
        <v>268</v>
      </c>
      <c r="B81" s="16">
        <v>1</v>
      </c>
      <c r="C81" s="17">
        <v>250.2</v>
      </c>
      <c r="D81" s="24">
        <f t="shared" si="10"/>
        <v>250.2</v>
      </c>
      <c r="E81" s="24">
        <f t="shared" si="11"/>
        <v>500.4</v>
      </c>
      <c r="F81" s="288"/>
      <c r="G81" s="350"/>
      <c r="H81" s="350"/>
      <c r="I81" s="350"/>
      <c r="J81" s="350"/>
      <c r="K81" s="350"/>
    </row>
    <row r="82" spans="1:11">
      <c r="A82" s="346" t="s">
        <v>229</v>
      </c>
      <c r="B82" s="346"/>
      <c r="C82" s="346"/>
      <c r="D82" s="346"/>
      <c r="E82" s="25">
        <f>SUM(E74:E81)</f>
        <v>2548</v>
      </c>
      <c r="F82" s="288"/>
      <c r="G82" s="350"/>
      <c r="H82" s="350"/>
      <c r="I82" s="350"/>
      <c r="J82" s="350"/>
      <c r="K82" s="350"/>
    </row>
    <row r="83" spans="1:11">
      <c r="A83" s="346" t="s">
        <v>230</v>
      </c>
      <c r="B83" s="346"/>
      <c r="C83" s="346"/>
      <c r="D83" s="346"/>
      <c r="E83" s="25">
        <f>E82/12</f>
        <v>212.33333333333334</v>
      </c>
      <c r="F83" s="288"/>
      <c r="G83" s="350"/>
      <c r="H83" s="350"/>
      <c r="I83" s="350"/>
      <c r="J83" s="350"/>
      <c r="K83" s="350"/>
    </row>
    <row r="84" spans="1:11">
      <c r="B84" s="13"/>
      <c r="C84" s="13"/>
      <c r="D84" s="13"/>
      <c r="E84" s="13"/>
      <c r="F84" s="288"/>
      <c r="G84" s="350"/>
      <c r="H84" s="350"/>
      <c r="I84" s="350"/>
      <c r="J84" s="350"/>
      <c r="K84" s="350"/>
    </row>
    <row r="85" spans="1:11">
      <c r="A85" s="347" t="s">
        <v>269</v>
      </c>
      <c r="B85" s="347"/>
      <c r="C85" s="347"/>
      <c r="D85" s="347"/>
      <c r="E85" s="347"/>
      <c r="F85" s="288"/>
      <c r="G85" s="350"/>
      <c r="H85" s="350"/>
      <c r="I85" s="350"/>
      <c r="J85" s="350"/>
      <c r="K85" s="350"/>
    </row>
    <row r="86" spans="1:11" ht="25.5">
      <c r="A86" s="14" t="s">
        <v>245</v>
      </c>
      <c r="B86" s="14" t="s">
        <v>584</v>
      </c>
      <c r="C86" s="14" t="s">
        <v>214</v>
      </c>
      <c r="D86" s="14" t="s">
        <v>215</v>
      </c>
      <c r="E86" s="14" t="s">
        <v>216</v>
      </c>
      <c r="F86" s="288"/>
      <c r="G86" s="350"/>
      <c r="H86" s="350"/>
      <c r="I86" s="350"/>
      <c r="J86" s="350"/>
      <c r="K86" s="350"/>
    </row>
    <row r="87" spans="1:11" ht="25.5">
      <c r="A87" s="28" t="s">
        <v>270</v>
      </c>
      <c r="B87" s="16">
        <v>2</v>
      </c>
      <c r="C87" s="17">
        <v>186.78</v>
      </c>
      <c r="D87" s="17">
        <f t="shared" ref="D87:D94" si="12">C87*B87</f>
        <v>373.56</v>
      </c>
      <c r="E87" s="24">
        <f>D87*2</f>
        <v>747.12</v>
      </c>
    </row>
    <row r="88" spans="1:11">
      <c r="A88" s="28" t="s">
        <v>271</v>
      </c>
      <c r="B88" s="16">
        <v>2</v>
      </c>
      <c r="C88" s="17">
        <f>C78</f>
        <v>44.89</v>
      </c>
      <c r="D88" s="17">
        <f t="shared" si="12"/>
        <v>89.78</v>
      </c>
      <c r="E88" s="24">
        <f t="shared" ref="E88:E94" si="13">D88*2</f>
        <v>179.56</v>
      </c>
    </row>
    <row r="89" spans="1:11" ht="25.5">
      <c r="A89" s="28" t="s">
        <v>272</v>
      </c>
      <c r="B89" s="16">
        <v>1</v>
      </c>
      <c r="C89" s="17">
        <v>49.53</v>
      </c>
      <c r="D89" s="17">
        <f t="shared" si="12"/>
        <v>49.53</v>
      </c>
      <c r="E89" s="24">
        <f t="shared" si="13"/>
        <v>99.06</v>
      </c>
    </row>
    <row r="90" spans="1:11" ht="25.5">
      <c r="A90" s="28" t="s">
        <v>256</v>
      </c>
      <c r="B90" s="16">
        <v>1</v>
      </c>
      <c r="C90" s="17">
        <v>38.82</v>
      </c>
      <c r="D90" s="17">
        <f t="shared" si="12"/>
        <v>38.82</v>
      </c>
      <c r="E90" s="24">
        <f t="shared" si="13"/>
        <v>77.64</v>
      </c>
    </row>
    <row r="91" spans="1:11" ht="25.5">
      <c r="A91" s="28" t="s">
        <v>257</v>
      </c>
      <c r="B91" s="16">
        <v>50</v>
      </c>
      <c r="C91" s="17">
        <v>3.87</v>
      </c>
      <c r="D91" s="17">
        <f t="shared" si="12"/>
        <v>193.5</v>
      </c>
      <c r="E91" s="24">
        <f t="shared" si="13"/>
        <v>387</v>
      </c>
    </row>
    <row r="92" spans="1:11" ht="25.5" customHeight="1">
      <c r="A92" s="28" t="s">
        <v>273</v>
      </c>
      <c r="B92" s="16">
        <v>6</v>
      </c>
      <c r="C92" s="17">
        <v>26.96</v>
      </c>
      <c r="D92" s="17">
        <f t="shared" si="12"/>
        <v>161.76</v>
      </c>
      <c r="E92" s="24">
        <f t="shared" si="13"/>
        <v>323.52</v>
      </c>
      <c r="F92" s="288" t="s">
        <v>243</v>
      </c>
      <c r="G92" s="350"/>
      <c r="H92" s="350"/>
      <c r="I92" s="350"/>
      <c r="J92" s="350"/>
      <c r="K92" s="350"/>
    </row>
    <row r="93" spans="1:11" ht="25.5">
      <c r="A93" s="28" t="s">
        <v>274</v>
      </c>
      <c r="B93" s="16">
        <v>10</v>
      </c>
      <c r="C93" s="17">
        <v>3.29</v>
      </c>
      <c r="D93" s="17">
        <f t="shared" si="12"/>
        <v>32.9</v>
      </c>
      <c r="E93" s="24">
        <f t="shared" si="13"/>
        <v>65.8</v>
      </c>
    </row>
    <row r="94" spans="1:11" ht="19.5" customHeight="1">
      <c r="A94" s="28" t="s">
        <v>275</v>
      </c>
      <c r="B94" s="16">
        <v>1</v>
      </c>
      <c r="C94" s="17">
        <v>40.29</v>
      </c>
      <c r="D94" s="17">
        <f t="shared" si="12"/>
        <v>40.29</v>
      </c>
      <c r="E94" s="24">
        <f t="shared" si="13"/>
        <v>80.58</v>
      </c>
    </row>
    <row r="95" spans="1:11">
      <c r="A95" s="346" t="s">
        <v>229</v>
      </c>
      <c r="B95" s="346"/>
      <c r="C95" s="346"/>
      <c r="D95" s="346"/>
      <c r="E95" s="25">
        <f>SUM(E87:E94)</f>
        <v>1960.28</v>
      </c>
    </row>
    <row r="96" spans="1:11">
      <c r="A96" s="346" t="s">
        <v>230</v>
      </c>
      <c r="B96" s="346"/>
      <c r="C96" s="346"/>
      <c r="D96" s="346"/>
      <c r="E96" s="25">
        <f>E95/12</f>
        <v>163.35666666666665</v>
      </c>
    </row>
    <row r="97" spans="1:11" ht="20.25" customHeight="1">
      <c r="B97" s="13"/>
      <c r="C97" s="13"/>
      <c r="D97" s="13"/>
      <c r="E97" s="13"/>
    </row>
    <row r="98" spans="1:11">
      <c r="A98" s="347" t="s">
        <v>276</v>
      </c>
      <c r="B98" s="347"/>
      <c r="C98" s="347"/>
      <c r="D98" s="347"/>
      <c r="E98" s="347"/>
      <c r="F98" s="288" t="s">
        <v>243</v>
      </c>
      <c r="G98" s="350"/>
      <c r="H98" s="350"/>
      <c r="I98" s="350"/>
      <c r="J98" s="350"/>
      <c r="K98" s="350"/>
    </row>
    <row r="99" spans="1:11" ht="25.5">
      <c r="A99" s="14" t="s">
        <v>245</v>
      </c>
      <c r="B99" s="14" t="s">
        <v>585</v>
      </c>
      <c r="C99" s="14" t="s">
        <v>214</v>
      </c>
      <c r="D99" s="14" t="s">
        <v>215</v>
      </c>
      <c r="E99" s="14" t="s">
        <v>216</v>
      </c>
      <c r="F99" s="288"/>
      <c r="G99" s="350"/>
      <c r="H99" s="350"/>
      <c r="I99" s="350"/>
      <c r="J99" s="350"/>
      <c r="K99" s="350"/>
    </row>
    <row r="100" spans="1:11">
      <c r="A100" s="28" t="s">
        <v>271</v>
      </c>
      <c r="B100" s="16">
        <v>2</v>
      </c>
      <c r="C100" s="17">
        <f>C88</f>
        <v>44.89</v>
      </c>
      <c r="D100" s="17">
        <f>C100*B100</f>
        <v>89.78</v>
      </c>
      <c r="E100" s="17">
        <f>D100*2</f>
        <v>179.56</v>
      </c>
    </row>
    <row r="101" spans="1:11">
      <c r="A101" s="346" t="s">
        <v>241</v>
      </c>
      <c r="B101" s="346"/>
      <c r="C101" s="346"/>
      <c r="D101" s="346"/>
      <c r="E101" s="25">
        <f>E100</f>
        <v>179.56</v>
      </c>
    </row>
    <row r="102" spans="1:11">
      <c r="A102" s="346" t="s">
        <v>230</v>
      </c>
      <c r="B102" s="346"/>
      <c r="C102" s="346"/>
      <c r="D102" s="346"/>
      <c r="E102" s="25">
        <f>E100/12</f>
        <v>14.963333333333333</v>
      </c>
    </row>
    <row r="103" spans="1:11" ht="25.5" customHeight="1">
      <c r="B103" s="13"/>
      <c r="C103" s="13"/>
      <c r="D103" s="13"/>
      <c r="E103" s="13"/>
    </row>
    <row r="104" spans="1:11" ht="12.75" customHeight="1">
      <c r="A104" s="347" t="s">
        <v>277</v>
      </c>
      <c r="B104" s="347"/>
      <c r="C104" s="347"/>
      <c r="D104" s="347"/>
      <c r="E104" s="347"/>
      <c r="F104" s="288" t="s">
        <v>243</v>
      </c>
      <c r="G104" s="350"/>
      <c r="H104" s="350"/>
      <c r="I104" s="350"/>
      <c r="J104" s="350"/>
      <c r="K104" s="350"/>
    </row>
    <row r="105" spans="1:11" ht="25.5">
      <c r="A105" s="14" t="s">
        <v>245</v>
      </c>
      <c r="B105" s="14" t="s">
        <v>584</v>
      </c>
      <c r="C105" s="14" t="s">
        <v>214</v>
      </c>
      <c r="D105" s="14" t="s">
        <v>215</v>
      </c>
      <c r="E105" s="14" t="s">
        <v>216</v>
      </c>
      <c r="F105" s="288"/>
      <c r="G105" s="350"/>
      <c r="H105" s="350"/>
      <c r="I105" s="350"/>
      <c r="J105" s="350"/>
      <c r="K105" s="350"/>
    </row>
    <row r="106" spans="1:11" ht="25.5">
      <c r="A106" s="28" t="s">
        <v>278</v>
      </c>
      <c r="B106" s="16">
        <v>2</v>
      </c>
      <c r="C106" s="17">
        <f>C61</f>
        <v>12.32</v>
      </c>
      <c r="D106" s="17">
        <f>C106*B106</f>
        <v>24.64</v>
      </c>
      <c r="E106" s="17">
        <f>D106*2</f>
        <v>49.28</v>
      </c>
      <c r="F106" s="288"/>
      <c r="G106" s="350"/>
      <c r="H106" s="350"/>
      <c r="I106" s="350"/>
      <c r="J106" s="350"/>
      <c r="K106" s="350"/>
    </row>
    <row r="107" spans="1:11">
      <c r="A107" s="28" t="s">
        <v>261</v>
      </c>
      <c r="B107" s="16">
        <v>1</v>
      </c>
      <c r="C107" s="17">
        <v>13.13</v>
      </c>
      <c r="D107" s="17">
        <f>C107*B107</f>
        <v>13.13</v>
      </c>
      <c r="E107" s="17">
        <f>D107*2</f>
        <v>26.26</v>
      </c>
      <c r="F107" s="288"/>
      <c r="G107" s="350"/>
      <c r="H107" s="350"/>
      <c r="I107" s="350"/>
      <c r="J107" s="350"/>
      <c r="K107" s="350"/>
    </row>
    <row r="108" spans="1:11">
      <c r="A108" s="346" t="s">
        <v>229</v>
      </c>
      <c r="B108" s="346"/>
      <c r="C108" s="346"/>
      <c r="D108" s="346"/>
      <c r="E108" s="25">
        <f>SUM(E106:E107)</f>
        <v>75.540000000000006</v>
      </c>
    </row>
    <row r="109" spans="1:11">
      <c r="A109" s="346" t="s">
        <v>230</v>
      </c>
      <c r="B109" s="346"/>
      <c r="C109" s="346"/>
      <c r="D109" s="346"/>
      <c r="E109" s="25">
        <f>E108/12</f>
        <v>6.2950000000000008</v>
      </c>
    </row>
    <row r="110" spans="1:11" ht="24.75" customHeight="1">
      <c r="B110" s="13"/>
      <c r="C110" s="13"/>
      <c r="D110" s="13"/>
      <c r="E110" s="13"/>
    </row>
    <row r="111" spans="1:11">
      <c r="A111" s="347" t="s">
        <v>279</v>
      </c>
      <c r="B111" s="347"/>
      <c r="C111" s="347"/>
      <c r="D111" s="347"/>
      <c r="E111" s="347"/>
    </row>
    <row r="112" spans="1:11" ht="25.5">
      <c r="A112" s="14" t="s">
        <v>245</v>
      </c>
      <c r="B112" s="14" t="s">
        <v>584</v>
      </c>
      <c r="C112" s="14" t="s">
        <v>214</v>
      </c>
      <c r="D112" s="14" t="s">
        <v>215</v>
      </c>
      <c r="E112" s="14" t="s">
        <v>216</v>
      </c>
    </row>
    <row r="113" spans="1:11">
      <c r="A113" s="28" t="s">
        <v>280</v>
      </c>
      <c r="B113" s="16">
        <v>1</v>
      </c>
      <c r="C113" s="17">
        <v>58.11</v>
      </c>
      <c r="D113" s="17">
        <f>C113*B113</f>
        <v>58.11</v>
      </c>
      <c r="E113" s="17">
        <f>D113*2</f>
        <v>116.22</v>
      </c>
      <c r="F113" s="348"/>
      <c r="G113" s="348"/>
      <c r="H113" s="348"/>
      <c r="I113" s="348"/>
      <c r="J113" s="348"/>
      <c r="K113" s="349"/>
    </row>
    <row r="114" spans="1:11" ht="25.5">
      <c r="A114" s="28" t="s">
        <v>281</v>
      </c>
      <c r="B114" s="16">
        <v>1</v>
      </c>
      <c r="C114" s="17">
        <v>27.8</v>
      </c>
      <c r="D114" s="17">
        <f>C114*B114</f>
        <v>27.8</v>
      </c>
      <c r="E114" s="17">
        <f t="shared" ref="E114:E117" si="14">D114*2</f>
        <v>55.6</v>
      </c>
    </row>
    <row r="115" spans="1:11" ht="25.5">
      <c r="A115" s="28" t="s">
        <v>282</v>
      </c>
      <c r="B115" s="16">
        <v>1</v>
      </c>
      <c r="C115" s="17">
        <v>46.02</v>
      </c>
      <c r="D115" s="17">
        <f>C115*B115</f>
        <v>46.02</v>
      </c>
      <c r="E115" s="17">
        <f t="shared" si="14"/>
        <v>92.04</v>
      </c>
    </row>
    <row r="116" spans="1:11" ht="25.5">
      <c r="A116" s="28" t="s">
        <v>283</v>
      </c>
      <c r="B116" s="16">
        <v>4</v>
      </c>
      <c r="C116" s="17">
        <v>4.9400000000000004</v>
      </c>
      <c r="D116" s="17">
        <f>C116*B116</f>
        <v>19.760000000000002</v>
      </c>
      <c r="E116" s="17">
        <f t="shared" si="14"/>
        <v>39.520000000000003</v>
      </c>
    </row>
    <row r="117" spans="1:11">
      <c r="A117" s="28" t="s">
        <v>275</v>
      </c>
      <c r="B117" s="16">
        <v>1</v>
      </c>
      <c r="C117" s="17">
        <f>C94</f>
        <v>40.29</v>
      </c>
      <c r="D117" s="17">
        <f>C117*B117</f>
        <v>40.29</v>
      </c>
      <c r="E117" s="17">
        <f t="shared" si="14"/>
        <v>80.58</v>
      </c>
    </row>
    <row r="118" spans="1:11">
      <c r="A118" s="346" t="s">
        <v>241</v>
      </c>
      <c r="B118" s="346"/>
      <c r="C118" s="346"/>
      <c r="D118" s="346"/>
      <c r="E118" s="25">
        <f>SUM(E113:E117)</f>
        <v>383.96</v>
      </c>
    </row>
    <row r="119" spans="1:11">
      <c r="A119" s="346" t="s">
        <v>230</v>
      </c>
      <c r="B119" s="346"/>
      <c r="C119" s="346"/>
      <c r="D119" s="346"/>
      <c r="E119" s="25">
        <f>E118/12</f>
        <v>31.996666666666666</v>
      </c>
      <c r="F119" s="288" t="s">
        <v>243</v>
      </c>
      <c r="G119" s="350"/>
      <c r="H119" s="350"/>
      <c r="I119" s="350"/>
      <c r="J119" s="350"/>
      <c r="K119" s="350"/>
    </row>
    <row r="120" spans="1:11" ht="23.25" customHeight="1">
      <c r="B120" s="13"/>
      <c r="C120" s="13"/>
      <c r="D120" s="13"/>
      <c r="E120" s="13"/>
      <c r="F120" s="288"/>
      <c r="G120" s="350"/>
      <c r="H120" s="350"/>
      <c r="I120" s="350"/>
      <c r="J120" s="350"/>
      <c r="K120" s="350"/>
    </row>
    <row r="121" spans="1:11">
      <c r="A121" s="347" t="s">
        <v>284</v>
      </c>
      <c r="B121" s="347"/>
      <c r="C121" s="347"/>
      <c r="D121" s="347"/>
      <c r="E121" s="347"/>
      <c r="F121" s="288"/>
      <c r="G121" s="350"/>
      <c r="H121" s="350"/>
      <c r="I121" s="350"/>
      <c r="J121" s="350"/>
      <c r="K121" s="350"/>
    </row>
    <row r="122" spans="1:11" ht="25.5">
      <c r="A122" s="14" t="s">
        <v>245</v>
      </c>
      <c r="B122" s="14" t="s">
        <v>584</v>
      </c>
      <c r="C122" s="14" t="s">
        <v>214</v>
      </c>
      <c r="D122" s="14" t="s">
        <v>215</v>
      </c>
      <c r="E122" s="14" t="s">
        <v>216</v>
      </c>
      <c r="F122" s="288"/>
      <c r="G122" s="350"/>
      <c r="H122" s="350"/>
      <c r="I122" s="350"/>
      <c r="J122" s="350"/>
      <c r="K122" s="350"/>
    </row>
    <row r="123" spans="1:11">
      <c r="A123" s="28" t="s">
        <v>271</v>
      </c>
      <c r="B123" s="16">
        <v>2</v>
      </c>
      <c r="C123" s="17">
        <f>C100</f>
        <v>44.89</v>
      </c>
      <c r="D123" s="17">
        <f>C123*B123</f>
        <v>89.78</v>
      </c>
      <c r="E123" s="17">
        <f>D123*2</f>
        <v>179.56</v>
      </c>
      <c r="F123" s="288"/>
      <c r="G123" s="350"/>
      <c r="H123" s="350"/>
      <c r="I123" s="350"/>
      <c r="J123" s="350"/>
      <c r="K123" s="350"/>
    </row>
    <row r="124" spans="1:11">
      <c r="A124" s="28" t="s">
        <v>275</v>
      </c>
      <c r="B124" s="16">
        <v>1</v>
      </c>
      <c r="C124" s="17">
        <f>C117</f>
        <v>40.29</v>
      </c>
      <c r="D124" s="17">
        <f>C124*B124</f>
        <v>40.29</v>
      </c>
      <c r="E124" s="17">
        <f>D124*2</f>
        <v>80.58</v>
      </c>
    </row>
    <row r="125" spans="1:11">
      <c r="A125" s="346" t="s">
        <v>241</v>
      </c>
      <c r="B125" s="346"/>
      <c r="C125" s="346"/>
      <c r="D125" s="346"/>
      <c r="E125" s="25">
        <f>SUM(E123:E124)</f>
        <v>260.14</v>
      </c>
    </row>
    <row r="126" spans="1:11">
      <c r="A126" s="346" t="s">
        <v>230</v>
      </c>
      <c r="B126" s="346"/>
      <c r="C126" s="346"/>
      <c r="D126" s="346"/>
      <c r="E126" s="25">
        <f>E125/12</f>
        <v>21.678333333333331</v>
      </c>
    </row>
    <row r="127" spans="1:11" ht="22.5" customHeight="1">
      <c r="B127" s="13"/>
      <c r="C127" s="13"/>
      <c r="D127" s="13"/>
      <c r="E127" s="13"/>
    </row>
    <row r="128" spans="1:11">
      <c r="A128" s="347" t="s">
        <v>285</v>
      </c>
      <c r="B128" s="347"/>
      <c r="C128" s="347"/>
      <c r="D128" s="347"/>
      <c r="E128" s="347"/>
    </row>
    <row r="129" spans="1:5" ht="25.5">
      <c r="A129" s="14" t="s">
        <v>245</v>
      </c>
      <c r="B129" s="14" t="s">
        <v>584</v>
      </c>
      <c r="C129" s="14" t="s">
        <v>214</v>
      </c>
      <c r="D129" s="14" t="s">
        <v>215</v>
      </c>
      <c r="E129" s="14" t="s">
        <v>286</v>
      </c>
    </row>
    <row r="130" spans="1:5">
      <c r="A130" s="28" t="s">
        <v>271</v>
      </c>
      <c r="B130" s="16">
        <v>2</v>
      </c>
      <c r="C130" s="17">
        <f>C123</f>
        <v>44.89</v>
      </c>
      <c r="D130" s="17">
        <f t="shared" ref="D130:D135" si="15">C130*B130</f>
        <v>89.78</v>
      </c>
      <c r="E130" s="17">
        <f>D130*2</f>
        <v>179.56</v>
      </c>
    </row>
    <row r="131" spans="1:5" ht="25.5">
      <c r="A131" s="28" t="s">
        <v>256</v>
      </c>
      <c r="B131" s="16">
        <v>1</v>
      </c>
      <c r="C131" s="17">
        <f>C90</f>
        <v>38.82</v>
      </c>
      <c r="D131" s="17">
        <f t="shared" si="15"/>
        <v>38.82</v>
      </c>
      <c r="E131" s="17">
        <f t="shared" ref="E131:E135" si="16">D131*2</f>
        <v>77.64</v>
      </c>
    </row>
    <row r="132" spans="1:5" ht="25.5">
      <c r="A132" s="28" t="s">
        <v>274</v>
      </c>
      <c r="B132" s="16">
        <v>1</v>
      </c>
      <c r="C132" s="17">
        <f>C93</f>
        <v>3.29</v>
      </c>
      <c r="D132" s="17">
        <f t="shared" si="15"/>
        <v>3.29</v>
      </c>
      <c r="E132" s="17">
        <f t="shared" si="16"/>
        <v>6.58</v>
      </c>
    </row>
    <row r="133" spans="1:5">
      <c r="A133" s="28" t="s">
        <v>287</v>
      </c>
      <c r="B133" s="16">
        <v>1</v>
      </c>
      <c r="C133" s="17">
        <v>62.06</v>
      </c>
      <c r="D133" s="17">
        <f t="shared" si="15"/>
        <v>62.06</v>
      </c>
      <c r="E133" s="17">
        <f t="shared" si="16"/>
        <v>124.12</v>
      </c>
    </row>
    <row r="134" spans="1:5">
      <c r="A134" s="28" t="s">
        <v>275</v>
      </c>
      <c r="B134" s="16">
        <v>1</v>
      </c>
      <c r="C134" s="17">
        <f>C124</f>
        <v>40.29</v>
      </c>
      <c r="D134" s="17">
        <f t="shared" si="15"/>
        <v>40.29</v>
      </c>
      <c r="E134" s="17">
        <f t="shared" si="16"/>
        <v>80.58</v>
      </c>
    </row>
    <row r="135" spans="1:5">
      <c r="A135" s="28" t="s">
        <v>288</v>
      </c>
      <c r="B135" s="16">
        <v>1</v>
      </c>
      <c r="C135" s="17">
        <v>184.49</v>
      </c>
      <c r="D135" s="17">
        <f t="shared" si="15"/>
        <v>184.49</v>
      </c>
      <c r="E135" s="17">
        <f t="shared" si="16"/>
        <v>368.98</v>
      </c>
    </row>
    <row r="136" spans="1:5">
      <c r="A136" s="346" t="s">
        <v>241</v>
      </c>
      <c r="B136" s="346"/>
      <c r="C136" s="346"/>
      <c r="D136" s="346"/>
      <c r="E136" s="25">
        <f>SUM(E130:E135)</f>
        <v>837.46</v>
      </c>
    </row>
    <row r="137" spans="1:5">
      <c r="A137" s="346" t="s">
        <v>230</v>
      </c>
      <c r="B137" s="346"/>
      <c r="C137" s="346"/>
      <c r="D137" s="346"/>
      <c r="E137" s="25">
        <f>E136/12</f>
        <v>69.788333333333341</v>
      </c>
    </row>
  </sheetData>
  <mergeCells count="56">
    <mergeCell ref="A16:D16"/>
    <mergeCell ref="A1:E1"/>
    <mergeCell ref="A2:E2"/>
    <mergeCell ref="F4:K8"/>
    <mergeCell ref="F9:K13"/>
    <mergeCell ref="A15:D15"/>
    <mergeCell ref="A19:E19"/>
    <mergeCell ref="F20:K25"/>
    <mergeCell ref="A28:D28"/>
    <mergeCell ref="A29:D29"/>
    <mergeCell ref="A31:E31"/>
    <mergeCell ref="F31:K35"/>
    <mergeCell ref="A39:D39"/>
    <mergeCell ref="A40:D40"/>
    <mergeCell ref="A41:E41"/>
    <mergeCell ref="A42:E42"/>
    <mergeCell ref="F42:K43"/>
    <mergeCell ref="A43:E43"/>
    <mergeCell ref="A47:D47"/>
    <mergeCell ref="A48:D48"/>
    <mergeCell ref="F48:K51"/>
    <mergeCell ref="A50:E50"/>
    <mergeCell ref="A56:D56"/>
    <mergeCell ref="F56:K62"/>
    <mergeCell ref="A57:D57"/>
    <mergeCell ref="A59:E59"/>
    <mergeCell ref="F68:K74"/>
    <mergeCell ref="A69:D69"/>
    <mergeCell ref="A70:D70"/>
    <mergeCell ref="A72:E72"/>
    <mergeCell ref="F80:K86"/>
    <mergeCell ref="A82:D82"/>
    <mergeCell ref="A83:D83"/>
    <mergeCell ref="A85:E85"/>
    <mergeCell ref="A111:E111"/>
    <mergeCell ref="F92:K92"/>
    <mergeCell ref="A95:D95"/>
    <mergeCell ref="A96:D96"/>
    <mergeCell ref="A98:E98"/>
    <mergeCell ref="F98:K99"/>
    <mergeCell ref="A101:D101"/>
    <mergeCell ref="A102:D102"/>
    <mergeCell ref="A104:E104"/>
    <mergeCell ref="F104:K107"/>
    <mergeCell ref="A108:D108"/>
    <mergeCell ref="A109:D109"/>
    <mergeCell ref="A126:D126"/>
    <mergeCell ref="A128:E128"/>
    <mergeCell ref="A136:D136"/>
    <mergeCell ref="A137:D137"/>
    <mergeCell ref="F113:K113"/>
    <mergeCell ref="A118:D118"/>
    <mergeCell ref="A119:D119"/>
    <mergeCell ref="F119:K123"/>
    <mergeCell ref="A121:E121"/>
    <mergeCell ref="A125:D125"/>
  </mergeCells>
  <printOptions horizontalCentered="1"/>
  <pageMargins left="0.55118110236220474" right="0.55118110236220474" top="1.2598425196850394" bottom="0.98425196850393704" header="0" footer="0"/>
  <pageSetup paperSize="9" scale="86"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2">
    <pageSetUpPr fitToPage="1"/>
  </sheetPr>
  <dimension ref="A1:O148"/>
  <sheetViews>
    <sheetView view="pageBreakPreview" topLeftCell="A123" zoomScale="115" zoomScaleNormal="100" zoomScaleSheetLayoutView="115" workbookViewId="0">
      <selection activeCell="I146" sqref="I146"/>
    </sheetView>
  </sheetViews>
  <sheetFormatPr defaultColWidth="9.140625" defaultRowHeight="12.75"/>
  <cols>
    <col min="1" max="1" width="5.5703125" style="2" bestFit="1" customWidth="1"/>
    <col min="2" max="2" width="46.28515625" style="2" customWidth="1"/>
    <col min="3" max="3" width="9.140625" style="2"/>
    <col min="4" max="4" width="9.140625" style="8"/>
    <col min="5" max="5" width="12" style="169" bestFit="1" customWidth="1"/>
    <col min="6" max="6" width="15.7109375" style="170" bestFit="1" customWidth="1"/>
    <col min="7" max="7" width="7.5703125" style="171" customWidth="1"/>
    <col min="8" max="8" width="11.28515625" style="171" customWidth="1"/>
    <col min="9" max="9" width="14.140625" style="172" customWidth="1"/>
    <col min="10" max="13" width="9.140625" style="2"/>
    <col min="14" max="14" width="10.5703125" style="2" bestFit="1" customWidth="1"/>
    <col min="15" max="15" width="9.5703125" style="2" bestFit="1" customWidth="1"/>
    <col min="16" max="16384" width="9.140625" style="2"/>
  </cols>
  <sheetData>
    <row r="1" spans="1:9" s="12" customFormat="1" ht="30" customHeight="1">
      <c r="A1" s="354" t="s">
        <v>289</v>
      </c>
      <c r="B1" s="355"/>
      <c r="C1" s="355"/>
      <c r="D1" s="355"/>
      <c r="E1" s="355"/>
      <c r="F1" s="356"/>
      <c r="G1" s="352" t="s">
        <v>290</v>
      </c>
      <c r="H1" s="352"/>
      <c r="I1" s="352"/>
    </row>
    <row r="2" spans="1:9" ht="51.75" thickBot="1">
      <c r="A2" s="77" t="s">
        <v>2</v>
      </c>
      <c r="B2" s="77" t="s">
        <v>4</v>
      </c>
      <c r="C2" s="77" t="s">
        <v>291</v>
      </c>
      <c r="D2" s="151" t="s">
        <v>292</v>
      </c>
      <c r="E2" s="152" t="s">
        <v>293</v>
      </c>
      <c r="F2" s="152" t="s">
        <v>87</v>
      </c>
      <c r="G2" s="150" t="s">
        <v>294</v>
      </c>
      <c r="H2" s="150" t="s">
        <v>295</v>
      </c>
      <c r="I2" s="152" t="s">
        <v>216</v>
      </c>
    </row>
    <row r="3" spans="1:9" ht="16.5" thickBot="1">
      <c r="A3" s="34">
        <v>1</v>
      </c>
      <c r="B3" s="153" t="s">
        <v>296</v>
      </c>
      <c r="C3" s="34" t="s">
        <v>297</v>
      </c>
      <c r="D3" s="201">
        <v>1</v>
      </c>
      <c r="E3" s="155">
        <v>359.62</v>
      </c>
      <c r="F3" s="156">
        <f t="shared" ref="F3:F34" si="0">E3*D3</f>
        <v>359.62</v>
      </c>
      <c r="G3" s="34">
        <v>5</v>
      </c>
      <c r="H3" s="157">
        <v>0.2</v>
      </c>
      <c r="I3" s="156">
        <f>TRUNC(F3/G3,2)</f>
        <v>71.92</v>
      </c>
    </row>
    <row r="4" spans="1:9" ht="16.5" thickBot="1">
      <c r="A4" s="180">
        <v>2</v>
      </c>
      <c r="B4" s="181" t="s">
        <v>298</v>
      </c>
      <c r="C4" s="180" t="s">
        <v>297</v>
      </c>
      <c r="D4" s="202">
        <v>2</v>
      </c>
      <c r="E4" s="155">
        <v>357.5</v>
      </c>
      <c r="F4" s="156">
        <f t="shared" si="0"/>
        <v>715</v>
      </c>
      <c r="G4" s="34">
        <v>5</v>
      </c>
      <c r="H4" s="157">
        <v>0.2</v>
      </c>
      <c r="I4" s="156">
        <f>TRUNC(F4/G4,2)</f>
        <v>143</v>
      </c>
    </row>
    <row r="5" spans="1:9" ht="16.5" thickBot="1">
      <c r="A5" s="34">
        <v>3</v>
      </c>
      <c r="B5" s="153" t="s">
        <v>299</v>
      </c>
      <c r="C5" s="34" t="s">
        <v>297</v>
      </c>
      <c r="D5" s="202">
        <v>2</v>
      </c>
      <c r="E5" s="155">
        <v>39.39</v>
      </c>
      <c r="F5" s="156">
        <f t="shared" si="0"/>
        <v>78.78</v>
      </c>
      <c r="G5" s="34">
        <v>5</v>
      </c>
      <c r="H5" s="157">
        <v>0.2</v>
      </c>
      <c r="I5" s="156">
        <f t="shared" ref="I5:I34" si="1">TRUNC(F5/G5,2)</f>
        <v>15.75</v>
      </c>
    </row>
    <row r="6" spans="1:9" ht="16.5" thickBot="1">
      <c r="A6" s="34">
        <v>4</v>
      </c>
      <c r="B6" s="153" t="s">
        <v>300</v>
      </c>
      <c r="C6" s="34" t="s">
        <v>297</v>
      </c>
      <c r="D6" s="202">
        <v>1</v>
      </c>
      <c r="E6" s="155">
        <v>29.49</v>
      </c>
      <c r="F6" s="156">
        <f t="shared" si="0"/>
        <v>29.49</v>
      </c>
      <c r="G6" s="34">
        <v>5</v>
      </c>
      <c r="H6" s="157">
        <v>0.2</v>
      </c>
      <c r="I6" s="156">
        <f t="shared" si="1"/>
        <v>5.89</v>
      </c>
    </row>
    <row r="7" spans="1:9" ht="16.5" thickBot="1">
      <c r="A7" s="34">
        <v>5</v>
      </c>
      <c r="B7" s="153" t="s">
        <v>301</v>
      </c>
      <c r="C7" s="34" t="s">
        <v>297</v>
      </c>
      <c r="D7" s="202">
        <v>2</v>
      </c>
      <c r="E7" s="155">
        <v>110.33</v>
      </c>
      <c r="F7" s="156">
        <f t="shared" si="0"/>
        <v>220.66</v>
      </c>
      <c r="G7" s="34">
        <v>5</v>
      </c>
      <c r="H7" s="157">
        <v>0.2</v>
      </c>
      <c r="I7" s="156">
        <f t="shared" si="1"/>
        <v>44.13</v>
      </c>
    </row>
    <row r="8" spans="1:9" ht="16.5" thickBot="1">
      <c r="A8" s="34">
        <v>6</v>
      </c>
      <c r="B8" s="42" t="s">
        <v>302</v>
      </c>
      <c r="C8" s="34" t="s">
        <v>297</v>
      </c>
      <c r="D8" s="202">
        <v>2</v>
      </c>
      <c r="E8" s="155">
        <v>40.43</v>
      </c>
      <c r="F8" s="156">
        <f t="shared" si="0"/>
        <v>80.86</v>
      </c>
      <c r="G8" s="34">
        <v>5</v>
      </c>
      <c r="H8" s="157">
        <v>0.2</v>
      </c>
      <c r="I8" s="156">
        <f t="shared" si="1"/>
        <v>16.170000000000002</v>
      </c>
    </row>
    <row r="9" spans="1:9" ht="16.5" thickBot="1">
      <c r="A9" s="34">
        <v>7</v>
      </c>
      <c r="B9" s="153" t="s">
        <v>303</v>
      </c>
      <c r="C9" s="34" t="s">
        <v>297</v>
      </c>
      <c r="D9" s="202">
        <v>2</v>
      </c>
      <c r="E9" s="155">
        <v>112</v>
      </c>
      <c r="F9" s="156">
        <f t="shared" si="0"/>
        <v>224</v>
      </c>
      <c r="G9" s="34">
        <v>5</v>
      </c>
      <c r="H9" s="157">
        <v>0.2</v>
      </c>
      <c r="I9" s="156">
        <f t="shared" si="1"/>
        <v>44.8</v>
      </c>
    </row>
    <row r="10" spans="1:9" ht="16.5" thickBot="1">
      <c r="A10" s="34">
        <v>8</v>
      </c>
      <c r="B10" s="42" t="s">
        <v>304</v>
      </c>
      <c r="C10" s="34" t="s">
        <v>297</v>
      </c>
      <c r="D10" s="202">
        <v>2</v>
      </c>
      <c r="E10" s="155">
        <v>54</v>
      </c>
      <c r="F10" s="156">
        <f t="shared" si="0"/>
        <v>108</v>
      </c>
      <c r="G10" s="34">
        <v>5</v>
      </c>
      <c r="H10" s="157">
        <v>0.2</v>
      </c>
      <c r="I10" s="156">
        <f t="shared" si="1"/>
        <v>21.6</v>
      </c>
    </row>
    <row r="11" spans="1:9" ht="16.5" thickBot="1">
      <c r="A11" s="34">
        <v>9</v>
      </c>
      <c r="B11" s="42" t="s">
        <v>305</v>
      </c>
      <c r="C11" s="34" t="s">
        <v>297</v>
      </c>
      <c r="D11" s="202">
        <v>2</v>
      </c>
      <c r="E11" s="155">
        <v>184.24</v>
      </c>
      <c r="F11" s="156">
        <f t="shared" si="0"/>
        <v>368.48</v>
      </c>
      <c r="G11" s="34">
        <v>5</v>
      </c>
      <c r="H11" s="157">
        <v>0.2</v>
      </c>
      <c r="I11" s="156">
        <f t="shared" si="1"/>
        <v>73.69</v>
      </c>
    </row>
    <row r="12" spans="1:9" ht="16.5" thickBot="1">
      <c r="A12" s="34">
        <v>10</v>
      </c>
      <c r="B12" s="153" t="s">
        <v>306</v>
      </c>
      <c r="C12" s="34" t="s">
        <v>297</v>
      </c>
      <c r="D12" s="202">
        <v>1</v>
      </c>
      <c r="E12" s="155">
        <v>84.89</v>
      </c>
      <c r="F12" s="156">
        <f t="shared" si="0"/>
        <v>84.89</v>
      </c>
      <c r="G12" s="34">
        <v>5</v>
      </c>
      <c r="H12" s="157">
        <v>0.2</v>
      </c>
      <c r="I12" s="156">
        <f t="shared" si="1"/>
        <v>16.97</v>
      </c>
    </row>
    <row r="13" spans="1:9" ht="16.5" thickBot="1">
      <c r="A13" s="34">
        <v>11</v>
      </c>
      <c r="B13" s="153" t="s">
        <v>307</v>
      </c>
      <c r="C13" s="34" t="s">
        <v>297</v>
      </c>
      <c r="D13" s="202">
        <v>1</v>
      </c>
      <c r="E13" s="155">
        <v>417.73</v>
      </c>
      <c r="F13" s="156">
        <f t="shared" si="0"/>
        <v>417.73</v>
      </c>
      <c r="G13" s="34">
        <v>5</v>
      </c>
      <c r="H13" s="157">
        <v>0.2</v>
      </c>
      <c r="I13" s="156">
        <f t="shared" si="1"/>
        <v>83.54</v>
      </c>
    </row>
    <row r="14" spans="1:9" ht="16.5" thickBot="1">
      <c r="A14" s="34">
        <v>12</v>
      </c>
      <c r="B14" s="42" t="s">
        <v>308</v>
      </c>
      <c r="C14" s="34" t="s">
        <v>297</v>
      </c>
      <c r="D14" s="202">
        <v>2</v>
      </c>
      <c r="E14" s="155">
        <v>95.83</v>
      </c>
      <c r="F14" s="156">
        <f t="shared" si="0"/>
        <v>191.66</v>
      </c>
      <c r="G14" s="34">
        <v>5</v>
      </c>
      <c r="H14" s="157">
        <v>0.2</v>
      </c>
      <c r="I14" s="156">
        <f t="shared" si="1"/>
        <v>38.33</v>
      </c>
    </row>
    <row r="15" spans="1:9" ht="16.5" thickBot="1">
      <c r="A15" s="34">
        <v>13</v>
      </c>
      <c r="B15" s="42" t="s">
        <v>309</v>
      </c>
      <c r="C15" s="34" t="s">
        <v>297</v>
      </c>
      <c r="D15" s="202">
        <v>1</v>
      </c>
      <c r="E15" s="155">
        <v>111.36</v>
      </c>
      <c r="F15" s="156">
        <f t="shared" si="0"/>
        <v>111.36</v>
      </c>
      <c r="G15" s="34">
        <v>5</v>
      </c>
      <c r="H15" s="157">
        <v>0.2</v>
      </c>
      <c r="I15" s="156">
        <f t="shared" si="1"/>
        <v>22.27</v>
      </c>
    </row>
    <row r="16" spans="1:9" ht="16.5" thickBot="1">
      <c r="A16" s="34">
        <v>14</v>
      </c>
      <c r="B16" s="153" t="s">
        <v>310</v>
      </c>
      <c r="C16" s="34" t="s">
        <v>297</v>
      </c>
      <c r="D16" s="202">
        <v>1</v>
      </c>
      <c r="E16" s="155">
        <v>141.16999999999999</v>
      </c>
      <c r="F16" s="156">
        <f t="shared" si="0"/>
        <v>141.16999999999999</v>
      </c>
      <c r="G16" s="34">
        <v>5</v>
      </c>
      <c r="H16" s="157">
        <v>0.2</v>
      </c>
      <c r="I16" s="156">
        <f t="shared" si="1"/>
        <v>28.23</v>
      </c>
    </row>
    <row r="17" spans="1:9" ht="16.5" thickBot="1">
      <c r="A17" s="34">
        <v>15</v>
      </c>
      <c r="B17" s="42" t="s">
        <v>311</v>
      </c>
      <c r="C17" s="34" t="s">
        <v>297</v>
      </c>
      <c r="D17" s="202">
        <v>4</v>
      </c>
      <c r="E17" s="155">
        <v>30.08</v>
      </c>
      <c r="F17" s="156">
        <f t="shared" si="0"/>
        <v>120.32</v>
      </c>
      <c r="G17" s="34">
        <v>5</v>
      </c>
      <c r="H17" s="157">
        <v>0.2</v>
      </c>
      <c r="I17" s="156">
        <f t="shared" si="1"/>
        <v>24.06</v>
      </c>
    </row>
    <row r="18" spans="1:9" ht="16.5" thickBot="1">
      <c r="A18" s="34">
        <v>16</v>
      </c>
      <c r="B18" s="153" t="s">
        <v>312</v>
      </c>
      <c r="C18" s="34" t="s">
        <v>297</v>
      </c>
      <c r="D18" s="202">
        <v>8</v>
      </c>
      <c r="E18" s="155">
        <v>42.83</v>
      </c>
      <c r="F18" s="156">
        <f t="shared" si="0"/>
        <v>342.64</v>
      </c>
      <c r="G18" s="34">
        <v>5</v>
      </c>
      <c r="H18" s="157">
        <v>0.2</v>
      </c>
      <c r="I18" s="156">
        <f t="shared" si="1"/>
        <v>68.52</v>
      </c>
    </row>
    <row r="19" spans="1:9" ht="16.5" thickBot="1">
      <c r="A19" s="34">
        <v>17</v>
      </c>
      <c r="B19" s="37" t="s">
        <v>313</v>
      </c>
      <c r="C19" s="34" t="s">
        <v>297</v>
      </c>
      <c r="D19" s="202">
        <v>2</v>
      </c>
      <c r="E19" s="158">
        <v>535.11</v>
      </c>
      <c r="F19" s="156">
        <f t="shared" si="0"/>
        <v>1070.22</v>
      </c>
      <c r="G19" s="34">
        <v>5</v>
      </c>
      <c r="H19" s="157">
        <v>0.2</v>
      </c>
      <c r="I19" s="156">
        <f t="shared" si="1"/>
        <v>214.04</v>
      </c>
    </row>
    <row r="20" spans="1:9" ht="16.5" thickBot="1">
      <c r="A20" s="34">
        <v>18</v>
      </c>
      <c r="B20" s="153" t="s">
        <v>314</v>
      </c>
      <c r="C20" s="34" t="s">
        <v>297</v>
      </c>
      <c r="D20" s="202">
        <v>2</v>
      </c>
      <c r="E20" s="155">
        <v>49.82</v>
      </c>
      <c r="F20" s="156">
        <f t="shared" si="0"/>
        <v>99.64</v>
      </c>
      <c r="G20" s="34">
        <v>5</v>
      </c>
      <c r="H20" s="157">
        <v>0.2</v>
      </c>
      <c r="I20" s="156">
        <f t="shared" si="1"/>
        <v>19.920000000000002</v>
      </c>
    </row>
    <row r="21" spans="1:9" ht="16.5" thickBot="1">
      <c r="A21" s="34">
        <v>19</v>
      </c>
      <c r="B21" s="153" t="s">
        <v>315</v>
      </c>
      <c r="C21" s="34" t="s">
        <v>297</v>
      </c>
      <c r="D21" s="202">
        <v>1</v>
      </c>
      <c r="E21" s="155">
        <v>101.12</v>
      </c>
      <c r="F21" s="156">
        <f t="shared" si="0"/>
        <v>101.12</v>
      </c>
      <c r="G21" s="34">
        <v>5</v>
      </c>
      <c r="H21" s="157">
        <v>0.2</v>
      </c>
      <c r="I21" s="156">
        <f t="shared" si="1"/>
        <v>20.22</v>
      </c>
    </row>
    <row r="22" spans="1:9" ht="16.5" thickBot="1">
      <c r="A22" s="34">
        <v>20</v>
      </c>
      <c r="B22" s="153" t="s">
        <v>316</v>
      </c>
      <c r="C22" s="34" t="s">
        <v>297</v>
      </c>
      <c r="D22" s="202">
        <v>1</v>
      </c>
      <c r="E22" s="155">
        <v>529.9</v>
      </c>
      <c r="F22" s="156">
        <f t="shared" si="0"/>
        <v>529.9</v>
      </c>
      <c r="G22" s="34">
        <v>5</v>
      </c>
      <c r="H22" s="157">
        <v>0.2</v>
      </c>
      <c r="I22" s="156">
        <f t="shared" si="1"/>
        <v>105.98</v>
      </c>
    </row>
    <row r="23" spans="1:9" ht="16.5" thickBot="1">
      <c r="A23" s="34">
        <v>21</v>
      </c>
      <c r="B23" s="42" t="s">
        <v>317</v>
      </c>
      <c r="C23" s="34" t="s">
        <v>297</v>
      </c>
      <c r="D23" s="202">
        <v>4</v>
      </c>
      <c r="E23" s="155">
        <v>11.01</v>
      </c>
      <c r="F23" s="156">
        <f t="shared" si="0"/>
        <v>44.04</v>
      </c>
      <c r="G23" s="34">
        <v>5</v>
      </c>
      <c r="H23" s="157">
        <v>0.2</v>
      </c>
      <c r="I23" s="156">
        <f t="shared" si="1"/>
        <v>8.8000000000000007</v>
      </c>
    </row>
    <row r="24" spans="1:9" ht="16.5" thickBot="1">
      <c r="A24" s="34">
        <v>22</v>
      </c>
      <c r="B24" s="42" t="s">
        <v>318</v>
      </c>
      <c r="C24" s="34" t="s">
        <v>297</v>
      </c>
      <c r="D24" s="202">
        <v>4</v>
      </c>
      <c r="E24" s="155">
        <v>12.38</v>
      </c>
      <c r="F24" s="156">
        <f t="shared" si="0"/>
        <v>49.52</v>
      </c>
      <c r="G24" s="34">
        <v>5</v>
      </c>
      <c r="H24" s="157">
        <v>0.2</v>
      </c>
      <c r="I24" s="156">
        <f t="shared" si="1"/>
        <v>9.9</v>
      </c>
    </row>
    <row r="25" spans="1:9" ht="16.5" thickBot="1">
      <c r="A25" s="34">
        <v>23</v>
      </c>
      <c r="B25" s="153" t="s">
        <v>319</v>
      </c>
      <c r="C25" s="34" t="s">
        <v>297</v>
      </c>
      <c r="D25" s="202">
        <v>3</v>
      </c>
      <c r="E25" s="155">
        <v>52.15</v>
      </c>
      <c r="F25" s="156">
        <f t="shared" si="0"/>
        <v>156.44999999999999</v>
      </c>
      <c r="G25" s="34">
        <v>5</v>
      </c>
      <c r="H25" s="157">
        <v>0.2</v>
      </c>
      <c r="I25" s="156">
        <f t="shared" si="1"/>
        <v>31.29</v>
      </c>
    </row>
    <row r="26" spans="1:9" ht="16.5" thickBot="1">
      <c r="A26" s="34">
        <v>24</v>
      </c>
      <c r="B26" s="42" t="s">
        <v>320</v>
      </c>
      <c r="C26" s="34" t="s">
        <v>297</v>
      </c>
      <c r="D26" s="202">
        <v>4</v>
      </c>
      <c r="E26" s="155">
        <v>5.46</v>
      </c>
      <c r="F26" s="156">
        <f t="shared" si="0"/>
        <v>21.84</v>
      </c>
      <c r="G26" s="34">
        <v>5</v>
      </c>
      <c r="H26" s="157">
        <v>0.2</v>
      </c>
      <c r="I26" s="156">
        <f t="shared" si="1"/>
        <v>4.3600000000000003</v>
      </c>
    </row>
    <row r="27" spans="1:9" ht="16.5" thickBot="1">
      <c r="A27" s="34">
        <v>25</v>
      </c>
      <c r="B27" s="153" t="s">
        <v>321</v>
      </c>
      <c r="C27" s="34" t="s">
        <v>297</v>
      </c>
      <c r="D27" s="202">
        <v>1</v>
      </c>
      <c r="E27" s="155">
        <v>13.99</v>
      </c>
      <c r="F27" s="156">
        <f t="shared" si="0"/>
        <v>13.99</v>
      </c>
      <c r="G27" s="34">
        <v>5</v>
      </c>
      <c r="H27" s="157">
        <v>0.2</v>
      </c>
      <c r="I27" s="156">
        <f t="shared" si="1"/>
        <v>2.79</v>
      </c>
    </row>
    <row r="28" spans="1:9" ht="16.5" thickBot="1">
      <c r="A28" s="34">
        <v>26</v>
      </c>
      <c r="B28" s="153" t="s">
        <v>322</v>
      </c>
      <c r="C28" s="34" t="s">
        <v>297</v>
      </c>
      <c r="D28" s="202">
        <v>3</v>
      </c>
      <c r="E28" s="155">
        <v>53.17</v>
      </c>
      <c r="F28" s="156">
        <f t="shared" si="0"/>
        <v>159.51</v>
      </c>
      <c r="G28" s="34">
        <v>5</v>
      </c>
      <c r="H28" s="157">
        <v>0.2</v>
      </c>
      <c r="I28" s="156">
        <f t="shared" si="1"/>
        <v>31.9</v>
      </c>
    </row>
    <row r="29" spans="1:9" ht="16.5" thickBot="1">
      <c r="A29" s="34">
        <v>27</v>
      </c>
      <c r="B29" s="153" t="s">
        <v>323</v>
      </c>
      <c r="C29" s="34" t="s">
        <v>297</v>
      </c>
      <c r="D29" s="203">
        <v>0</v>
      </c>
      <c r="E29" s="155">
        <v>0</v>
      </c>
      <c r="F29" s="156">
        <f t="shared" si="0"/>
        <v>0</v>
      </c>
      <c r="G29" s="34">
        <v>5</v>
      </c>
      <c r="H29" s="157">
        <v>0.2</v>
      </c>
      <c r="I29" s="156">
        <f t="shared" si="1"/>
        <v>0</v>
      </c>
    </row>
    <row r="30" spans="1:9" ht="16.5" thickBot="1">
      <c r="A30" s="34">
        <v>28</v>
      </c>
      <c r="B30" s="153" t="s">
        <v>324</v>
      </c>
      <c r="C30" s="34" t="s">
        <v>297</v>
      </c>
      <c r="D30" s="202">
        <v>4</v>
      </c>
      <c r="E30" s="155">
        <v>11.58</v>
      </c>
      <c r="F30" s="156">
        <f t="shared" si="0"/>
        <v>46.32</v>
      </c>
      <c r="G30" s="34">
        <v>5</v>
      </c>
      <c r="H30" s="157">
        <v>0.2</v>
      </c>
      <c r="I30" s="156">
        <f t="shared" si="1"/>
        <v>9.26</v>
      </c>
    </row>
    <row r="31" spans="1:9" ht="16.5" thickBot="1">
      <c r="A31" s="34">
        <v>29</v>
      </c>
      <c r="B31" s="153" t="s">
        <v>325</v>
      </c>
      <c r="C31" s="34" t="s">
        <v>297</v>
      </c>
      <c r="D31" s="203">
        <v>0</v>
      </c>
      <c r="E31" s="155">
        <v>0</v>
      </c>
      <c r="F31" s="156">
        <f t="shared" si="0"/>
        <v>0</v>
      </c>
      <c r="G31" s="34">
        <v>5</v>
      </c>
      <c r="H31" s="157">
        <v>0.2</v>
      </c>
      <c r="I31" s="156">
        <f t="shared" si="1"/>
        <v>0</v>
      </c>
    </row>
    <row r="32" spans="1:9" ht="16.5" thickBot="1">
      <c r="A32" s="34">
        <v>30</v>
      </c>
      <c r="B32" s="153" t="s">
        <v>326</v>
      </c>
      <c r="C32" s="34" t="s">
        <v>297</v>
      </c>
      <c r="D32" s="203">
        <v>0</v>
      </c>
      <c r="E32" s="155">
        <v>0</v>
      </c>
      <c r="F32" s="156">
        <f t="shared" si="0"/>
        <v>0</v>
      </c>
      <c r="G32" s="34">
        <v>5</v>
      </c>
      <c r="H32" s="157">
        <v>0.2</v>
      </c>
      <c r="I32" s="156">
        <f t="shared" si="1"/>
        <v>0</v>
      </c>
    </row>
    <row r="33" spans="1:9" ht="16.5" thickBot="1">
      <c r="A33" s="34">
        <v>31</v>
      </c>
      <c r="B33" s="153" t="s">
        <v>327</v>
      </c>
      <c r="C33" s="34" t="s">
        <v>297</v>
      </c>
      <c r="D33" s="202">
        <v>1</v>
      </c>
      <c r="E33" s="155">
        <v>8.1999999999999993</v>
      </c>
      <c r="F33" s="156">
        <f t="shared" si="0"/>
        <v>8.1999999999999993</v>
      </c>
      <c r="G33" s="34">
        <v>5</v>
      </c>
      <c r="H33" s="157">
        <v>0.2</v>
      </c>
      <c r="I33" s="156">
        <f t="shared" si="1"/>
        <v>1.64</v>
      </c>
    </row>
    <row r="34" spans="1:9" ht="16.5" thickBot="1">
      <c r="A34" s="34">
        <v>32</v>
      </c>
      <c r="B34" s="153" t="s">
        <v>328</v>
      </c>
      <c r="C34" s="34" t="s">
        <v>297</v>
      </c>
      <c r="D34" s="202">
        <v>3</v>
      </c>
      <c r="E34" s="155">
        <v>8.33</v>
      </c>
      <c r="F34" s="156">
        <f t="shared" si="0"/>
        <v>24.990000000000002</v>
      </c>
      <c r="G34" s="34">
        <v>5</v>
      </c>
      <c r="H34" s="157">
        <v>0.2</v>
      </c>
      <c r="I34" s="156">
        <f t="shared" si="1"/>
        <v>4.99</v>
      </c>
    </row>
    <row r="35" spans="1:9" ht="16.5" thickBot="1">
      <c r="A35" s="34">
        <v>33</v>
      </c>
      <c r="B35" s="153" t="s">
        <v>329</v>
      </c>
      <c r="C35" s="34" t="s">
        <v>297</v>
      </c>
      <c r="D35" s="202">
        <v>1</v>
      </c>
      <c r="E35" s="155">
        <v>13.99</v>
      </c>
      <c r="F35" s="156">
        <f t="shared" ref="F35:F66" si="2">E35*D35</f>
        <v>13.99</v>
      </c>
      <c r="G35" s="34">
        <v>5</v>
      </c>
      <c r="H35" s="157">
        <v>0.2</v>
      </c>
      <c r="I35" s="156">
        <f t="shared" ref="I35:I66" si="3">TRUNC(F35/G35,2)</f>
        <v>2.79</v>
      </c>
    </row>
    <row r="36" spans="1:9" ht="16.5" thickBot="1">
      <c r="A36" s="34">
        <v>34</v>
      </c>
      <c r="B36" s="42" t="s">
        <v>330</v>
      </c>
      <c r="C36" s="34" t="s">
        <v>297</v>
      </c>
      <c r="D36" s="202">
        <v>4</v>
      </c>
      <c r="E36" s="155">
        <v>20.73</v>
      </c>
      <c r="F36" s="156">
        <f t="shared" si="2"/>
        <v>82.92</v>
      </c>
      <c r="G36" s="34">
        <v>5</v>
      </c>
      <c r="H36" s="157">
        <v>0.2</v>
      </c>
      <c r="I36" s="156">
        <f t="shared" si="3"/>
        <v>16.579999999999998</v>
      </c>
    </row>
    <row r="37" spans="1:9" ht="16.5" thickBot="1">
      <c r="A37" s="34">
        <v>35</v>
      </c>
      <c r="B37" s="42" t="s">
        <v>331</v>
      </c>
      <c r="C37" s="34" t="s">
        <v>297</v>
      </c>
      <c r="D37" s="202">
        <v>4</v>
      </c>
      <c r="E37" s="155">
        <v>20.32</v>
      </c>
      <c r="F37" s="156">
        <f t="shared" si="2"/>
        <v>81.28</v>
      </c>
      <c r="G37" s="34">
        <v>5</v>
      </c>
      <c r="H37" s="157">
        <v>0.2</v>
      </c>
      <c r="I37" s="156">
        <f t="shared" si="3"/>
        <v>16.25</v>
      </c>
    </row>
    <row r="38" spans="1:9" ht="16.5" thickBot="1">
      <c r="A38" s="34">
        <v>36</v>
      </c>
      <c r="B38" s="42" t="s">
        <v>332</v>
      </c>
      <c r="C38" s="34" t="s">
        <v>297</v>
      </c>
      <c r="D38" s="202">
        <v>4</v>
      </c>
      <c r="E38" s="155">
        <v>8.11</v>
      </c>
      <c r="F38" s="156">
        <f t="shared" si="2"/>
        <v>32.44</v>
      </c>
      <c r="G38" s="34">
        <v>5</v>
      </c>
      <c r="H38" s="157">
        <v>0.2</v>
      </c>
      <c r="I38" s="156">
        <f t="shared" si="3"/>
        <v>6.48</v>
      </c>
    </row>
    <row r="39" spans="1:9" ht="16.5" thickBot="1">
      <c r="A39" s="34">
        <v>37</v>
      </c>
      <c r="B39" s="42" t="s">
        <v>333</v>
      </c>
      <c r="C39" s="34" t="s">
        <v>297</v>
      </c>
      <c r="D39" s="202">
        <v>4</v>
      </c>
      <c r="E39" s="155">
        <v>11.74</v>
      </c>
      <c r="F39" s="156">
        <f t="shared" si="2"/>
        <v>46.96</v>
      </c>
      <c r="G39" s="34">
        <v>5</v>
      </c>
      <c r="H39" s="157">
        <v>0.2</v>
      </c>
      <c r="I39" s="156">
        <f t="shared" si="3"/>
        <v>9.39</v>
      </c>
    </row>
    <row r="40" spans="1:9" ht="16.5" thickBot="1">
      <c r="A40" s="34">
        <v>38</v>
      </c>
      <c r="B40" s="42" t="s">
        <v>334</v>
      </c>
      <c r="C40" s="34" t="s">
        <v>297</v>
      </c>
      <c r="D40" s="202">
        <v>2</v>
      </c>
      <c r="E40" s="155">
        <v>96.49</v>
      </c>
      <c r="F40" s="156">
        <f t="shared" si="2"/>
        <v>192.98</v>
      </c>
      <c r="G40" s="34">
        <v>5</v>
      </c>
      <c r="H40" s="157">
        <v>0.2</v>
      </c>
      <c r="I40" s="156">
        <f t="shared" si="3"/>
        <v>38.590000000000003</v>
      </c>
    </row>
    <row r="41" spans="1:9" ht="16.5" thickBot="1">
      <c r="A41" s="34">
        <v>39</v>
      </c>
      <c r="B41" s="42" t="s">
        <v>335</v>
      </c>
      <c r="C41" s="34" t="s">
        <v>297</v>
      </c>
      <c r="D41" s="202">
        <v>2</v>
      </c>
      <c r="E41" s="155">
        <v>12.55</v>
      </c>
      <c r="F41" s="156">
        <f t="shared" si="2"/>
        <v>25.1</v>
      </c>
      <c r="G41" s="34">
        <v>5</v>
      </c>
      <c r="H41" s="157">
        <v>0.2</v>
      </c>
      <c r="I41" s="156">
        <f t="shared" si="3"/>
        <v>5.0199999999999996</v>
      </c>
    </row>
    <row r="42" spans="1:9" ht="16.5" thickBot="1">
      <c r="A42" s="34">
        <v>40</v>
      </c>
      <c r="B42" s="42" t="s">
        <v>336</v>
      </c>
      <c r="C42" s="34" t="s">
        <v>297</v>
      </c>
      <c r="D42" s="202">
        <v>1</v>
      </c>
      <c r="E42" s="155">
        <v>26</v>
      </c>
      <c r="F42" s="156">
        <f t="shared" si="2"/>
        <v>26</v>
      </c>
      <c r="G42" s="34">
        <v>5</v>
      </c>
      <c r="H42" s="157">
        <v>0.2</v>
      </c>
      <c r="I42" s="156">
        <f t="shared" si="3"/>
        <v>5.2</v>
      </c>
    </row>
    <row r="43" spans="1:9" ht="16.5" thickBot="1">
      <c r="A43" s="34">
        <v>41</v>
      </c>
      <c r="B43" s="153" t="s">
        <v>337</v>
      </c>
      <c r="C43" s="34" t="s">
        <v>297</v>
      </c>
      <c r="D43" s="202">
        <v>1</v>
      </c>
      <c r="E43" s="155">
        <v>34.85</v>
      </c>
      <c r="F43" s="156">
        <f t="shared" si="2"/>
        <v>34.85</v>
      </c>
      <c r="G43" s="34">
        <v>5</v>
      </c>
      <c r="H43" s="157">
        <v>0.2</v>
      </c>
      <c r="I43" s="156">
        <f t="shared" si="3"/>
        <v>6.97</v>
      </c>
    </row>
    <row r="44" spans="1:9" ht="16.5" thickBot="1">
      <c r="A44" s="34">
        <v>42</v>
      </c>
      <c r="B44" s="42" t="s">
        <v>338</v>
      </c>
      <c r="C44" s="34" t="s">
        <v>297</v>
      </c>
      <c r="D44" s="202">
        <v>0</v>
      </c>
      <c r="E44" s="155">
        <v>7.62</v>
      </c>
      <c r="F44" s="156">
        <f t="shared" si="2"/>
        <v>0</v>
      </c>
      <c r="G44" s="34">
        <v>5</v>
      </c>
      <c r="H44" s="157">
        <v>0.2</v>
      </c>
      <c r="I44" s="156">
        <f t="shared" si="3"/>
        <v>0</v>
      </c>
    </row>
    <row r="45" spans="1:9" ht="16.5" thickBot="1">
      <c r="A45" s="34">
        <v>43</v>
      </c>
      <c r="B45" s="42" t="s">
        <v>339</v>
      </c>
      <c r="C45" s="34" t="s">
        <v>297</v>
      </c>
      <c r="D45" s="202">
        <v>4</v>
      </c>
      <c r="E45" s="155">
        <v>14.37</v>
      </c>
      <c r="F45" s="156">
        <f t="shared" si="2"/>
        <v>57.48</v>
      </c>
      <c r="G45" s="34">
        <v>5</v>
      </c>
      <c r="H45" s="157">
        <v>0.2</v>
      </c>
      <c r="I45" s="156">
        <f t="shared" si="3"/>
        <v>11.49</v>
      </c>
    </row>
    <row r="46" spans="1:9" ht="16.5" thickBot="1">
      <c r="A46" s="34">
        <v>44</v>
      </c>
      <c r="B46" s="42" t="s">
        <v>340</v>
      </c>
      <c r="C46" s="34" t="s">
        <v>297</v>
      </c>
      <c r="D46" s="202">
        <v>4</v>
      </c>
      <c r="E46" s="155">
        <v>12.49</v>
      </c>
      <c r="F46" s="156">
        <f t="shared" si="2"/>
        <v>49.96</v>
      </c>
      <c r="G46" s="34">
        <v>5</v>
      </c>
      <c r="H46" s="157">
        <v>0.2</v>
      </c>
      <c r="I46" s="156">
        <f t="shared" si="3"/>
        <v>9.99</v>
      </c>
    </row>
    <row r="47" spans="1:9" ht="16.5" thickBot="1">
      <c r="A47" s="34">
        <v>45</v>
      </c>
      <c r="B47" s="159" t="s">
        <v>341</v>
      </c>
      <c r="C47" s="34" t="s">
        <v>297</v>
      </c>
      <c r="D47" s="202">
        <v>4</v>
      </c>
      <c r="E47" s="155">
        <v>8.1999999999999993</v>
      </c>
      <c r="F47" s="156">
        <f t="shared" si="2"/>
        <v>32.799999999999997</v>
      </c>
      <c r="G47" s="34">
        <v>5</v>
      </c>
      <c r="H47" s="157">
        <v>0.2</v>
      </c>
      <c r="I47" s="156">
        <f t="shared" si="3"/>
        <v>6.56</v>
      </c>
    </row>
    <row r="48" spans="1:9" ht="16.5" thickBot="1">
      <c r="A48" s="34">
        <v>46</v>
      </c>
      <c r="B48" s="159" t="s">
        <v>342</v>
      </c>
      <c r="C48" s="34" t="s">
        <v>297</v>
      </c>
      <c r="D48" s="202">
        <v>0</v>
      </c>
      <c r="E48" s="155">
        <v>7.46</v>
      </c>
      <c r="F48" s="156">
        <f t="shared" si="2"/>
        <v>0</v>
      </c>
      <c r="G48" s="34">
        <v>5</v>
      </c>
      <c r="H48" s="157">
        <v>0.2</v>
      </c>
      <c r="I48" s="156">
        <f t="shared" si="3"/>
        <v>0</v>
      </c>
    </row>
    <row r="49" spans="1:9" ht="16.5" thickBot="1">
      <c r="A49" s="34">
        <v>47</v>
      </c>
      <c r="B49" s="159" t="s">
        <v>343</v>
      </c>
      <c r="C49" s="34" t="s">
        <v>297</v>
      </c>
      <c r="D49" s="202">
        <v>0</v>
      </c>
      <c r="E49" s="155">
        <v>7.82</v>
      </c>
      <c r="F49" s="156">
        <f t="shared" si="2"/>
        <v>0</v>
      </c>
      <c r="G49" s="34">
        <v>5</v>
      </c>
      <c r="H49" s="157">
        <v>0.2</v>
      </c>
      <c r="I49" s="156">
        <f t="shared" si="3"/>
        <v>0</v>
      </c>
    </row>
    <row r="50" spans="1:9" ht="16.5" thickBot="1">
      <c r="A50" s="34">
        <v>48</v>
      </c>
      <c r="B50" s="42" t="s">
        <v>344</v>
      </c>
      <c r="C50" s="34" t="s">
        <v>297</v>
      </c>
      <c r="D50" s="202">
        <v>4</v>
      </c>
      <c r="E50" s="155">
        <v>12.2</v>
      </c>
      <c r="F50" s="156">
        <f t="shared" si="2"/>
        <v>48.8</v>
      </c>
      <c r="G50" s="34">
        <v>5</v>
      </c>
      <c r="H50" s="157">
        <v>0.2</v>
      </c>
      <c r="I50" s="156">
        <f t="shared" si="3"/>
        <v>9.76</v>
      </c>
    </row>
    <row r="51" spans="1:9" ht="16.5" thickBot="1">
      <c r="A51" s="34">
        <v>49</v>
      </c>
      <c r="B51" s="153" t="s">
        <v>345</v>
      </c>
      <c r="C51" s="34" t="s">
        <v>297</v>
      </c>
      <c r="D51" s="202">
        <v>1</v>
      </c>
      <c r="E51" s="155">
        <v>17.5</v>
      </c>
      <c r="F51" s="156">
        <f t="shared" si="2"/>
        <v>17.5</v>
      </c>
      <c r="G51" s="34">
        <v>5</v>
      </c>
      <c r="H51" s="157">
        <v>0.2</v>
      </c>
      <c r="I51" s="156">
        <f t="shared" si="3"/>
        <v>3.5</v>
      </c>
    </row>
    <row r="52" spans="1:9" ht="16.5" thickBot="1">
      <c r="A52" s="34">
        <v>50</v>
      </c>
      <c r="B52" s="153" t="s">
        <v>346</v>
      </c>
      <c r="C52" s="34" t="s">
        <v>297</v>
      </c>
      <c r="D52" s="202">
        <v>1</v>
      </c>
      <c r="E52" s="155">
        <v>20.34</v>
      </c>
      <c r="F52" s="156">
        <f t="shared" si="2"/>
        <v>20.34</v>
      </c>
      <c r="G52" s="34">
        <v>5</v>
      </c>
      <c r="H52" s="157">
        <v>0.2</v>
      </c>
      <c r="I52" s="156">
        <f t="shared" si="3"/>
        <v>4.0599999999999996</v>
      </c>
    </row>
    <row r="53" spans="1:9" ht="16.5" thickBot="1">
      <c r="A53" s="34">
        <v>51</v>
      </c>
      <c r="B53" s="153" t="s">
        <v>347</v>
      </c>
      <c r="C53" s="34" t="s">
        <v>297</v>
      </c>
      <c r="D53" s="202">
        <v>4</v>
      </c>
      <c r="E53" s="155">
        <v>16.059999999999999</v>
      </c>
      <c r="F53" s="156">
        <f t="shared" si="2"/>
        <v>64.239999999999995</v>
      </c>
      <c r="G53" s="34">
        <v>5</v>
      </c>
      <c r="H53" s="157">
        <v>0.2</v>
      </c>
      <c r="I53" s="156">
        <f t="shared" si="3"/>
        <v>12.84</v>
      </c>
    </row>
    <row r="54" spans="1:9" ht="16.5" thickBot="1">
      <c r="A54" s="34">
        <v>52</v>
      </c>
      <c r="B54" s="153" t="s">
        <v>348</v>
      </c>
      <c r="C54" s="34" t="s">
        <v>297</v>
      </c>
      <c r="D54" s="202">
        <v>1</v>
      </c>
      <c r="E54" s="155">
        <v>12.21</v>
      </c>
      <c r="F54" s="156">
        <f t="shared" si="2"/>
        <v>12.21</v>
      </c>
      <c r="G54" s="34">
        <v>5</v>
      </c>
      <c r="H54" s="157">
        <v>0.2</v>
      </c>
      <c r="I54" s="156">
        <f t="shared" si="3"/>
        <v>2.44</v>
      </c>
    </row>
    <row r="55" spans="1:9" ht="16.5" thickBot="1">
      <c r="A55" s="34">
        <v>53</v>
      </c>
      <c r="B55" s="153" t="s">
        <v>349</v>
      </c>
      <c r="C55" s="34" t="s">
        <v>297</v>
      </c>
      <c r="D55" s="202">
        <v>1</v>
      </c>
      <c r="E55" s="155">
        <v>10.96</v>
      </c>
      <c r="F55" s="156">
        <f t="shared" si="2"/>
        <v>10.96</v>
      </c>
      <c r="G55" s="34">
        <v>5</v>
      </c>
      <c r="H55" s="157">
        <v>0.2</v>
      </c>
      <c r="I55" s="156">
        <f t="shared" si="3"/>
        <v>2.19</v>
      </c>
    </row>
    <row r="56" spans="1:9" ht="16.5" thickBot="1">
      <c r="A56" s="34">
        <v>54</v>
      </c>
      <c r="B56" s="153" t="s">
        <v>350</v>
      </c>
      <c r="C56" s="34" t="s">
        <v>297</v>
      </c>
      <c r="D56" s="202">
        <v>2</v>
      </c>
      <c r="E56" s="155">
        <v>14.04</v>
      </c>
      <c r="F56" s="156">
        <f t="shared" si="2"/>
        <v>28.08</v>
      </c>
      <c r="G56" s="34">
        <v>5</v>
      </c>
      <c r="H56" s="157">
        <v>0.2</v>
      </c>
      <c r="I56" s="156">
        <f t="shared" si="3"/>
        <v>5.61</v>
      </c>
    </row>
    <row r="57" spans="1:9" ht="16.5" thickBot="1">
      <c r="A57" s="34">
        <v>55</v>
      </c>
      <c r="B57" s="37" t="s">
        <v>351</v>
      </c>
      <c r="C57" s="34" t="s">
        <v>297</v>
      </c>
      <c r="D57" s="202">
        <v>1</v>
      </c>
      <c r="E57" s="158">
        <v>110.99</v>
      </c>
      <c r="F57" s="156">
        <f t="shared" si="2"/>
        <v>110.99</v>
      </c>
      <c r="G57" s="34">
        <v>5</v>
      </c>
      <c r="H57" s="157">
        <v>0.2</v>
      </c>
      <c r="I57" s="156">
        <f t="shared" si="3"/>
        <v>22.19</v>
      </c>
    </row>
    <row r="58" spans="1:9" ht="16.5" thickBot="1">
      <c r="A58" s="34">
        <v>56</v>
      </c>
      <c r="B58" s="37" t="s">
        <v>352</v>
      </c>
      <c r="C58" s="34" t="s">
        <v>297</v>
      </c>
      <c r="D58" s="202">
        <v>2</v>
      </c>
      <c r="E58" s="155">
        <v>36</v>
      </c>
      <c r="F58" s="156">
        <f t="shared" si="2"/>
        <v>72</v>
      </c>
      <c r="G58" s="34">
        <v>5</v>
      </c>
      <c r="H58" s="157">
        <v>0.2</v>
      </c>
      <c r="I58" s="156">
        <f t="shared" si="3"/>
        <v>14.4</v>
      </c>
    </row>
    <row r="59" spans="1:9" ht="16.5" thickBot="1">
      <c r="A59" s="34">
        <v>57</v>
      </c>
      <c r="B59" s="160" t="s">
        <v>353</v>
      </c>
      <c r="C59" s="34" t="s">
        <v>297</v>
      </c>
      <c r="D59" s="202">
        <v>2</v>
      </c>
      <c r="E59" s="155">
        <v>16.14</v>
      </c>
      <c r="F59" s="156">
        <f t="shared" si="2"/>
        <v>32.28</v>
      </c>
      <c r="G59" s="34">
        <v>5</v>
      </c>
      <c r="H59" s="157">
        <v>0.2</v>
      </c>
      <c r="I59" s="156">
        <f t="shared" si="3"/>
        <v>6.45</v>
      </c>
    </row>
    <row r="60" spans="1:9" ht="16.5" thickBot="1">
      <c r="A60" s="34">
        <v>58</v>
      </c>
      <c r="B60" s="153" t="s">
        <v>354</v>
      </c>
      <c r="C60" s="34" t="s">
        <v>297</v>
      </c>
      <c r="D60" s="202">
        <v>4</v>
      </c>
      <c r="E60" s="155">
        <v>59.61</v>
      </c>
      <c r="F60" s="156">
        <f t="shared" si="2"/>
        <v>238.44</v>
      </c>
      <c r="G60" s="34">
        <v>5</v>
      </c>
      <c r="H60" s="157">
        <v>0.2</v>
      </c>
      <c r="I60" s="156">
        <f t="shared" si="3"/>
        <v>47.68</v>
      </c>
    </row>
    <row r="61" spans="1:9" ht="16.5" thickBot="1">
      <c r="A61" s="34">
        <v>59</v>
      </c>
      <c r="B61" s="42" t="s">
        <v>355</v>
      </c>
      <c r="C61" s="34" t="s">
        <v>297</v>
      </c>
      <c r="D61" s="202">
        <v>4</v>
      </c>
      <c r="E61" s="155">
        <v>425.95</v>
      </c>
      <c r="F61" s="156">
        <f t="shared" si="2"/>
        <v>1703.8</v>
      </c>
      <c r="G61" s="34">
        <v>5</v>
      </c>
      <c r="H61" s="157">
        <v>0.2</v>
      </c>
      <c r="I61" s="156">
        <f t="shared" si="3"/>
        <v>340.76</v>
      </c>
    </row>
    <row r="62" spans="1:9" ht="16.5" thickBot="1">
      <c r="A62" s="34">
        <v>60</v>
      </c>
      <c r="B62" s="159" t="s">
        <v>356</v>
      </c>
      <c r="C62" s="34" t="s">
        <v>297</v>
      </c>
      <c r="D62" s="202">
        <v>5</v>
      </c>
      <c r="E62" s="161">
        <v>171.62</v>
      </c>
      <c r="F62" s="156">
        <f t="shared" si="2"/>
        <v>858.1</v>
      </c>
      <c r="G62" s="34">
        <v>5</v>
      </c>
      <c r="H62" s="157">
        <v>0.2</v>
      </c>
      <c r="I62" s="156">
        <f t="shared" si="3"/>
        <v>171.62</v>
      </c>
    </row>
    <row r="63" spans="1:9" ht="16.5" thickBot="1">
      <c r="A63" s="34">
        <v>61</v>
      </c>
      <c r="B63" s="153" t="s">
        <v>357</v>
      </c>
      <c r="C63" s="34" t="s">
        <v>297</v>
      </c>
      <c r="D63" s="202">
        <v>1</v>
      </c>
      <c r="E63" s="155">
        <v>338.05</v>
      </c>
      <c r="F63" s="156">
        <f t="shared" si="2"/>
        <v>338.05</v>
      </c>
      <c r="G63" s="34">
        <v>5</v>
      </c>
      <c r="H63" s="157">
        <v>0.2</v>
      </c>
      <c r="I63" s="156">
        <f t="shared" si="3"/>
        <v>67.61</v>
      </c>
    </row>
    <row r="64" spans="1:9" ht="16.5" thickBot="1">
      <c r="A64" s="34">
        <v>62</v>
      </c>
      <c r="B64" s="153" t="s">
        <v>358</v>
      </c>
      <c r="C64" s="34" t="s">
        <v>297</v>
      </c>
      <c r="D64" s="202">
        <v>1</v>
      </c>
      <c r="E64" s="155">
        <v>658.28</v>
      </c>
      <c r="F64" s="156">
        <f t="shared" si="2"/>
        <v>658.28</v>
      </c>
      <c r="G64" s="34">
        <v>5</v>
      </c>
      <c r="H64" s="157">
        <v>0.2</v>
      </c>
      <c r="I64" s="156">
        <f t="shared" si="3"/>
        <v>131.65</v>
      </c>
    </row>
    <row r="65" spans="1:9" ht="16.5" thickBot="1">
      <c r="A65" s="34">
        <v>63</v>
      </c>
      <c r="B65" s="42" t="s">
        <v>359</v>
      </c>
      <c r="C65" s="34" t="s">
        <v>297</v>
      </c>
      <c r="D65" s="202">
        <v>4</v>
      </c>
      <c r="E65" s="161">
        <v>14.69</v>
      </c>
      <c r="F65" s="156">
        <f t="shared" si="2"/>
        <v>58.76</v>
      </c>
      <c r="G65" s="34">
        <v>5</v>
      </c>
      <c r="H65" s="157">
        <v>0.2</v>
      </c>
      <c r="I65" s="156">
        <f t="shared" si="3"/>
        <v>11.75</v>
      </c>
    </row>
    <row r="66" spans="1:9" ht="16.5" thickBot="1">
      <c r="A66" s="34">
        <v>64</v>
      </c>
      <c r="B66" s="42" t="s">
        <v>360</v>
      </c>
      <c r="C66" s="34" t="s">
        <v>297</v>
      </c>
      <c r="D66" s="202">
        <v>0</v>
      </c>
      <c r="E66" s="155">
        <v>21.25</v>
      </c>
      <c r="F66" s="156">
        <f t="shared" si="2"/>
        <v>0</v>
      </c>
      <c r="G66" s="34">
        <v>5</v>
      </c>
      <c r="H66" s="157">
        <v>0.2</v>
      </c>
      <c r="I66" s="156">
        <f t="shared" si="3"/>
        <v>0</v>
      </c>
    </row>
    <row r="67" spans="1:9" ht="16.5" thickBot="1">
      <c r="A67" s="34">
        <v>65</v>
      </c>
      <c r="B67" s="42" t="s">
        <v>361</v>
      </c>
      <c r="C67" s="34" t="s">
        <v>297</v>
      </c>
      <c r="D67" s="202">
        <v>0</v>
      </c>
      <c r="E67" s="155">
        <v>13.93</v>
      </c>
      <c r="F67" s="156">
        <f t="shared" ref="F67:F98" si="4">E67*D67</f>
        <v>0</v>
      </c>
      <c r="G67" s="34">
        <v>5</v>
      </c>
      <c r="H67" s="157">
        <v>0.2</v>
      </c>
      <c r="I67" s="156">
        <f t="shared" ref="I67:I98" si="5">TRUNC(F67/G67,2)</f>
        <v>0</v>
      </c>
    </row>
    <row r="68" spans="1:9" ht="16.5" thickBot="1">
      <c r="A68" s="34">
        <v>66</v>
      </c>
      <c r="B68" s="160" t="s">
        <v>362</v>
      </c>
      <c r="C68" s="34" t="s">
        <v>297</v>
      </c>
      <c r="D68" s="202">
        <v>4</v>
      </c>
      <c r="E68" s="155">
        <v>29.75</v>
      </c>
      <c r="F68" s="156">
        <f t="shared" si="4"/>
        <v>119</v>
      </c>
      <c r="G68" s="34">
        <v>5</v>
      </c>
      <c r="H68" s="157">
        <v>0.2</v>
      </c>
      <c r="I68" s="156">
        <f t="shared" si="5"/>
        <v>23.8</v>
      </c>
    </row>
    <row r="69" spans="1:9" ht="16.5" thickBot="1">
      <c r="A69" s="34">
        <v>67</v>
      </c>
      <c r="B69" s="42" t="s">
        <v>363</v>
      </c>
      <c r="C69" s="34" t="s">
        <v>297</v>
      </c>
      <c r="D69" s="202">
        <v>10</v>
      </c>
      <c r="E69" s="155">
        <v>14.96</v>
      </c>
      <c r="F69" s="156">
        <f t="shared" si="4"/>
        <v>149.60000000000002</v>
      </c>
      <c r="G69" s="34">
        <v>5</v>
      </c>
      <c r="H69" s="157">
        <v>0.2</v>
      </c>
      <c r="I69" s="156">
        <f t="shared" si="5"/>
        <v>29.92</v>
      </c>
    </row>
    <row r="70" spans="1:9" ht="16.5" thickBot="1">
      <c r="A70" s="34">
        <v>68</v>
      </c>
      <c r="B70" s="153" t="s">
        <v>364</v>
      </c>
      <c r="C70" s="34" t="s">
        <v>297</v>
      </c>
      <c r="D70" s="202">
        <v>1</v>
      </c>
      <c r="E70" s="155">
        <v>54.71</v>
      </c>
      <c r="F70" s="156">
        <f t="shared" si="4"/>
        <v>54.71</v>
      </c>
      <c r="G70" s="34">
        <v>5</v>
      </c>
      <c r="H70" s="157">
        <v>0.2</v>
      </c>
      <c r="I70" s="156">
        <f t="shared" si="5"/>
        <v>10.94</v>
      </c>
    </row>
    <row r="71" spans="1:9" s="162" customFormat="1" ht="16.5" thickBot="1">
      <c r="A71" s="34">
        <v>69</v>
      </c>
      <c r="B71" s="153" t="s">
        <v>365</v>
      </c>
      <c r="C71" s="34" t="s">
        <v>297</v>
      </c>
      <c r="D71" s="202">
        <v>1</v>
      </c>
      <c r="E71" s="155">
        <v>101.24</v>
      </c>
      <c r="F71" s="156">
        <f t="shared" si="4"/>
        <v>101.24</v>
      </c>
      <c r="G71" s="34">
        <v>5</v>
      </c>
      <c r="H71" s="157">
        <v>0.2</v>
      </c>
      <c r="I71" s="156">
        <f t="shared" si="5"/>
        <v>20.239999999999998</v>
      </c>
    </row>
    <row r="72" spans="1:9" ht="16.5" thickBot="1">
      <c r="A72" s="34">
        <v>70</v>
      </c>
      <c r="B72" s="153" t="s">
        <v>366</v>
      </c>
      <c r="C72" s="34" t="s">
        <v>297</v>
      </c>
      <c r="D72" s="202">
        <v>3</v>
      </c>
      <c r="E72" s="155">
        <v>49.36</v>
      </c>
      <c r="F72" s="156">
        <f t="shared" si="4"/>
        <v>148.07999999999998</v>
      </c>
      <c r="G72" s="34">
        <v>5</v>
      </c>
      <c r="H72" s="157">
        <v>0.2</v>
      </c>
      <c r="I72" s="156">
        <f t="shared" si="5"/>
        <v>29.61</v>
      </c>
    </row>
    <row r="73" spans="1:9" ht="16.5" thickBot="1">
      <c r="A73" s="34">
        <v>71</v>
      </c>
      <c r="B73" s="153" t="s">
        <v>367</v>
      </c>
      <c r="C73" s="34" t="s">
        <v>297</v>
      </c>
      <c r="D73" s="202">
        <v>2</v>
      </c>
      <c r="E73" s="155">
        <v>210.9</v>
      </c>
      <c r="F73" s="156">
        <f t="shared" si="4"/>
        <v>421.8</v>
      </c>
      <c r="G73" s="34">
        <v>5</v>
      </c>
      <c r="H73" s="157">
        <v>0.2</v>
      </c>
      <c r="I73" s="156">
        <f t="shared" si="5"/>
        <v>84.36</v>
      </c>
    </row>
    <row r="74" spans="1:9" s="162" customFormat="1" ht="16.5" thickBot="1">
      <c r="A74" s="34">
        <v>72</v>
      </c>
      <c r="B74" s="42" t="s">
        <v>368</v>
      </c>
      <c r="C74" s="34" t="s">
        <v>297</v>
      </c>
      <c r="D74" s="202">
        <v>2</v>
      </c>
      <c r="E74" s="155">
        <v>103.51</v>
      </c>
      <c r="F74" s="156">
        <f t="shared" si="4"/>
        <v>207.02</v>
      </c>
      <c r="G74" s="34">
        <v>5</v>
      </c>
      <c r="H74" s="157">
        <v>0.2</v>
      </c>
      <c r="I74" s="156">
        <f t="shared" si="5"/>
        <v>41.4</v>
      </c>
    </row>
    <row r="75" spans="1:9" ht="16.5" thickBot="1">
      <c r="A75" s="34">
        <v>73</v>
      </c>
      <c r="B75" s="153" t="s">
        <v>369</v>
      </c>
      <c r="C75" s="34" t="s">
        <v>297</v>
      </c>
      <c r="D75" s="202">
        <v>5</v>
      </c>
      <c r="E75" s="155">
        <v>718.32</v>
      </c>
      <c r="F75" s="156">
        <f t="shared" si="4"/>
        <v>3591.6000000000004</v>
      </c>
      <c r="G75" s="34">
        <v>5</v>
      </c>
      <c r="H75" s="157">
        <v>0.2</v>
      </c>
      <c r="I75" s="156">
        <f t="shared" si="5"/>
        <v>718.32</v>
      </c>
    </row>
    <row r="76" spans="1:9" ht="16.5" thickBot="1">
      <c r="A76" s="34">
        <v>74</v>
      </c>
      <c r="B76" s="153" t="s">
        <v>370</v>
      </c>
      <c r="C76" s="34" t="s">
        <v>297</v>
      </c>
      <c r="D76" s="202">
        <v>3</v>
      </c>
      <c r="E76" s="155">
        <v>403.24</v>
      </c>
      <c r="F76" s="156">
        <f t="shared" si="4"/>
        <v>1209.72</v>
      </c>
      <c r="G76" s="34">
        <v>5</v>
      </c>
      <c r="H76" s="157">
        <v>0.2</v>
      </c>
      <c r="I76" s="156">
        <f t="shared" si="5"/>
        <v>241.94</v>
      </c>
    </row>
    <row r="77" spans="1:9" ht="16.5" thickBot="1">
      <c r="A77" s="34">
        <v>75</v>
      </c>
      <c r="B77" s="153" t="s">
        <v>371</v>
      </c>
      <c r="C77" s="34" t="s">
        <v>297</v>
      </c>
      <c r="D77" s="202">
        <v>2</v>
      </c>
      <c r="E77" s="155">
        <v>150.79</v>
      </c>
      <c r="F77" s="156">
        <f t="shared" si="4"/>
        <v>301.58</v>
      </c>
      <c r="G77" s="34">
        <v>5</v>
      </c>
      <c r="H77" s="157">
        <v>0.2</v>
      </c>
      <c r="I77" s="156">
        <f t="shared" si="5"/>
        <v>60.31</v>
      </c>
    </row>
    <row r="78" spans="1:9" ht="16.5" thickBot="1">
      <c r="A78" s="34">
        <v>76</v>
      </c>
      <c r="B78" s="153" t="s">
        <v>372</v>
      </c>
      <c r="C78" s="34" t="s">
        <v>297</v>
      </c>
      <c r="D78" s="202">
        <v>2</v>
      </c>
      <c r="E78" s="155">
        <v>45.6</v>
      </c>
      <c r="F78" s="156">
        <f t="shared" si="4"/>
        <v>91.2</v>
      </c>
      <c r="G78" s="34">
        <v>5</v>
      </c>
      <c r="H78" s="157">
        <v>0.2</v>
      </c>
      <c r="I78" s="156">
        <f t="shared" si="5"/>
        <v>18.239999999999998</v>
      </c>
    </row>
    <row r="79" spans="1:9" ht="16.5" thickBot="1">
      <c r="A79" s="34">
        <v>77</v>
      </c>
      <c r="B79" s="42" t="s">
        <v>373</v>
      </c>
      <c r="C79" s="34" t="s">
        <v>297</v>
      </c>
      <c r="D79" s="202">
        <v>5</v>
      </c>
      <c r="E79" s="155">
        <v>71.25</v>
      </c>
      <c r="F79" s="156">
        <f t="shared" si="4"/>
        <v>356.25</v>
      </c>
      <c r="G79" s="34">
        <v>5</v>
      </c>
      <c r="H79" s="157">
        <v>0.2</v>
      </c>
      <c r="I79" s="156">
        <f t="shared" si="5"/>
        <v>71.25</v>
      </c>
    </row>
    <row r="80" spans="1:9" ht="16.5" thickBot="1">
      <c r="A80" s="34">
        <v>78</v>
      </c>
      <c r="B80" s="153" t="s">
        <v>374</v>
      </c>
      <c r="C80" s="34" t="s">
        <v>297</v>
      </c>
      <c r="D80" s="202">
        <v>2</v>
      </c>
      <c r="E80" s="155">
        <v>190.63</v>
      </c>
      <c r="F80" s="156">
        <f t="shared" si="4"/>
        <v>381.26</v>
      </c>
      <c r="G80" s="34">
        <v>5</v>
      </c>
      <c r="H80" s="157">
        <v>0.2</v>
      </c>
      <c r="I80" s="156">
        <f t="shared" si="5"/>
        <v>76.25</v>
      </c>
    </row>
    <row r="81" spans="1:9" ht="39" thickBot="1">
      <c r="A81" s="34">
        <v>79</v>
      </c>
      <c r="B81" s="163" t="s">
        <v>375</v>
      </c>
      <c r="C81" s="34" t="s">
        <v>297</v>
      </c>
      <c r="D81" s="202">
        <v>2</v>
      </c>
      <c r="E81" s="158">
        <v>138</v>
      </c>
      <c r="F81" s="156">
        <f t="shared" si="4"/>
        <v>276</v>
      </c>
      <c r="G81" s="34">
        <v>5</v>
      </c>
      <c r="H81" s="157">
        <v>0.2</v>
      </c>
      <c r="I81" s="156">
        <f t="shared" si="5"/>
        <v>55.2</v>
      </c>
    </row>
    <row r="82" spans="1:9" ht="16.5" thickBot="1">
      <c r="A82" s="34">
        <v>80</v>
      </c>
      <c r="B82" s="153" t="s">
        <v>376</v>
      </c>
      <c r="C82" s="34" t="s">
        <v>297</v>
      </c>
      <c r="D82" s="202">
        <v>2</v>
      </c>
      <c r="E82" s="155">
        <v>155.25</v>
      </c>
      <c r="F82" s="156">
        <f t="shared" si="4"/>
        <v>310.5</v>
      </c>
      <c r="G82" s="34">
        <v>5</v>
      </c>
      <c r="H82" s="157">
        <v>0.2</v>
      </c>
      <c r="I82" s="156">
        <f t="shared" si="5"/>
        <v>62.1</v>
      </c>
    </row>
    <row r="83" spans="1:9" ht="16.5" thickBot="1">
      <c r="A83" s="34">
        <v>81</v>
      </c>
      <c r="B83" s="153" t="s">
        <v>377</v>
      </c>
      <c r="C83" s="34" t="s">
        <v>297</v>
      </c>
      <c r="D83" s="202">
        <v>1</v>
      </c>
      <c r="E83" s="155">
        <v>163.59</v>
      </c>
      <c r="F83" s="156">
        <f t="shared" si="4"/>
        <v>163.59</v>
      </c>
      <c r="G83" s="34">
        <v>5</v>
      </c>
      <c r="H83" s="157">
        <v>0.2</v>
      </c>
      <c r="I83" s="156">
        <f t="shared" si="5"/>
        <v>32.71</v>
      </c>
    </row>
    <row r="84" spans="1:9" ht="16.5" thickBot="1">
      <c r="A84" s="34">
        <v>82</v>
      </c>
      <c r="B84" s="42" t="s">
        <v>378</v>
      </c>
      <c r="C84" s="34" t="s">
        <v>297</v>
      </c>
      <c r="D84" s="202">
        <v>10</v>
      </c>
      <c r="E84" s="155">
        <v>230.22</v>
      </c>
      <c r="F84" s="156">
        <f t="shared" si="4"/>
        <v>2302.1999999999998</v>
      </c>
      <c r="G84" s="34">
        <v>5</v>
      </c>
      <c r="H84" s="157">
        <v>0.2</v>
      </c>
      <c r="I84" s="156">
        <f t="shared" si="5"/>
        <v>460.44</v>
      </c>
    </row>
    <row r="85" spans="1:9" ht="16.5" thickBot="1">
      <c r="A85" s="34">
        <v>83</v>
      </c>
      <c r="B85" s="42" t="s">
        <v>379</v>
      </c>
      <c r="C85" s="34" t="s">
        <v>297</v>
      </c>
      <c r="D85" s="202">
        <v>1</v>
      </c>
      <c r="E85" s="155">
        <v>35.53</v>
      </c>
      <c r="F85" s="156">
        <f t="shared" si="4"/>
        <v>35.53</v>
      </c>
      <c r="G85" s="34">
        <v>5</v>
      </c>
      <c r="H85" s="157">
        <v>0.2</v>
      </c>
      <c r="I85" s="156">
        <f t="shared" si="5"/>
        <v>7.1</v>
      </c>
    </row>
    <row r="86" spans="1:9" ht="16.5" thickBot="1">
      <c r="A86" s="34">
        <v>84</v>
      </c>
      <c r="B86" s="42" t="s">
        <v>380</v>
      </c>
      <c r="C86" s="34" t="s">
        <v>297</v>
      </c>
      <c r="D86" s="202">
        <v>10</v>
      </c>
      <c r="E86" s="155">
        <v>35.700000000000003</v>
      </c>
      <c r="F86" s="156">
        <f t="shared" si="4"/>
        <v>357</v>
      </c>
      <c r="G86" s="34">
        <v>5</v>
      </c>
      <c r="H86" s="157">
        <v>0.2</v>
      </c>
      <c r="I86" s="156">
        <f t="shared" si="5"/>
        <v>71.400000000000006</v>
      </c>
    </row>
    <row r="87" spans="1:9" ht="16.5" thickBot="1">
      <c r="A87" s="34">
        <v>85</v>
      </c>
      <c r="B87" s="42" t="s">
        <v>381</v>
      </c>
      <c r="C87" s="34" t="s">
        <v>297</v>
      </c>
      <c r="D87" s="202">
        <v>20</v>
      </c>
      <c r="E87" s="155">
        <v>36.68</v>
      </c>
      <c r="F87" s="156">
        <f t="shared" si="4"/>
        <v>733.6</v>
      </c>
      <c r="G87" s="34">
        <v>5</v>
      </c>
      <c r="H87" s="157">
        <v>0.2</v>
      </c>
      <c r="I87" s="156">
        <f t="shared" si="5"/>
        <v>146.72</v>
      </c>
    </row>
    <row r="88" spans="1:9" ht="16.5" thickBot="1">
      <c r="A88" s="34">
        <v>86</v>
      </c>
      <c r="B88" s="153" t="s">
        <v>382</v>
      </c>
      <c r="C88" s="34" t="s">
        <v>297</v>
      </c>
      <c r="D88" s="202">
        <v>2</v>
      </c>
      <c r="E88" s="155">
        <v>219.35</v>
      </c>
      <c r="F88" s="156">
        <f t="shared" si="4"/>
        <v>438.7</v>
      </c>
      <c r="G88" s="34">
        <v>5</v>
      </c>
      <c r="H88" s="157">
        <v>0.2</v>
      </c>
      <c r="I88" s="156">
        <f t="shared" si="5"/>
        <v>87.74</v>
      </c>
    </row>
    <row r="89" spans="1:9" ht="16.5" thickBot="1">
      <c r="A89" s="34">
        <v>87</v>
      </c>
      <c r="B89" s="153" t="s">
        <v>383</v>
      </c>
      <c r="C89" s="34" t="s">
        <v>297</v>
      </c>
      <c r="D89" s="202">
        <v>2</v>
      </c>
      <c r="E89" s="155">
        <v>72.349999999999994</v>
      </c>
      <c r="F89" s="156">
        <f t="shared" si="4"/>
        <v>144.69999999999999</v>
      </c>
      <c r="G89" s="34">
        <v>5</v>
      </c>
      <c r="H89" s="157">
        <v>0.2</v>
      </c>
      <c r="I89" s="156">
        <f t="shared" si="5"/>
        <v>28.94</v>
      </c>
    </row>
    <row r="90" spans="1:9" ht="16.5" thickBot="1">
      <c r="A90" s="34">
        <v>88</v>
      </c>
      <c r="B90" s="153" t="s">
        <v>384</v>
      </c>
      <c r="C90" s="34" t="s">
        <v>297</v>
      </c>
      <c r="D90" s="202">
        <v>5</v>
      </c>
      <c r="E90" s="155">
        <v>139.19</v>
      </c>
      <c r="F90" s="156">
        <f t="shared" si="4"/>
        <v>695.95</v>
      </c>
      <c r="G90" s="34">
        <v>5</v>
      </c>
      <c r="H90" s="157">
        <v>0.2</v>
      </c>
      <c r="I90" s="156">
        <f t="shared" si="5"/>
        <v>139.19</v>
      </c>
    </row>
    <row r="91" spans="1:9" ht="16.5" thickBot="1">
      <c r="A91" s="34">
        <v>89</v>
      </c>
      <c r="B91" s="42" t="s">
        <v>385</v>
      </c>
      <c r="C91" s="34" t="s">
        <v>297</v>
      </c>
      <c r="D91" s="202">
        <v>4</v>
      </c>
      <c r="E91" s="155">
        <v>206.02</v>
      </c>
      <c r="F91" s="156">
        <f t="shared" si="4"/>
        <v>824.08</v>
      </c>
      <c r="G91" s="34">
        <v>5</v>
      </c>
      <c r="H91" s="157">
        <v>0.2</v>
      </c>
      <c r="I91" s="156">
        <f t="shared" si="5"/>
        <v>164.81</v>
      </c>
    </row>
    <row r="92" spans="1:9" ht="16.5" thickBot="1">
      <c r="A92" s="34">
        <v>90</v>
      </c>
      <c r="B92" s="153" t="s">
        <v>386</v>
      </c>
      <c r="C92" s="34" t="s">
        <v>297</v>
      </c>
      <c r="D92" s="202">
        <v>2</v>
      </c>
      <c r="E92" s="158">
        <v>176.66</v>
      </c>
      <c r="F92" s="156">
        <f t="shared" si="4"/>
        <v>353.32</v>
      </c>
      <c r="G92" s="34">
        <v>5</v>
      </c>
      <c r="H92" s="157">
        <v>0.2</v>
      </c>
      <c r="I92" s="156">
        <f t="shared" si="5"/>
        <v>70.66</v>
      </c>
    </row>
    <row r="93" spans="1:9" ht="16.5" thickBot="1">
      <c r="A93" s="34">
        <v>91</v>
      </c>
      <c r="B93" s="153" t="s">
        <v>387</v>
      </c>
      <c r="C93" s="34" t="s">
        <v>297</v>
      </c>
      <c r="D93" s="202">
        <v>2</v>
      </c>
      <c r="E93" s="155">
        <v>51.46</v>
      </c>
      <c r="F93" s="156">
        <f t="shared" si="4"/>
        <v>102.92</v>
      </c>
      <c r="G93" s="34">
        <v>5</v>
      </c>
      <c r="H93" s="157">
        <v>0.2</v>
      </c>
      <c r="I93" s="156">
        <f t="shared" si="5"/>
        <v>20.58</v>
      </c>
    </row>
    <row r="94" spans="1:9" ht="16.5" thickBot="1">
      <c r="A94" s="34">
        <v>92</v>
      </c>
      <c r="B94" s="153" t="s">
        <v>388</v>
      </c>
      <c r="C94" s="34" t="s">
        <v>297</v>
      </c>
      <c r="D94" s="202">
        <v>5</v>
      </c>
      <c r="E94" s="155">
        <v>74.64</v>
      </c>
      <c r="F94" s="156">
        <f t="shared" si="4"/>
        <v>373.2</v>
      </c>
      <c r="G94" s="34">
        <v>5</v>
      </c>
      <c r="H94" s="157">
        <v>0.2</v>
      </c>
      <c r="I94" s="156">
        <f t="shared" si="5"/>
        <v>74.64</v>
      </c>
    </row>
    <row r="95" spans="1:9" ht="16.5" thickBot="1">
      <c r="A95" s="34">
        <v>93</v>
      </c>
      <c r="B95" s="153" t="s">
        <v>389</v>
      </c>
      <c r="C95" s="34" t="s">
        <v>297</v>
      </c>
      <c r="D95" s="202">
        <v>1</v>
      </c>
      <c r="E95" s="155">
        <v>192.63</v>
      </c>
      <c r="F95" s="156">
        <f t="shared" si="4"/>
        <v>192.63</v>
      </c>
      <c r="G95" s="34">
        <v>5</v>
      </c>
      <c r="H95" s="157">
        <v>0.2</v>
      </c>
      <c r="I95" s="156">
        <f t="shared" si="5"/>
        <v>38.520000000000003</v>
      </c>
    </row>
    <row r="96" spans="1:9" ht="26.25" thickBot="1">
      <c r="A96" s="34">
        <v>94</v>
      </c>
      <c r="B96" s="164" t="s">
        <v>390</v>
      </c>
      <c r="C96" s="34" t="s">
        <v>297</v>
      </c>
      <c r="D96" s="202">
        <v>4</v>
      </c>
      <c r="E96" s="158">
        <v>449.72</v>
      </c>
      <c r="F96" s="156">
        <f t="shared" si="4"/>
        <v>1798.88</v>
      </c>
      <c r="G96" s="34">
        <v>5</v>
      </c>
      <c r="H96" s="157">
        <v>0.2</v>
      </c>
      <c r="I96" s="156">
        <f t="shared" si="5"/>
        <v>359.77</v>
      </c>
    </row>
    <row r="97" spans="1:9" ht="29.25" customHeight="1" thickBot="1">
      <c r="A97" s="34">
        <v>95</v>
      </c>
      <c r="B97" s="164" t="s">
        <v>391</v>
      </c>
      <c r="C97" s="34" t="s">
        <v>297</v>
      </c>
      <c r="D97" s="202">
        <v>4</v>
      </c>
      <c r="E97" s="158">
        <v>94.64</v>
      </c>
      <c r="F97" s="156">
        <f t="shared" si="4"/>
        <v>378.56</v>
      </c>
      <c r="G97" s="34">
        <v>5</v>
      </c>
      <c r="H97" s="157">
        <v>0.2</v>
      </c>
      <c r="I97" s="156">
        <f t="shared" si="5"/>
        <v>75.709999999999994</v>
      </c>
    </row>
    <row r="98" spans="1:9" ht="16.5" thickBot="1">
      <c r="A98" s="34">
        <v>96</v>
      </c>
      <c r="B98" s="153" t="s">
        <v>392</v>
      </c>
      <c r="C98" s="34" t="s">
        <v>297</v>
      </c>
      <c r="D98" s="202">
        <v>1</v>
      </c>
      <c r="E98" s="155">
        <v>1194.92</v>
      </c>
      <c r="F98" s="156">
        <f t="shared" si="4"/>
        <v>1194.92</v>
      </c>
      <c r="G98" s="34">
        <v>5</v>
      </c>
      <c r="H98" s="157">
        <v>0.2</v>
      </c>
      <c r="I98" s="156">
        <f t="shared" si="5"/>
        <v>238.98</v>
      </c>
    </row>
    <row r="99" spans="1:9" ht="16.5" thickBot="1">
      <c r="A99" s="34">
        <v>97</v>
      </c>
      <c r="B99" s="42" t="s">
        <v>393</v>
      </c>
      <c r="C99" s="34" t="s">
        <v>297</v>
      </c>
      <c r="D99" s="202">
        <v>6</v>
      </c>
      <c r="E99" s="155">
        <v>7.63</v>
      </c>
      <c r="F99" s="156">
        <f t="shared" ref="F99:F130" si="6">E99*D99</f>
        <v>45.78</v>
      </c>
      <c r="G99" s="34">
        <v>5</v>
      </c>
      <c r="H99" s="157">
        <v>0.2</v>
      </c>
      <c r="I99" s="156">
        <f t="shared" ref="I99:I130" si="7">TRUNC(F99/G99,2)</f>
        <v>9.15</v>
      </c>
    </row>
    <row r="100" spans="1:9" ht="16.5" thickBot="1">
      <c r="A100" s="34">
        <v>98</v>
      </c>
      <c r="B100" s="153" t="s">
        <v>394</v>
      </c>
      <c r="C100" s="34" t="s">
        <v>297</v>
      </c>
      <c r="D100" s="202">
        <v>2</v>
      </c>
      <c r="E100" s="155">
        <v>121.9</v>
      </c>
      <c r="F100" s="156">
        <f t="shared" si="6"/>
        <v>243.8</v>
      </c>
      <c r="G100" s="34">
        <v>5</v>
      </c>
      <c r="H100" s="157">
        <v>0.2</v>
      </c>
      <c r="I100" s="156">
        <f t="shared" si="7"/>
        <v>48.76</v>
      </c>
    </row>
    <row r="101" spans="1:9" ht="16.5" thickBot="1">
      <c r="A101" s="34">
        <v>99</v>
      </c>
      <c r="B101" s="42" t="s">
        <v>395</v>
      </c>
      <c r="C101" s="34" t="s">
        <v>297</v>
      </c>
      <c r="D101" s="202">
        <v>1</v>
      </c>
      <c r="E101" s="155">
        <v>60.98</v>
      </c>
      <c r="F101" s="156">
        <f t="shared" si="6"/>
        <v>60.98</v>
      </c>
      <c r="G101" s="34">
        <v>5</v>
      </c>
      <c r="H101" s="157">
        <v>0.2</v>
      </c>
      <c r="I101" s="156">
        <f t="shared" si="7"/>
        <v>12.19</v>
      </c>
    </row>
    <row r="102" spans="1:9" ht="16.5" thickBot="1">
      <c r="A102" s="34">
        <v>100</v>
      </c>
      <c r="B102" s="42" t="s">
        <v>396</v>
      </c>
      <c r="C102" s="34" t="s">
        <v>297</v>
      </c>
      <c r="D102" s="202">
        <v>2</v>
      </c>
      <c r="E102" s="155">
        <v>292.69</v>
      </c>
      <c r="F102" s="156">
        <f t="shared" si="6"/>
        <v>585.38</v>
      </c>
      <c r="G102" s="34">
        <v>5</v>
      </c>
      <c r="H102" s="157">
        <v>0.2</v>
      </c>
      <c r="I102" s="156">
        <f t="shared" si="7"/>
        <v>117.07</v>
      </c>
    </row>
    <row r="103" spans="1:9" ht="16.5" thickBot="1">
      <c r="A103" s="34">
        <v>101</v>
      </c>
      <c r="B103" s="165" t="s">
        <v>397</v>
      </c>
      <c r="C103" s="34" t="s">
        <v>297</v>
      </c>
      <c r="D103" s="202">
        <v>2</v>
      </c>
      <c r="E103" s="155">
        <v>223.88</v>
      </c>
      <c r="F103" s="156">
        <f t="shared" si="6"/>
        <v>447.76</v>
      </c>
      <c r="G103" s="34">
        <v>5</v>
      </c>
      <c r="H103" s="157">
        <v>0.2</v>
      </c>
      <c r="I103" s="156">
        <f t="shared" si="7"/>
        <v>89.55</v>
      </c>
    </row>
    <row r="104" spans="1:9" ht="16.5" thickBot="1">
      <c r="A104" s="34">
        <v>102</v>
      </c>
      <c r="B104" s="153" t="s">
        <v>398</v>
      </c>
      <c r="C104" s="34" t="s">
        <v>297</v>
      </c>
      <c r="D104" s="202">
        <v>3</v>
      </c>
      <c r="E104" s="155">
        <v>51.32</v>
      </c>
      <c r="F104" s="156">
        <f t="shared" si="6"/>
        <v>153.96</v>
      </c>
      <c r="G104" s="34">
        <v>5</v>
      </c>
      <c r="H104" s="157">
        <v>0.2</v>
      </c>
      <c r="I104" s="156">
        <f t="shared" si="7"/>
        <v>30.79</v>
      </c>
    </row>
    <row r="105" spans="1:9" ht="16.5" thickBot="1">
      <c r="A105" s="34">
        <v>103</v>
      </c>
      <c r="B105" s="42" t="s">
        <v>399</v>
      </c>
      <c r="C105" s="34" t="s">
        <v>297</v>
      </c>
      <c r="D105" s="202">
        <v>2</v>
      </c>
      <c r="E105" s="155">
        <v>29.03</v>
      </c>
      <c r="F105" s="156">
        <f t="shared" si="6"/>
        <v>58.06</v>
      </c>
      <c r="G105" s="34">
        <v>5</v>
      </c>
      <c r="H105" s="157">
        <v>0.2</v>
      </c>
      <c r="I105" s="156">
        <f t="shared" si="7"/>
        <v>11.61</v>
      </c>
    </row>
    <row r="106" spans="1:9" ht="16.5" thickBot="1">
      <c r="A106" s="34">
        <v>104</v>
      </c>
      <c r="B106" s="42" t="s">
        <v>400</v>
      </c>
      <c r="C106" s="34" t="s">
        <v>297</v>
      </c>
      <c r="D106" s="202">
        <v>2</v>
      </c>
      <c r="E106" s="155">
        <v>940.33</v>
      </c>
      <c r="F106" s="156">
        <f t="shared" si="6"/>
        <v>1880.66</v>
      </c>
      <c r="G106" s="34">
        <v>5</v>
      </c>
      <c r="H106" s="157">
        <v>0.2</v>
      </c>
      <c r="I106" s="156">
        <f t="shared" si="7"/>
        <v>376.13</v>
      </c>
    </row>
    <row r="107" spans="1:9" ht="16.5" thickBot="1">
      <c r="A107" s="34">
        <v>105</v>
      </c>
      <c r="B107" s="153" t="s">
        <v>401</v>
      </c>
      <c r="C107" s="34" t="s">
        <v>297</v>
      </c>
      <c r="D107" s="202">
        <v>1</v>
      </c>
      <c r="E107" s="155">
        <v>529.01</v>
      </c>
      <c r="F107" s="156">
        <f t="shared" si="6"/>
        <v>529.01</v>
      </c>
      <c r="G107" s="34">
        <v>5</v>
      </c>
      <c r="H107" s="157">
        <v>0.2</v>
      </c>
      <c r="I107" s="156">
        <f t="shared" si="7"/>
        <v>105.8</v>
      </c>
    </row>
    <row r="108" spans="1:9" ht="16.5" thickBot="1">
      <c r="A108" s="34">
        <v>106</v>
      </c>
      <c r="B108" s="153" t="s">
        <v>402</v>
      </c>
      <c r="C108" s="34" t="s">
        <v>297</v>
      </c>
      <c r="D108" s="202">
        <v>6</v>
      </c>
      <c r="E108" s="155">
        <v>89.79</v>
      </c>
      <c r="F108" s="156">
        <f t="shared" si="6"/>
        <v>538.74</v>
      </c>
      <c r="G108" s="34">
        <v>5</v>
      </c>
      <c r="H108" s="157">
        <v>0.2</v>
      </c>
      <c r="I108" s="156">
        <f t="shared" si="7"/>
        <v>107.74</v>
      </c>
    </row>
    <row r="109" spans="1:9" ht="16.5" thickBot="1">
      <c r="A109" s="34">
        <v>107</v>
      </c>
      <c r="B109" s="153" t="s">
        <v>403</v>
      </c>
      <c r="C109" s="34" t="s">
        <v>297</v>
      </c>
      <c r="D109" s="202">
        <v>2</v>
      </c>
      <c r="E109" s="155">
        <v>161.33000000000001</v>
      </c>
      <c r="F109" s="156">
        <f t="shared" si="6"/>
        <v>322.66000000000003</v>
      </c>
      <c r="G109" s="34">
        <v>5</v>
      </c>
      <c r="H109" s="157">
        <v>0.2</v>
      </c>
      <c r="I109" s="156">
        <f t="shared" si="7"/>
        <v>64.53</v>
      </c>
    </row>
    <row r="110" spans="1:9" ht="16.5" thickBot="1">
      <c r="A110" s="34">
        <v>108</v>
      </c>
      <c r="B110" s="42" t="s">
        <v>404</v>
      </c>
      <c r="C110" s="34" t="s">
        <v>297</v>
      </c>
      <c r="D110" s="202">
        <v>2</v>
      </c>
      <c r="E110" s="155">
        <v>59.02</v>
      </c>
      <c r="F110" s="156">
        <f t="shared" si="6"/>
        <v>118.04</v>
      </c>
      <c r="G110" s="34">
        <v>5</v>
      </c>
      <c r="H110" s="157">
        <v>0.2</v>
      </c>
      <c r="I110" s="156">
        <f t="shared" si="7"/>
        <v>23.6</v>
      </c>
    </row>
    <row r="111" spans="1:9" ht="16.5" thickBot="1">
      <c r="A111" s="34">
        <v>109</v>
      </c>
      <c r="B111" s="153" t="s">
        <v>405</v>
      </c>
      <c r="C111" s="34" t="s">
        <v>297</v>
      </c>
      <c r="D111" s="202">
        <v>1</v>
      </c>
      <c r="E111" s="155">
        <v>56.52</v>
      </c>
      <c r="F111" s="156">
        <f t="shared" si="6"/>
        <v>56.52</v>
      </c>
      <c r="G111" s="34">
        <v>5</v>
      </c>
      <c r="H111" s="157">
        <v>0.2</v>
      </c>
      <c r="I111" s="156">
        <f t="shared" si="7"/>
        <v>11.3</v>
      </c>
    </row>
    <row r="112" spans="1:9" ht="16.5" thickBot="1">
      <c r="A112" s="34">
        <v>110</v>
      </c>
      <c r="B112" s="42" t="s">
        <v>406</v>
      </c>
      <c r="C112" s="34" t="s">
        <v>297</v>
      </c>
      <c r="D112" s="202">
        <v>5</v>
      </c>
      <c r="E112" s="155">
        <v>32.44</v>
      </c>
      <c r="F112" s="156">
        <f t="shared" si="6"/>
        <v>162.19999999999999</v>
      </c>
      <c r="G112" s="34">
        <v>5</v>
      </c>
      <c r="H112" s="157">
        <v>0.2</v>
      </c>
      <c r="I112" s="156">
        <f t="shared" si="7"/>
        <v>32.44</v>
      </c>
    </row>
    <row r="113" spans="1:9" ht="16.5" thickBot="1">
      <c r="A113" s="34">
        <v>111</v>
      </c>
      <c r="B113" s="42" t="s">
        <v>407</v>
      </c>
      <c r="C113" s="34" t="s">
        <v>297</v>
      </c>
      <c r="D113" s="202">
        <v>5</v>
      </c>
      <c r="E113" s="155">
        <v>22.17</v>
      </c>
      <c r="F113" s="156">
        <f t="shared" si="6"/>
        <v>110.85000000000001</v>
      </c>
      <c r="G113" s="34">
        <v>5</v>
      </c>
      <c r="H113" s="157">
        <v>0.2</v>
      </c>
      <c r="I113" s="156">
        <f t="shared" si="7"/>
        <v>22.17</v>
      </c>
    </row>
    <row r="114" spans="1:9" ht="16.5" thickBot="1">
      <c r="A114" s="34">
        <v>112</v>
      </c>
      <c r="B114" s="153" t="s">
        <v>408</v>
      </c>
      <c r="C114" s="34" t="s">
        <v>297</v>
      </c>
      <c r="D114" s="202">
        <v>2</v>
      </c>
      <c r="E114" s="155">
        <v>389.52</v>
      </c>
      <c r="F114" s="156">
        <f t="shared" si="6"/>
        <v>779.04</v>
      </c>
      <c r="G114" s="34">
        <v>5</v>
      </c>
      <c r="H114" s="157">
        <v>0.2</v>
      </c>
      <c r="I114" s="156">
        <f t="shared" si="7"/>
        <v>155.80000000000001</v>
      </c>
    </row>
    <row r="115" spans="1:9" ht="16.5" thickBot="1">
      <c r="A115" s="34">
        <v>113</v>
      </c>
      <c r="B115" s="153" t="s">
        <v>409</v>
      </c>
      <c r="C115" s="34" t="s">
        <v>297</v>
      </c>
      <c r="D115" s="202">
        <v>2</v>
      </c>
      <c r="E115" s="155">
        <v>87.02</v>
      </c>
      <c r="F115" s="156">
        <f t="shared" si="6"/>
        <v>174.04</v>
      </c>
      <c r="G115" s="34">
        <v>5</v>
      </c>
      <c r="H115" s="157">
        <v>0.2</v>
      </c>
      <c r="I115" s="156">
        <f t="shared" si="7"/>
        <v>34.799999999999997</v>
      </c>
    </row>
    <row r="116" spans="1:9" ht="16.5" thickBot="1">
      <c r="A116" s="34">
        <v>114</v>
      </c>
      <c r="B116" s="42" t="s">
        <v>410</v>
      </c>
      <c r="C116" s="34" t="s">
        <v>297</v>
      </c>
      <c r="D116" s="202">
        <v>4</v>
      </c>
      <c r="E116" s="155">
        <v>20.14</v>
      </c>
      <c r="F116" s="156">
        <f t="shared" si="6"/>
        <v>80.56</v>
      </c>
      <c r="G116" s="34">
        <v>5</v>
      </c>
      <c r="H116" s="157">
        <v>0.2</v>
      </c>
      <c r="I116" s="156">
        <f t="shared" si="7"/>
        <v>16.11</v>
      </c>
    </row>
    <row r="117" spans="1:9" ht="16.5" thickBot="1">
      <c r="A117" s="34">
        <v>115</v>
      </c>
      <c r="B117" s="153" t="s">
        <v>411</v>
      </c>
      <c r="C117" s="34" t="s">
        <v>297</v>
      </c>
      <c r="D117" s="202">
        <v>4</v>
      </c>
      <c r="E117" s="155">
        <v>30.5</v>
      </c>
      <c r="F117" s="156">
        <f t="shared" si="6"/>
        <v>122</v>
      </c>
      <c r="G117" s="34">
        <v>5</v>
      </c>
      <c r="H117" s="157">
        <v>0.2</v>
      </c>
      <c r="I117" s="156">
        <f t="shared" si="7"/>
        <v>24.4</v>
      </c>
    </row>
    <row r="118" spans="1:9" ht="16.5" thickBot="1">
      <c r="A118" s="34">
        <v>116</v>
      </c>
      <c r="B118" s="153" t="s">
        <v>412</v>
      </c>
      <c r="C118" s="34" t="s">
        <v>297</v>
      </c>
      <c r="D118" s="202">
        <v>1</v>
      </c>
      <c r="E118" s="155">
        <v>41.33</v>
      </c>
      <c r="F118" s="156">
        <f t="shared" si="6"/>
        <v>41.33</v>
      </c>
      <c r="G118" s="34">
        <v>5</v>
      </c>
      <c r="H118" s="157">
        <v>0.2</v>
      </c>
      <c r="I118" s="156">
        <f t="shared" si="7"/>
        <v>8.26</v>
      </c>
    </row>
    <row r="119" spans="1:9" ht="16.5" thickBot="1">
      <c r="A119" s="34">
        <v>117</v>
      </c>
      <c r="B119" s="153" t="s">
        <v>413</v>
      </c>
      <c r="C119" s="34" t="s">
        <v>297</v>
      </c>
      <c r="D119" s="202">
        <v>3</v>
      </c>
      <c r="E119" s="155">
        <v>104.75</v>
      </c>
      <c r="F119" s="156">
        <f t="shared" si="6"/>
        <v>314.25</v>
      </c>
      <c r="G119" s="34">
        <v>5</v>
      </c>
      <c r="H119" s="157">
        <v>0.2</v>
      </c>
      <c r="I119" s="156">
        <f t="shared" si="7"/>
        <v>62.85</v>
      </c>
    </row>
    <row r="120" spans="1:9" ht="16.5" thickBot="1">
      <c r="A120" s="34">
        <v>118</v>
      </c>
      <c r="B120" s="42" t="s">
        <v>414</v>
      </c>
      <c r="C120" s="34" t="s">
        <v>297</v>
      </c>
      <c r="D120" s="202">
        <v>2</v>
      </c>
      <c r="E120" s="155">
        <v>788.8</v>
      </c>
      <c r="F120" s="156">
        <f t="shared" si="6"/>
        <v>1577.6</v>
      </c>
      <c r="G120" s="34">
        <v>5</v>
      </c>
      <c r="H120" s="157">
        <v>0.2</v>
      </c>
      <c r="I120" s="156">
        <f t="shared" si="7"/>
        <v>315.52</v>
      </c>
    </row>
    <row r="121" spans="1:9" ht="16.5" thickBot="1">
      <c r="A121" s="34">
        <v>119</v>
      </c>
      <c r="B121" s="153" t="s">
        <v>415</v>
      </c>
      <c r="C121" s="34" t="s">
        <v>297</v>
      </c>
      <c r="D121" s="202">
        <v>2</v>
      </c>
      <c r="E121" s="155">
        <v>45.77</v>
      </c>
      <c r="F121" s="156">
        <f t="shared" si="6"/>
        <v>91.54</v>
      </c>
      <c r="G121" s="34">
        <v>5</v>
      </c>
      <c r="H121" s="157">
        <v>0.2</v>
      </c>
      <c r="I121" s="156">
        <f t="shared" si="7"/>
        <v>18.3</v>
      </c>
    </row>
    <row r="122" spans="1:9" ht="16.5" thickBot="1">
      <c r="A122" s="34">
        <v>120</v>
      </c>
      <c r="B122" s="153" t="s">
        <v>416</v>
      </c>
      <c r="C122" s="34" t="s">
        <v>297</v>
      </c>
      <c r="D122" s="202">
        <v>2</v>
      </c>
      <c r="E122" s="155">
        <v>19.93</v>
      </c>
      <c r="F122" s="156">
        <f t="shared" si="6"/>
        <v>39.86</v>
      </c>
      <c r="G122" s="34">
        <v>5</v>
      </c>
      <c r="H122" s="157">
        <v>0.2</v>
      </c>
      <c r="I122" s="156">
        <f t="shared" si="7"/>
        <v>7.97</v>
      </c>
    </row>
    <row r="123" spans="1:9" ht="16.5" thickBot="1">
      <c r="A123" s="34">
        <v>121</v>
      </c>
      <c r="B123" s="153" t="s">
        <v>417</v>
      </c>
      <c r="C123" s="34" t="s">
        <v>297</v>
      </c>
      <c r="D123" s="202">
        <v>1</v>
      </c>
      <c r="E123" s="155">
        <v>41.2</v>
      </c>
      <c r="F123" s="156">
        <f t="shared" si="6"/>
        <v>41.2</v>
      </c>
      <c r="G123" s="34">
        <v>5</v>
      </c>
      <c r="H123" s="157">
        <v>0.2</v>
      </c>
      <c r="I123" s="156">
        <f t="shared" si="7"/>
        <v>8.24</v>
      </c>
    </row>
    <row r="124" spans="1:9" ht="16.5" thickBot="1">
      <c r="A124" s="34">
        <v>122</v>
      </c>
      <c r="B124" s="42" t="s">
        <v>418</v>
      </c>
      <c r="C124" s="34" t="s">
        <v>297</v>
      </c>
      <c r="D124" s="202">
        <v>2</v>
      </c>
      <c r="E124" s="155">
        <v>59.9</v>
      </c>
      <c r="F124" s="156">
        <f t="shared" si="6"/>
        <v>119.8</v>
      </c>
      <c r="G124" s="34">
        <v>5</v>
      </c>
      <c r="H124" s="157">
        <v>0.2</v>
      </c>
      <c r="I124" s="156">
        <f t="shared" si="7"/>
        <v>23.96</v>
      </c>
    </row>
    <row r="125" spans="1:9" ht="16.5" thickBot="1">
      <c r="A125" s="34">
        <v>123</v>
      </c>
      <c r="B125" s="42" t="s">
        <v>419</v>
      </c>
      <c r="C125" s="34" t="s">
        <v>297</v>
      </c>
      <c r="D125" s="202">
        <v>2</v>
      </c>
      <c r="E125" s="155">
        <v>151.88</v>
      </c>
      <c r="F125" s="156">
        <f t="shared" si="6"/>
        <v>303.76</v>
      </c>
      <c r="G125" s="34">
        <v>5</v>
      </c>
      <c r="H125" s="157">
        <v>0.2</v>
      </c>
      <c r="I125" s="156">
        <f t="shared" si="7"/>
        <v>60.75</v>
      </c>
    </row>
    <row r="126" spans="1:9" ht="16.5" thickBot="1">
      <c r="A126" s="34">
        <v>124</v>
      </c>
      <c r="B126" s="153" t="s">
        <v>420</v>
      </c>
      <c r="C126" s="34" t="s">
        <v>297</v>
      </c>
      <c r="D126" s="202">
        <v>4</v>
      </c>
      <c r="E126" s="155">
        <v>27.34</v>
      </c>
      <c r="F126" s="156">
        <f t="shared" si="6"/>
        <v>109.36</v>
      </c>
      <c r="G126" s="34">
        <v>5</v>
      </c>
      <c r="H126" s="157">
        <v>0.2</v>
      </c>
      <c r="I126" s="156">
        <f t="shared" si="7"/>
        <v>21.87</v>
      </c>
    </row>
    <row r="127" spans="1:9" ht="16.5" thickBot="1">
      <c r="A127" s="34">
        <v>125</v>
      </c>
      <c r="B127" s="42" t="s">
        <v>421</v>
      </c>
      <c r="C127" s="34" t="s">
        <v>297</v>
      </c>
      <c r="D127" s="202">
        <v>4</v>
      </c>
      <c r="E127" s="155">
        <v>67.28</v>
      </c>
      <c r="F127" s="156">
        <f t="shared" si="6"/>
        <v>269.12</v>
      </c>
      <c r="G127" s="34">
        <v>5</v>
      </c>
      <c r="H127" s="157">
        <v>0.2</v>
      </c>
      <c r="I127" s="156">
        <f t="shared" si="7"/>
        <v>53.82</v>
      </c>
    </row>
    <row r="128" spans="1:9" ht="16.5" thickBot="1">
      <c r="A128" s="34">
        <v>126</v>
      </c>
      <c r="B128" s="153" t="s">
        <v>422</v>
      </c>
      <c r="C128" s="34" t="s">
        <v>297</v>
      </c>
      <c r="D128" s="202">
        <v>18</v>
      </c>
      <c r="E128" s="155">
        <v>416.84</v>
      </c>
      <c r="F128" s="156">
        <f t="shared" si="6"/>
        <v>7503.12</v>
      </c>
      <c r="G128" s="34">
        <v>5</v>
      </c>
      <c r="H128" s="157">
        <v>0.2</v>
      </c>
      <c r="I128" s="156">
        <f t="shared" si="7"/>
        <v>1500.62</v>
      </c>
    </row>
    <row r="129" spans="1:9" ht="16.5" thickBot="1">
      <c r="A129" s="34">
        <v>127</v>
      </c>
      <c r="B129" s="42" t="s">
        <v>423</v>
      </c>
      <c r="C129" s="34" t="s">
        <v>297</v>
      </c>
      <c r="D129" s="202">
        <v>1</v>
      </c>
      <c r="E129" s="155">
        <v>36.130000000000003</v>
      </c>
      <c r="F129" s="156">
        <f t="shared" si="6"/>
        <v>36.130000000000003</v>
      </c>
      <c r="G129" s="34">
        <v>5</v>
      </c>
      <c r="H129" s="157">
        <v>0.2</v>
      </c>
      <c r="I129" s="156">
        <f t="shared" si="7"/>
        <v>7.22</v>
      </c>
    </row>
    <row r="130" spans="1:9" ht="16.5" thickBot="1">
      <c r="A130" s="34">
        <v>128</v>
      </c>
      <c r="B130" s="42" t="s">
        <v>424</v>
      </c>
      <c r="C130" s="34" t="s">
        <v>297</v>
      </c>
      <c r="D130" s="202">
        <v>1</v>
      </c>
      <c r="E130" s="155">
        <v>103.27</v>
      </c>
      <c r="F130" s="156">
        <f t="shared" si="6"/>
        <v>103.27</v>
      </c>
      <c r="G130" s="34">
        <v>5</v>
      </c>
      <c r="H130" s="157">
        <v>0.2</v>
      </c>
      <c r="I130" s="156">
        <f t="shared" si="7"/>
        <v>20.65</v>
      </c>
    </row>
    <row r="131" spans="1:9" ht="16.5" thickBot="1">
      <c r="A131" s="34">
        <v>129</v>
      </c>
      <c r="B131" s="153" t="s">
        <v>425</v>
      </c>
      <c r="C131" s="34" t="s">
        <v>297</v>
      </c>
      <c r="D131" s="202">
        <v>3</v>
      </c>
      <c r="E131" s="155">
        <v>38.68</v>
      </c>
      <c r="F131" s="156">
        <f t="shared" ref="F131:F143" si="8">E131*D131</f>
        <v>116.03999999999999</v>
      </c>
      <c r="G131" s="34">
        <v>5</v>
      </c>
      <c r="H131" s="157">
        <v>0.2</v>
      </c>
      <c r="I131" s="156">
        <f t="shared" ref="I131:I143" si="9">TRUNC(F131/G131,2)</f>
        <v>23.2</v>
      </c>
    </row>
    <row r="132" spans="1:9" ht="16.5" thickBot="1">
      <c r="A132" s="34">
        <v>130</v>
      </c>
      <c r="B132" s="42" t="s">
        <v>426</v>
      </c>
      <c r="C132" s="34" t="s">
        <v>297</v>
      </c>
      <c r="D132" s="202">
        <v>4</v>
      </c>
      <c r="E132" s="155">
        <v>37.9</v>
      </c>
      <c r="F132" s="156">
        <f t="shared" si="8"/>
        <v>151.6</v>
      </c>
      <c r="G132" s="34">
        <v>5</v>
      </c>
      <c r="H132" s="157">
        <v>0.2</v>
      </c>
      <c r="I132" s="156">
        <f t="shared" si="9"/>
        <v>30.32</v>
      </c>
    </row>
    <row r="133" spans="1:9" ht="16.5" thickBot="1">
      <c r="A133" s="34">
        <v>131</v>
      </c>
      <c r="B133" s="37" t="s">
        <v>427</v>
      </c>
      <c r="C133" s="34" t="s">
        <v>297</v>
      </c>
      <c r="D133" s="202">
        <v>6</v>
      </c>
      <c r="E133" s="155">
        <v>27.55</v>
      </c>
      <c r="F133" s="156">
        <f t="shared" si="8"/>
        <v>165.3</v>
      </c>
      <c r="G133" s="34">
        <v>5</v>
      </c>
      <c r="H133" s="157">
        <v>0.2</v>
      </c>
      <c r="I133" s="156">
        <f t="shared" si="9"/>
        <v>33.06</v>
      </c>
    </row>
    <row r="134" spans="1:9" ht="16.5" thickBot="1">
      <c r="A134" s="34">
        <v>132</v>
      </c>
      <c r="B134" s="42" t="s">
        <v>428</v>
      </c>
      <c r="C134" s="34" t="s">
        <v>297</v>
      </c>
      <c r="D134" s="202">
        <v>4</v>
      </c>
      <c r="E134" s="155">
        <v>14.19</v>
      </c>
      <c r="F134" s="156">
        <f t="shared" si="8"/>
        <v>56.76</v>
      </c>
      <c r="G134" s="34">
        <v>5</v>
      </c>
      <c r="H134" s="157">
        <v>0.2</v>
      </c>
      <c r="I134" s="156">
        <f t="shared" si="9"/>
        <v>11.35</v>
      </c>
    </row>
    <row r="135" spans="1:9" ht="16.5" thickBot="1">
      <c r="A135" s="34">
        <v>133</v>
      </c>
      <c r="B135" s="153" t="s">
        <v>429</v>
      </c>
      <c r="C135" s="34" t="s">
        <v>297</v>
      </c>
      <c r="D135" s="202">
        <v>6</v>
      </c>
      <c r="E135" s="155">
        <v>24.58</v>
      </c>
      <c r="F135" s="156">
        <f t="shared" si="8"/>
        <v>147.47999999999999</v>
      </c>
      <c r="G135" s="34">
        <v>5</v>
      </c>
      <c r="H135" s="157">
        <v>0.2</v>
      </c>
      <c r="I135" s="156">
        <f t="shared" si="9"/>
        <v>29.49</v>
      </c>
    </row>
    <row r="136" spans="1:9" ht="16.5" thickBot="1">
      <c r="A136" s="34">
        <v>134</v>
      </c>
      <c r="B136" s="42" t="s">
        <v>430</v>
      </c>
      <c r="C136" s="34" t="s">
        <v>297</v>
      </c>
      <c r="D136" s="202">
        <v>3</v>
      </c>
      <c r="E136" s="155">
        <v>110.35</v>
      </c>
      <c r="F136" s="156">
        <f t="shared" si="8"/>
        <v>331.04999999999995</v>
      </c>
      <c r="G136" s="34">
        <v>5</v>
      </c>
      <c r="H136" s="157">
        <v>0.2</v>
      </c>
      <c r="I136" s="156">
        <f t="shared" si="9"/>
        <v>66.209999999999994</v>
      </c>
    </row>
    <row r="137" spans="1:9" ht="16.5" thickBot="1">
      <c r="A137" s="34">
        <v>135</v>
      </c>
      <c r="B137" s="42" t="s">
        <v>431</v>
      </c>
      <c r="C137" s="34" t="s">
        <v>297</v>
      </c>
      <c r="D137" s="202">
        <v>3</v>
      </c>
      <c r="E137" s="155">
        <v>34.630000000000003</v>
      </c>
      <c r="F137" s="156">
        <f t="shared" si="8"/>
        <v>103.89000000000001</v>
      </c>
      <c r="G137" s="34">
        <v>5</v>
      </c>
      <c r="H137" s="157">
        <v>0.2</v>
      </c>
      <c r="I137" s="156">
        <f t="shared" si="9"/>
        <v>20.77</v>
      </c>
    </row>
    <row r="138" spans="1:9" ht="16.5" thickBot="1">
      <c r="A138" s="34">
        <v>136</v>
      </c>
      <c r="B138" s="42" t="s">
        <v>432</v>
      </c>
      <c r="C138" s="34" t="s">
        <v>297</v>
      </c>
      <c r="D138" s="202">
        <v>2</v>
      </c>
      <c r="E138" s="155">
        <v>58.76</v>
      </c>
      <c r="F138" s="156">
        <f t="shared" si="8"/>
        <v>117.52</v>
      </c>
      <c r="G138" s="34">
        <v>5</v>
      </c>
      <c r="H138" s="157">
        <v>0.2</v>
      </c>
      <c r="I138" s="156">
        <f t="shared" si="9"/>
        <v>23.5</v>
      </c>
    </row>
    <row r="139" spans="1:9" ht="16.5" thickBot="1">
      <c r="A139" s="34">
        <v>137</v>
      </c>
      <c r="B139" s="42" t="s">
        <v>433</v>
      </c>
      <c r="C139" s="34" t="s">
        <v>297</v>
      </c>
      <c r="D139" s="202">
        <v>4</v>
      </c>
      <c r="E139" s="155">
        <v>25.48</v>
      </c>
      <c r="F139" s="156">
        <f t="shared" si="8"/>
        <v>101.92</v>
      </c>
      <c r="G139" s="34">
        <v>5</v>
      </c>
      <c r="H139" s="157">
        <v>0.2</v>
      </c>
      <c r="I139" s="156">
        <f t="shared" si="9"/>
        <v>20.38</v>
      </c>
    </row>
    <row r="140" spans="1:9" ht="16.5" thickBot="1">
      <c r="A140" s="34">
        <v>138</v>
      </c>
      <c r="B140" s="153" t="s">
        <v>434</v>
      </c>
      <c r="C140" s="34" t="s">
        <v>297</v>
      </c>
      <c r="D140" s="202">
        <v>4</v>
      </c>
      <c r="E140" s="155">
        <v>23.77</v>
      </c>
      <c r="F140" s="156">
        <f t="shared" si="8"/>
        <v>95.08</v>
      </c>
      <c r="G140" s="34">
        <v>5</v>
      </c>
      <c r="H140" s="157">
        <v>0.2</v>
      </c>
      <c r="I140" s="156">
        <f t="shared" si="9"/>
        <v>19.010000000000002</v>
      </c>
    </row>
    <row r="141" spans="1:9" ht="16.5" thickBot="1">
      <c r="A141" s="34">
        <v>139</v>
      </c>
      <c r="B141" s="153" t="s">
        <v>435</v>
      </c>
      <c r="C141" s="34" t="s">
        <v>297</v>
      </c>
      <c r="D141" s="202">
        <v>12</v>
      </c>
      <c r="E141" s="155">
        <v>12.33</v>
      </c>
      <c r="F141" s="156">
        <f t="shared" si="8"/>
        <v>147.96</v>
      </c>
      <c r="G141" s="34">
        <v>5</v>
      </c>
      <c r="H141" s="157">
        <v>0.2</v>
      </c>
      <c r="I141" s="156">
        <f t="shared" si="9"/>
        <v>29.59</v>
      </c>
    </row>
    <row r="142" spans="1:9">
      <c r="A142" s="34">
        <v>140</v>
      </c>
      <c r="B142" s="153" t="s">
        <v>436</v>
      </c>
      <c r="C142" s="34" t="s">
        <v>297</v>
      </c>
      <c r="D142" s="154">
        <v>2</v>
      </c>
      <c r="E142" s="155">
        <v>59.25</v>
      </c>
      <c r="F142" s="156">
        <f t="shared" si="8"/>
        <v>118.5</v>
      </c>
      <c r="G142" s="34">
        <v>5</v>
      </c>
      <c r="H142" s="157">
        <v>0.2</v>
      </c>
      <c r="I142" s="156">
        <f t="shared" si="9"/>
        <v>23.7</v>
      </c>
    </row>
    <row r="143" spans="1:9">
      <c r="A143" s="34">
        <v>141</v>
      </c>
      <c r="B143" s="37" t="s">
        <v>437</v>
      </c>
      <c r="C143" s="34" t="s">
        <v>297</v>
      </c>
      <c r="D143" s="154">
        <v>4</v>
      </c>
      <c r="E143" s="158">
        <v>129.38</v>
      </c>
      <c r="F143" s="156">
        <f t="shared" si="8"/>
        <v>517.52</v>
      </c>
      <c r="G143" s="34">
        <v>5</v>
      </c>
      <c r="H143" s="157">
        <v>0.2</v>
      </c>
      <c r="I143" s="156">
        <f t="shared" si="9"/>
        <v>103.5</v>
      </c>
    </row>
    <row r="144" spans="1:9">
      <c r="A144" s="357" t="s">
        <v>438</v>
      </c>
      <c r="B144" s="358"/>
      <c r="C144" s="358"/>
      <c r="D144" s="358"/>
      <c r="E144" s="359"/>
      <c r="F144" s="166">
        <f>SUM(F3:F143)</f>
        <v>47870.33</v>
      </c>
      <c r="G144" s="166"/>
      <c r="H144" s="166"/>
      <c r="I144" s="167">
        <f>SUM(I3:I143)</f>
        <v>9573.6199999999972</v>
      </c>
    </row>
    <row r="145" spans="1:15">
      <c r="A145" s="360" t="s">
        <v>439</v>
      </c>
      <c r="B145" s="361"/>
      <c r="C145" s="361"/>
      <c r="D145" s="361"/>
      <c r="E145" s="361"/>
      <c r="F145" s="361"/>
      <c r="G145" s="361"/>
      <c r="H145" s="362"/>
      <c r="I145" s="168">
        <f>(I144/23)/12</f>
        <v>34.687028985507233</v>
      </c>
    </row>
    <row r="147" spans="1:15">
      <c r="A147" s="2" t="s">
        <v>440</v>
      </c>
      <c r="N147" s="169"/>
      <c r="O147" s="169"/>
    </row>
    <row r="148" spans="1:15">
      <c r="E148" s="189">
        <f>SUM(E3:E143)</f>
        <v>17392.97</v>
      </c>
      <c r="N148" s="169"/>
      <c r="O148" s="169"/>
    </row>
  </sheetData>
  <mergeCells count="4">
    <mergeCell ref="A1:F1"/>
    <mergeCell ref="G1:I1"/>
    <mergeCell ref="A144:E144"/>
    <mergeCell ref="A145:H145"/>
  </mergeCells>
  <printOptions horizontalCentered="1"/>
  <pageMargins left="0.55118110236220474" right="0.55118110236220474" top="1.2598425196850394" bottom="0.98425196850393704" header="0" footer="0"/>
  <pageSetup paperSize="9" scale="6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3">
    <pageSetUpPr fitToPage="1"/>
  </sheetPr>
  <dimension ref="A1:G22"/>
  <sheetViews>
    <sheetView showGridLines="0" view="pageBreakPreview" topLeftCell="A7" zoomScale="115" zoomScaleNormal="100" zoomScaleSheetLayoutView="115" workbookViewId="0">
      <selection activeCell="E24" sqref="E24"/>
    </sheetView>
  </sheetViews>
  <sheetFormatPr defaultColWidth="9.140625" defaultRowHeight="12.75"/>
  <cols>
    <col min="1" max="1" width="5.28515625" style="2" customWidth="1"/>
    <col min="2" max="2" width="46" style="11" customWidth="1"/>
    <col min="3" max="3" width="8.28515625" style="2" customWidth="1"/>
    <col min="4" max="4" width="6.7109375" style="2" customWidth="1"/>
    <col min="5" max="5" width="15" style="2" bestFit="1" customWidth="1"/>
    <col min="6" max="6" width="15" style="2" customWidth="1"/>
    <col min="7" max="7" width="16.42578125" style="2" bestFit="1" customWidth="1"/>
    <col min="8" max="16384" width="9.140625" style="2"/>
  </cols>
  <sheetData>
    <row r="1" spans="1:7" ht="13.5" thickBot="1">
      <c r="A1" s="363" t="s">
        <v>441</v>
      </c>
      <c r="B1" s="364"/>
      <c r="C1" s="364"/>
      <c r="D1" s="364"/>
      <c r="E1" s="364"/>
      <c r="F1" s="364"/>
      <c r="G1" s="365"/>
    </row>
    <row r="2" spans="1:7" ht="27.75" customHeight="1">
      <c r="A2" s="369" t="s">
        <v>2</v>
      </c>
      <c r="B2" s="371" t="s">
        <v>442</v>
      </c>
      <c r="C2" s="373" t="s">
        <v>443</v>
      </c>
      <c r="D2" s="373" t="s">
        <v>444</v>
      </c>
      <c r="E2" s="140" t="s">
        <v>445</v>
      </c>
      <c r="F2" s="140" t="s">
        <v>216</v>
      </c>
      <c r="G2" s="373" t="s">
        <v>580</v>
      </c>
    </row>
    <row r="3" spans="1:7" ht="15" customHeight="1" thickBot="1">
      <c r="A3" s="370"/>
      <c r="B3" s="372"/>
      <c r="C3" s="374"/>
      <c r="D3" s="374"/>
      <c r="E3" s="141" t="s">
        <v>446</v>
      </c>
      <c r="F3" s="141"/>
      <c r="G3" s="374"/>
    </row>
    <row r="4" spans="1:7" ht="36.6" customHeight="1" thickBot="1">
      <c r="A4" s="177">
        <v>1</v>
      </c>
      <c r="B4" s="178" t="s">
        <v>447</v>
      </c>
      <c r="C4" s="179" t="s">
        <v>448</v>
      </c>
      <c r="D4" s="179">
        <v>12</v>
      </c>
      <c r="E4" s="145">
        <v>1951.82</v>
      </c>
      <c r="F4" s="145">
        <f>E4*D4</f>
        <v>23421.84</v>
      </c>
      <c r="G4" s="145">
        <f>F4*5</f>
        <v>117109.2</v>
      </c>
    </row>
    <row r="5" spans="1:7" ht="23.45" customHeight="1" thickBot="1">
      <c r="A5" s="142" t="s">
        <v>7</v>
      </c>
      <c r="B5" s="143" t="s">
        <v>449</v>
      </c>
      <c r="C5" s="144" t="s">
        <v>297</v>
      </c>
      <c r="D5" s="144">
        <v>3</v>
      </c>
      <c r="E5" s="145">
        <v>1886.65</v>
      </c>
      <c r="F5" s="145">
        <f t="shared" ref="F5:F6" si="0">E5*D5</f>
        <v>5659.9500000000007</v>
      </c>
      <c r="G5" s="145">
        <f t="shared" ref="G5:G6" si="1">F5*5</f>
        <v>28299.750000000004</v>
      </c>
    </row>
    <row r="6" spans="1:7" ht="26.25" thickBot="1">
      <c r="A6" s="142">
        <v>2</v>
      </c>
      <c r="B6" s="143" t="s">
        <v>450</v>
      </c>
      <c r="C6" s="144" t="s">
        <v>448</v>
      </c>
      <c r="D6" s="144">
        <v>12</v>
      </c>
      <c r="E6" s="145">
        <v>2282</v>
      </c>
      <c r="F6" s="145">
        <f t="shared" si="0"/>
        <v>27384</v>
      </c>
      <c r="G6" s="145">
        <f t="shared" si="1"/>
        <v>136920</v>
      </c>
    </row>
    <row r="7" spans="1:7" ht="13.5" thickBot="1">
      <c r="A7" s="142">
        <v>3</v>
      </c>
      <c r="B7" s="375" t="s">
        <v>451</v>
      </c>
      <c r="C7" s="376"/>
      <c r="D7" s="376"/>
      <c r="E7" s="376"/>
      <c r="F7" s="376"/>
      <c r="G7" s="377"/>
    </row>
    <row r="8" spans="1:7" ht="13.5" thickBot="1">
      <c r="A8" s="135" t="s">
        <v>452</v>
      </c>
      <c r="B8" s="136" t="s">
        <v>453</v>
      </c>
      <c r="C8" s="132" t="s">
        <v>297</v>
      </c>
      <c r="D8" s="132">
        <v>150</v>
      </c>
      <c r="E8" s="146">
        <v>10.54</v>
      </c>
      <c r="F8" s="146">
        <f>E8*D8</f>
        <v>1580.9999999999998</v>
      </c>
      <c r="G8" s="146">
        <f>F8*5</f>
        <v>7904.9999999999991</v>
      </c>
    </row>
    <row r="9" spans="1:7" ht="13.5" thickBot="1">
      <c r="A9" s="135" t="s">
        <v>454</v>
      </c>
      <c r="B9" s="136" t="s">
        <v>455</v>
      </c>
      <c r="C9" s="132" t="s">
        <v>297</v>
      </c>
      <c r="D9" s="132">
        <v>5</v>
      </c>
      <c r="E9" s="146">
        <v>170.17</v>
      </c>
      <c r="F9" s="146">
        <f t="shared" ref="F9:F17" si="2">E9*D9</f>
        <v>850.84999999999991</v>
      </c>
      <c r="G9" s="146">
        <f t="shared" ref="G9:G17" si="3">F9*5</f>
        <v>4254.25</v>
      </c>
    </row>
    <row r="10" spans="1:7" ht="13.5" thickBot="1">
      <c r="A10" s="135" t="s">
        <v>456</v>
      </c>
      <c r="B10" s="136" t="s">
        <v>457</v>
      </c>
      <c r="C10" s="132" t="s">
        <v>297</v>
      </c>
      <c r="D10" s="132">
        <v>20</v>
      </c>
      <c r="E10" s="146">
        <v>60.69</v>
      </c>
      <c r="F10" s="146">
        <f t="shared" si="2"/>
        <v>1213.8</v>
      </c>
      <c r="G10" s="146">
        <f t="shared" si="3"/>
        <v>6069</v>
      </c>
    </row>
    <row r="11" spans="1:7" ht="13.5" thickBot="1">
      <c r="A11" s="135" t="s">
        <v>458</v>
      </c>
      <c r="B11" s="136" t="s">
        <v>459</v>
      </c>
      <c r="C11" s="132" t="s">
        <v>297</v>
      </c>
      <c r="D11" s="132">
        <v>15</v>
      </c>
      <c r="E11" s="146">
        <v>66.959999999999994</v>
      </c>
      <c r="F11" s="146">
        <f t="shared" si="2"/>
        <v>1004.3999999999999</v>
      </c>
      <c r="G11" s="146">
        <f t="shared" si="3"/>
        <v>5021.9999999999991</v>
      </c>
    </row>
    <row r="12" spans="1:7" ht="13.5" thickBot="1">
      <c r="A12" s="135" t="s">
        <v>460</v>
      </c>
      <c r="B12" s="136" t="s">
        <v>461</v>
      </c>
      <c r="C12" s="132" t="s">
        <v>297</v>
      </c>
      <c r="D12" s="132">
        <v>30</v>
      </c>
      <c r="E12" s="146">
        <v>57.67</v>
      </c>
      <c r="F12" s="146">
        <f t="shared" si="2"/>
        <v>1730.1000000000001</v>
      </c>
      <c r="G12" s="146">
        <f t="shared" si="3"/>
        <v>8650.5</v>
      </c>
    </row>
    <row r="13" spans="1:7" ht="13.5" thickBot="1">
      <c r="A13" s="135" t="s">
        <v>462</v>
      </c>
      <c r="B13" s="136" t="s">
        <v>463</v>
      </c>
      <c r="C13" s="132" t="s">
        <v>297</v>
      </c>
      <c r="D13" s="132">
        <v>10</v>
      </c>
      <c r="E13" s="146">
        <v>49.88</v>
      </c>
      <c r="F13" s="146">
        <f t="shared" si="2"/>
        <v>498.8</v>
      </c>
      <c r="G13" s="146">
        <f t="shared" si="3"/>
        <v>2494</v>
      </c>
    </row>
    <row r="14" spans="1:7" ht="13.5" thickBot="1">
      <c r="A14" s="135" t="s">
        <v>464</v>
      </c>
      <c r="B14" s="136" t="s">
        <v>465</v>
      </c>
      <c r="C14" s="132" t="s">
        <v>297</v>
      </c>
      <c r="D14" s="132">
        <v>10</v>
      </c>
      <c r="E14" s="146">
        <v>63.91</v>
      </c>
      <c r="F14" s="146">
        <f t="shared" si="2"/>
        <v>639.09999999999991</v>
      </c>
      <c r="G14" s="146">
        <f t="shared" si="3"/>
        <v>3195.4999999999995</v>
      </c>
    </row>
    <row r="15" spans="1:7" ht="13.5" thickBot="1">
      <c r="A15" s="135" t="s">
        <v>466</v>
      </c>
      <c r="B15" s="136" t="s">
        <v>467</v>
      </c>
      <c r="C15" s="132" t="s">
        <v>297</v>
      </c>
      <c r="D15" s="132">
        <v>10</v>
      </c>
      <c r="E15" s="146">
        <v>83.77</v>
      </c>
      <c r="F15" s="146">
        <f t="shared" si="2"/>
        <v>837.69999999999993</v>
      </c>
      <c r="G15" s="146">
        <f t="shared" si="3"/>
        <v>4188.5</v>
      </c>
    </row>
    <row r="16" spans="1:7" ht="26.25" thickBot="1">
      <c r="A16" s="135" t="s">
        <v>468</v>
      </c>
      <c r="B16" s="136" t="s">
        <v>469</v>
      </c>
      <c r="C16" s="132" t="s">
        <v>297</v>
      </c>
      <c r="D16" s="132">
        <v>2</v>
      </c>
      <c r="E16" s="146">
        <v>180.9</v>
      </c>
      <c r="F16" s="146">
        <f t="shared" si="2"/>
        <v>361.8</v>
      </c>
      <c r="G16" s="146">
        <f t="shared" si="3"/>
        <v>1809</v>
      </c>
    </row>
    <row r="17" spans="1:7" ht="13.5" thickBot="1">
      <c r="A17" s="135" t="s">
        <v>470</v>
      </c>
      <c r="B17" s="136" t="s">
        <v>471</v>
      </c>
      <c r="C17" s="132" t="s">
        <v>297</v>
      </c>
      <c r="D17" s="132">
        <v>2</v>
      </c>
      <c r="E17" s="146">
        <v>211.83</v>
      </c>
      <c r="F17" s="146">
        <f t="shared" si="2"/>
        <v>423.66</v>
      </c>
      <c r="G17" s="146">
        <f t="shared" si="3"/>
        <v>2118.3000000000002</v>
      </c>
    </row>
    <row r="18" spans="1:7" ht="13.5" thickBot="1">
      <c r="A18" s="147"/>
      <c r="B18" s="143" t="s">
        <v>472</v>
      </c>
      <c r="C18" s="148"/>
      <c r="D18" s="148"/>
      <c r="E18" s="145"/>
      <c r="F18" s="145">
        <f>SUM(F8:F17)</f>
        <v>9141.2099999999991</v>
      </c>
      <c r="G18" s="221">
        <f>SUM(G8:G17)</f>
        <v>45706.05</v>
      </c>
    </row>
    <row r="19" spans="1:7" ht="26.25" thickBot="1">
      <c r="A19" s="142">
        <v>4</v>
      </c>
      <c r="B19" s="143" t="s">
        <v>473</v>
      </c>
      <c r="C19" s="144" t="s">
        <v>448</v>
      </c>
      <c r="D19" s="144">
        <v>12</v>
      </c>
      <c r="E19" s="145">
        <v>2015.44</v>
      </c>
      <c r="F19" s="145">
        <f>E19*D19</f>
        <v>24185.279999999999</v>
      </c>
      <c r="G19" s="145">
        <f t="shared" ref="G19:G20" si="4">F19*5</f>
        <v>120926.39999999999</v>
      </c>
    </row>
    <row r="20" spans="1:7" ht="26.25" thickBot="1">
      <c r="A20" s="142">
        <v>5</v>
      </c>
      <c r="B20" s="143" t="s">
        <v>474</v>
      </c>
      <c r="C20" s="144" t="s">
        <v>448</v>
      </c>
      <c r="D20" s="144">
        <v>12</v>
      </c>
      <c r="E20" s="145">
        <v>2694.05</v>
      </c>
      <c r="F20" s="145">
        <f>E20*D20</f>
        <v>32328.600000000002</v>
      </c>
      <c r="G20" s="145">
        <f t="shared" si="4"/>
        <v>161643</v>
      </c>
    </row>
    <row r="21" spans="1:7" ht="13.5" thickBot="1">
      <c r="A21" s="378" t="s">
        <v>475</v>
      </c>
      <c r="B21" s="379"/>
      <c r="C21" s="379"/>
      <c r="D21" s="380"/>
      <c r="E21" s="149">
        <f>F21/12</f>
        <v>10176.74</v>
      </c>
      <c r="F21" s="149">
        <f>SUM(F4+F5+F6+F18+F19+F20)</f>
        <v>122120.88</v>
      </c>
      <c r="G21" s="149">
        <f>SUM(G4+G5+G6+G18+G19+G20)</f>
        <v>610604.4</v>
      </c>
    </row>
    <row r="22" spans="1:7" ht="59.45" customHeight="1" thickBot="1">
      <c r="A22" s="366" t="s">
        <v>581</v>
      </c>
      <c r="B22" s="367"/>
      <c r="C22" s="367"/>
      <c r="D22" s="367"/>
      <c r="E22" s="367"/>
      <c r="F22" s="367"/>
      <c r="G22" s="368"/>
    </row>
  </sheetData>
  <mergeCells count="9">
    <mergeCell ref="A1:G1"/>
    <mergeCell ref="A22:G22"/>
    <mergeCell ref="A2:A3"/>
    <mergeCell ref="B2:B3"/>
    <mergeCell ref="C2:C3"/>
    <mergeCell ref="D2:D3"/>
    <mergeCell ref="G2:G3"/>
    <mergeCell ref="B7:G7"/>
    <mergeCell ref="A21:D21"/>
  </mergeCells>
  <printOptions horizontalCentered="1"/>
  <pageMargins left="0.55118110236220474" right="0.55118110236220474" top="1.2598425196850394" bottom="0.98425196850393704" header="0" footer="0"/>
  <pageSetup paperSize="9"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4">
    <tabColor theme="6" tint="0.39997558519241921"/>
    <pageSetUpPr fitToPage="1"/>
  </sheetPr>
  <dimension ref="A1:J14"/>
  <sheetViews>
    <sheetView showGridLines="0" view="pageBreakPreview" zoomScaleNormal="100" zoomScaleSheetLayoutView="100" workbookViewId="0">
      <selection activeCell="A4" sqref="A4:F4"/>
    </sheetView>
  </sheetViews>
  <sheetFormatPr defaultColWidth="9.140625" defaultRowHeight="12.75"/>
  <cols>
    <col min="1" max="1" width="6.140625" style="8" bestFit="1" customWidth="1"/>
    <col min="2" max="2" width="66.5703125" style="2" customWidth="1"/>
    <col min="3" max="3" width="18.5703125" style="8" customWidth="1"/>
    <col min="4" max="4" width="14.7109375" style="2" bestFit="1" customWidth="1"/>
    <col min="5" max="5" width="15.140625" style="9" bestFit="1" customWidth="1"/>
    <col min="6" max="6" width="27" style="9" bestFit="1" customWidth="1"/>
    <col min="7" max="7" width="19.42578125" style="2" customWidth="1"/>
    <col min="8" max="8" width="9.140625" style="2"/>
    <col min="9" max="9" width="15.28515625" style="3" bestFit="1" customWidth="1"/>
    <col min="10" max="16384" width="9.140625" style="2"/>
  </cols>
  <sheetData>
    <row r="1" spans="1:10" ht="15.75" customHeight="1" thickBot="1">
      <c r="A1" s="385" t="s">
        <v>476</v>
      </c>
      <c r="B1" s="386"/>
      <c r="C1" s="386"/>
      <c r="D1" s="386"/>
      <c r="E1" s="386"/>
      <c r="F1" s="386"/>
      <c r="G1" s="387"/>
    </row>
    <row r="2" spans="1:10" ht="26.25" thickBot="1">
      <c r="A2" s="127" t="s">
        <v>2</v>
      </c>
      <c r="B2" s="127" t="s">
        <v>442</v>
      </c>
      <c r="C2" s="128" t="s">
        <v>443</v>
      </c>
      <c r="D2" s="128" t="s">
        <v>477</v>
      </c>
      <c r="E2" s="128" t="s">
        <v>478</v>
      </c>
      <c r="F2" s="129" t="s">
        <v>479</v>
      </c>
      <c r="G2" s="130" t="s">
        <v>480</v>
      </c>
      <c r="I2" s="2"/>
      <c r="J2" s="3"/>
    </row>
    <row r="3" spans="1:10" ht="13.5" thickBot="1">
      <c r="A3" s="4">
        <v>1</v>
      </c>
      <c r="B3" s="131" t="s">
        <v>481</v>
      </c>
      <c r="C3" s="132" t="s">
        <v>482</v>
      </c>
      <c r="D3" s="133">
        <v>1</v>
      </c>
      <c r="E3" s="5">
        <v>546809.26</v>
      </c>
      <c r="F3" s="217"/>
      <c r="G3" s="6">
        <f>D3*E3*(1+F3)</f>
        <v>546809.26</v>
      </c>
      <c r="I3" s="2"/>
      <c r="J3" s="3"/>
    </row>
    <row r="4" spans="1:10" ht="13.5" thickBot="1">
      <c r="A4" s="381" t="s">
        <v>483</v>
      </c>
      <c r="B4" s="382"/>
      <c r="C4" s="382"/>
      <c r="D4" s="382"/>
      <c r="E4" s="383"/>
      <c r="F4" s="384"/>
      <c r="G4" s="134">
        <f>SUM(G3)</f>
        <v>546809.26</v>
      </c>
    </row>
    <row r="5" spans="1:10" ht="13.5" thickBot="1">
      <c r="A5" s="395"/>
      <c r="B5" s="396"/>
      <c r="C5" s="396"/>
      <c r="D5" s="396"/>
      <c r="E5" s="396"/>
      <c r="F5" s="396"/>
    </row>
    <row r="6" spans="1:10" ht="156" customHeight="1" thickBot="1">
      <c r="A6" s="388" t="s">
        <v>484</v>
      </c>
      <c r="B6" s="389"/>
      <c r="C6" s="389"/>
      <c r="D6" s="389"/>
      <c r="E6" s="389"/>
      <c r="F6" s="389"/>
      <c r="G6" s="7"/>
    </row>
    <row r="8" spans="1:10" ht="13.5" thickBot="1"/>
    <row r="9" spans="1:10" ht="13.5" thickBot="1">
      <c r="A9" s="385" t="s">
        <v>476</v>
      </c>
      <c r="B9" s="386"/>
      <c r="C9" s="386"/>
      <c r="D9" s="386"/>
      <c r="E9" s="386"/>
      <c r="F9" s="387"/>
    </row>
    <row r="10" spans="1:10" ht="26.25" thickBot="1">
      <c r="A10" s="127" t="s">
        <v>2</v>
      </c>
      <c r="B10" s="127" t="s">
        <v>442</v>
      </c>
      <c r="C10" s="128" t="s">
        <v>443</v>
      </c>
      <c r="D10" s="128" t="s">
        <v>485</v>
      </c>
      <c r="E10" s="128" t="s">
        <v>486</v>
      </c>
      <c r="F10" s="130" t="s">
        <v>487</v>
      </c>
      <c r="G10" s="13"/>
      <c r="I10" s="2"/>
      <c r="J10" s="3"/>
    </row>
    <row r="11" spans="1:10" ht="13.5" thickBot="1">
      <c r="A11" s="4">
        <v>1</v>
      </c>
      <c r="B11" s="131" t="s">
        <v>481</v>
      </c>
      <c r="C11" s="132" t="s">
        <v>482</v>
      </c>
      <c r="D11" s="139">
        <v>539999.97</v>
      </c>
      <c r="E11" s="10">
        <f>(D11-F11)/D11</f>
        <v>-1.2609796996840644E-2</v>
      </c>
      <c r="F11" s="6">
        <f>G4</f>
        <v>546809.26</v>
      </c>
      <c r="G11" s="13"/>
      <c r="I11" s="2"/>
      <c r="J11" s="3"/>
    </row>
    <row r="12" spans="1:10" ht="13.5" thickBot="1">
      <c r="A12" s="391" t="s">
        <v>483</v>
      </c>
      <c r="B12" s="383"/>
      <c r="C12" s="383"/>
      <c r="D12" s="383"/>
      <c r="E12" s="384"/>
      <c r="F12" s="134">
        <f>SUM(F11)</f>
        <v>546809.26</v>
      </c>
    </row>
    <row r="13" spans="1:10" ht="13.5" thickBot="1">
      <c r="A13" s="392"/>
      <c r="B13" s="393"/>
      <c r="C13" s="393"/>
      <c r="D13" s="393"/>
      <c r="E13" s="393"/>
      <c r="F13" s="394"/>
    </row>
    <row r="14" spans="1:10" ht="13.5" thickBot="1">
      <c r="A14" s="388" t="s">
        <v>488</v>
      </c>
      <c r="B14" s="389"/>
      <c r="C14" s="389"/>
      <c r="D14" s="389"/>
      <c r="E14" s="389"/>
      <c r="F14" s="390"/>
    </row>
  </sheetData>
  <mergeCells count="8">
    <mergeCell ref="A4:F4"/>
    <mergeCell ref="A1:G1"/>
    <mergeCell ref="A14:F14"/>
    <mergeCell ref="A9:F9"/>
    <mergeCell ref="A12:E12"/>
    <mergeCell ref="A13:F13"/>
    <mergeCell ref="A5:F5"/>
    <mergeCell ref="A6:F6"/>
  </mergeCells>
  <printOptions horizontalCentered="1"/>
  <pageMargins left="0.55118110236220474" right="0.55118110236220474" top="1.2598425196850394" bottom="0.98425196850393704" header="0" footer="0"/>
  <pageSetup paperSize="9" scale="54"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BFAD-9BD9-42AD-8DB7-C4D36D4E159E}">
  <sheetPr codeName="Planilha25">
    <tabColor rgb="FF3F8168"/>
    <pageSetUpPr fitToPage="1"/>
  </sheetPr>
  <dimension ref="A1:J19"/>
  <sheetViews>
    <sheetView view="pageBreakPreview" zoomScaleNormal="100" zoomScaleSheetLayoutView="100" workbookViewId="0">
      <selection activeCell="A4" sqref="A4:F4"/>
    </sheetView>
  </sheetViews>
  <sheetFormatPr defaultColWidth="9.140625" defaultRowHeight="12.75"/>
  <cols>
    <col min="1" max="1" width="9.140625" style="2"/>
    <col min="2" max="2" width="27.28515625" style="2" customWidth="1"/>
    <col min="3" max="3" width="9.140625" style="2"/>
    <col min="4" max="5" width="15" style="2" bestFit="1" customWidth="1"/>
    <col min="6" max="6" width="26.85546875" style="2" bestFit="1" customWidth="1"/>
    <col min="7" max="7" width="18.7109375" style="2" bestFit="1" customWidth="1"/>
    <col min="8" max="16384" width="9.140625" style="2"/>
  </cols>
  <sheetData>
    <row r="1" spans="1:10" ht="15.75" customHeight="1" thickBot="1">
      <c r="A1" s="385" t="s">
        <v>489</v>
      </c>
      <c r="B1" s="386"/>
      <c r="C1" s="386"/>
      <c r="D1" s="386"/>
      <c r="E1" s="386"/>
      <c r="F1" s="386"/>
      <c r="G1" s="387"/>
      <c r="I1" s="3"/>
    </row>
    <row r="2" spans="1:10" ht="39" thickBot="1">
      <c r="A2" s="127" t="s">
        <v>2</v>
      </c>
      <c r="B2" s="127" t="s">
        <v>442</v>
      </c>
      <c r="C2" s="128" t="s">
        <v>443</v>
      </c>
      <c r="D2" s="128" t="s">
        <v>477</v>
      </c>
      <c r="E2" s="128" t="s">
        <v>490</v>
      </c>
      <c r="F2" s="129" t="s">
        <v>479</v>
      </c>
      <c r="G2" s="130" t="s">
        <v>480</v>
      </c>
      <c r="J2" s="3"/>
    </row>
    <row r="3" spans="1:10" ht="13.5" thickBot="1">
      <c r="A3" s="4">
        <v>1</v>
      </c>
      <c r="B3" s="131" t="s">
        <v>491</v>
      </c>
      <c r="C3" s="132" t="s">
        <v>482</v>
      </c>
      <c r="D3" s="133">
        <v>1</v>
      </c>
      <c r="E3" s="216">
        <v>508509.15</v>
      </c>
      <c r="F3" s="217"/>
      <c r="G3" s="6">
        <f>D3*E3*(1+F3)</f>
        <v>508509.15</v>
      </c>
      <c r="J3" s="3"/>
    </row>
    <row r="4" spans="1:10" ht="13.5" thickBot="1">
      <c r="A4" s="381" t="s">
        <v>492</v>
      </c>
      <c r="B4" s="382"/>
      <c r="C4" s="382"/>
      <c r="D4" s="382"/>
      <c r="E4" s="383"/>
      <c r="F4" s="384"/>
      <c r="G4" s="134">
        <f>SUM(G3)</f>
        <v>508509.15</v>
      </c>
      <c r="I4" s="3"/>
    </row>
    <row r="5" spans="1:10" ht="13.5" thickBot="1">
      <c r="A5" s="395"/>
      <c r="B5" s="396"/>
      <c r="C5" s="396"/>
      <c r="D5" s="396"/>
      <c r="E5" s="396"/>
      <c r="F5" s="396"/>
      <c r="I5" s="3"/>
    </row>
    <row r="6" spans="1:10" ht="156" customHeight="1" thickBot="1">
      <c r="A6" s="388" t="s">
        <v>493</v>
      </c>
      <c r="B6" s="389"/>
      <c r="C6" s="389"/>
      <c r="D6" s="389"/>
      <c r="E6" s="389"/>
      <c r="F6" s="389"/>
      <c r="G6" s="7"/>
      <c r="I6" s="3"/>
    </row>
    <row r="7" spans="1:10">
      <c r="A7" s="8"/>
      <c r="C7" s="8"/>
      <c r="E7" s="9"/>
      <c r="F7" s="9"/>
      <c r="I7" s="3"/>
    </row>
    <row r="8" spans="1:10" ht="13.5" thickBot="1">
      <c r="A8" s="8"/>
      <c r="C8" s="8"/>
      <c r="E8" s="9"/>
      <c r="F8" s="9"/>
      <c r="I8" s="3"/>
    </row>
    <row r="9" spans="1:10" ht="13.5" thickBot="1">
      <c r="A9" s="397" t="s">
        <v>489</v>
      </c>
      <c r="B9" s="398"/>
      <c r="C9" s="398"/>
      <c r="D9" s="398"/>
      <c r="E9" s="398"/>
      <c r="F9" s="399"/>
    </row>
    <row r="10" spans="1:10" ht="29.25" customHeight="1">
      <c r="A10" s="400" t="s">
        <v>2</v>
      </c>
      <c r="B10" s="402" t="s">
        <v>442</v>
      </c>
      <c r="C10" s="404" t="s">
        <v>443</v>
      </c>
      <c r="D10" s="404" t="s">
        <v>485</v>
      </c>
      <c r="E10" s="404" t="s">
        <v>486</v>
      </c>
      <c r="F10" s="402" t="s">
        <v>487</v>
      </c>
    </row>
    <row r="11" spans="1:10" ht="13.5" thickBot="1">
      <c r="A11" s="401"/>
      <c r="B11" s="403"/>
      <c r="C11" s="405"/>
      <c r="D11" s="405"/>
      <c r="E11" s="405"/>
      <c r="F11" s="403"/>
    </row>
    <row r="12" spans="1:10" ht="13.5" thickBot="1">
      <c r="A12" s="135">
        <v>1</v>
      </c>
      <c r="B12" s="136" t="s">
        <v>494</v>
      </c>
      <c r="C12" s="132" t="s">
        <v>482</v>
      </c>
      <c r="D12" s="137">
        <v>169942.2</v>
      </c>
      <c r="E12" s="10">
        <f>(D12-F12)/D12</f>
        <v>-1.9922476583214763</v>
      </c>
      <c r="F12" s="6">
        <f>G4</f>
        <v>508509.15</v>
      </c>
    </row>
    <row r="13" spans="1:10" ht="13.5" thickBot="1">
      <c r="A13" s="391" t="s">
        <v>492</v>
      </c>
      <c r="B13" s="383"/>
      <c r="C13" s="383"/>
      <c r="D13" s="383"/>
      <c r="E13" s="384"/>
      <c r="F13" s="138">
        <f>SUM(F12)</f>
        <v>508509.15</v>
      </c>
    </row>
    <row r="14" spans="1:10" ht="13.5" thickBot="1">
      <c r="A14" s="392"/>
      <c r="B14" s="393"/>
      <c r="C14" s="393"/>
      <c r="D14" s="393"/>
      <c r="E14" s="393"/>
      <c r="F14" s="394"/>
    </row>
    <row r="15" spans="1:10" ht="84" customHeight="1" thickBot="1">
      <c r="A15" s="388" t="s">
        <v>495</v>
      </c>
      <c r="B15" s="389"/>
      <c r="C15" s="389"/>
      <c r="D15" s="389"/>
      <c r="E15" s="389"/>
      <c r="F15" s="390"/>
    </row>
    <row r="19" spans="6:6">
      <c r="F19" s="218"/>
    </row>
  </sheetData>
  <mergeCells count="14">
    <mergeCell ref="A13:E13"/>
    <mergeCell ref="A14:F14"/>
    <mergeCell ref="A15:F15"/>
    <mergeCell ref="A9:F9"/>
    <mergeCell ref="A1:G1"/>
    <mergeCell ref="A4:F4"/>
    <mergeCell ref="A5:F5"/>
    <mergeCell ref="A6:F6"/>
    <mergeCell ref="A10:A11"/>
    <mergeCell ref="B10:B11"/>
    <mergeCell ref="C10:C11"/>
    <mergeCell ref="D10:D11"/>
    <mergeCell ref="E10:E11"/>
    <mergeCell ref="F10:F11"/>
  </mergeCells>
  <printOptions horizontalCentered="1"/>
  <pageMargins left="0.55118110236220474" right="0.55118110236220474" top="1.2598425196850394" bottom="0.98425196850393704" header="0" footer="0"/>
  <pageSetup paperSize="9" scale="7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6">
    <tabColor rgb="FF1FA17C"/>
    <pageSetUpPr fitToPage="1"/>
  </sheetPr>
  <dimension ref="A1:K35"/>
  <sheetViews>
    <sheetView view="pageBreakPreview" topLeftCell="A5" zoomScaleNormal="100" zoomScaleSheetLayoutView="100" workbookViewId="0"/>
  </sheetViews>
  <sheetFormatPr defaultColWidth="9.140625" defaultRowHeight="12.75"/>
  <cols>
    <col min="1" max="1" width="6.28515625" style="1" customWidth="1"/>
    <col min="2" max="2" width="25.42578125" style="1" customWidth="1"/>
    <col min="3" max="3" width="8.28515625" style="1" customWidth="1"/>
    <col min="4" max="4" width="2.7109375" style="1" customWidth="1"/>
    <col min="5" max="5" width="7.85546875" style="1" customWidth="1"/>
    <col min="6" max="6" width="26.28515625" style="1" customWidth="1"/>
    <col min="7" max="7" width="8.42578125" style="1" customWidth="1"/>
    <col min="8" max="8" width="2.5703125" style="1" customWidth="1"/>
    <col min="9" max="9" width="6.7109375" style="1" customWidth="1"/>
    <col min="10" max="10" width="10.28515625" style="1" customWidth="1"/>
    <col min="11" max="11" width="8.5703125" style="1" customWidth="1"/>
    <col min="12" max="12" width="0.42578125" style="1" customWidth="1"/>
    <col min="13" max="13" width="6" style="1" customWidth="1"/>
    <col min="14" max="16384" width="9.140625" style="1"/>
  </cols>
  <sheetData>
    <row r="1" spans="1:11" ht="31.5" customHeight="1">
      <c r="A1" s="110"/>
      <c r="B1" s="408" t="s">
        <v>496</v>
      </c>
      <c r="C1" s="408"/>
      <c r="D1" s="408"/>
      <c r="E1" s="408"/>
      <c r="F1" s="408"/>
      <c r="G1" s="408"/>
      <c r="H1" s="408"/>
      <c r="I1" s="408"/>
      <c r="J1" s="408"/>
      <c r="K1" s="110"/>
    </row>
    <row r="2" spans="1:11">
      <c r="A2" s="409" t="s">
        <v>497</v>
      </c>
      <c r="B2" s="409"/>
      <c r="C2" s="409"/>
      <c r="D2" s="409"/>
      <c r="E2" s="409"/>
      <c r="F2" s="409"/>
      <c r="G2" s="409"/>
      <c r="H2" s="409"/>
      <c r="I2" s="409"/>
      <c r="J2" s="409"/>
      <c r="K2" s="409"/>
    </row>
    <row r="3" spans="1:11" ht="13.5" thickBot="1"/>
    <row r="4" spans="1:11" ht="18.75" customHeight="1" thickBot="1">
      <c r="A4" s="410" t="s">
        <v>498</v>
      </c>
      <c r="B4" s="411"/>
      <c r="C4" s="412"/>
      <c r="D4" s="176"/>
      <c r="E4" s="413" t="s">
        <v>499</v>
      </c>
      <c r="F4" s="414"/>
      <c r="G4" s="415"/>
      <c r="I4" s="413" t="s">
        <v>500</v>
      </c>
      <c r="J4" s="414"/>
      <c r="K4" s="415"/>
    </row>
    <row r="5" spans="1:11" ht="26.25" thickBot="1">
      <c r="A5" s="112" t="s">
        <v>501</v>
      </c>
      <c r="B5" s="113" t="s">
        <v>502</v>
      </c>
      <c r="C5" s="113" t="s">
        <v>503</v>
      </c>
      <c r="E5" s="112" t="s">
        <v>501</v>
      </c>
      <c r="F5" s="113" t="s">
        <v>502</v>
      </c>
      <c r="G5" s="113" t="s">
        <v>503</v>
      </c>
      <c r="I5" s="112" t="s">
        <v>501</v>
      </c>
      <c r="J5" s="113" t="s">
        <v>502</v>
      </c>
      <c r="K5" s="113" t="s">
        <v>503</v>
      </c>
    </row>
    <row r="6" spans="1:11" ht="26.25" thickBot="1">
      <c r="A6" s="114">
        <v>1</v>
      </c>
      <c r="B6" s="115" t="s">
        <v>504</v>
      </c>
      <c r="C6" s="116">
        <v>0.04</v>
      </c>
      <c r="E6" s="114">
        <v>1</v>
      </c>
      <c r="F6" s="115" t="s">
        <v>504</v>
      </c>
      <c r="G6" s="116">
        <v>0.04</v>
      </c>
      <c r="I6" s="114">
        <v>1</v>
      </c>
      <c r="J6" s="115" t="s">
        <v>505</v>
      </c>
      <c r="K6" s="116">
        <f>SUM(K7:K9)</f>
        <v>8.1499999999999989E-2</v>
      </c>
    </row>
    <row r="7" spans="1:11" ht="26.25" thickBot="1">
      <c r="A7" s="114">
        <v>2</v>
      </c>
      <c r="B7" s="115" t="s">
        <v>506</v>
      </c>
      <c r="C7" s="116">
        <v>7.3999999999999996E-2</v>
      </c>
      <c r="E7" s="114">
        <v>2</v>
      </c>
      <c r="F7" s="115" t="s">
        <v>507</v>
      </c>
      <c r="G7" s="116">
        <v>1.23E-2</v>
      </c>
      <c r="I7" s="117" t="s">
        <v>508</v>
      </c>
      <c r="J7" s="118" t="s">
        <v>509</v>
      </c>
      <c r="K7" s="119">
        <v>0.03</v>
      </c>
    </row>
    <row r="8" spans="1:11" ht="26.25" thickBot="1">
      <c r="A8" s="114">
        <v>3</v>
      </c>
      <c r="B8" s="115" t="s">
        <v>507</v>
      </c>
      <c r="C8" s="116">
        <v>1.23E-2</v>
      </c>
      <c r="E8" s="114">
        <v>3</v>
      </c>
      <c r="F8" s="115" t="s">
        <v>510</v>
      </c>
      <c r="G8" s="116">
        <f>G9+G10</f>
        <v>1.77E-2</v>
      </c>
      <c r="I8" s="117" t="s">
        <v>511</v>
      </c>
      <c r="J8" s="118" t="s">
        <v>512</v>
      </c>
      <c r="K8" s="119">
        <v>6.4999999999999997E-3</v>
      </c>
    </row>
    <row r="9" spans="1:11" ht="30" customHeight="1" thickBot="1">
      <c r="A9" s="114">
        <v>4</v>
      </c>
      <c r="B9" s="115" t="s">
        <v>510</v>
      </c>
      <c r="C9" s="116">
        <f>C10+C11</f>
        <v>1.77E-2</v>
      </c>
      <c r="E9" s="117" t="s">
        <v>513</v>
      </c>
      <c r="F9" s="118" t="s">
        <v>514</v>
      </c>
      <c r="G9" s="119">
        <v>8.0000000000000002E-3</v>
      </c>
      <c r="I9" s="117" t="s">
        <v>515</v>
      </c>
      <c r="J9" s="118" t="s">
        <v>516</v>
      </c>
      <c r="K9" s="119">
        <v>4.4999999999999998E-2</v>
      </c>
    </row>
    <row r="10" spans="1:11" ht="13.5" thickBot="1">
      <c r="A10" s="117" t="s">
        <v>517</v>
      </c>
      <c r="B10" s="118" t="s">
        <v>514</v>
      </c>
      <c r="C10" s="119">
        <v>8.0000000000000002E-3</v>
      </c>
      <c r="E10" s="117" t="s">
        <v>518</v>
      </c>
      <c r="F10" s="118" t="s">
        <v>519</v>
      </c>
      <c r="G10" s="119">
        <v>9.7000000000000003E-3</v>
      </c>
      <c r="I10" s="406" t="s">
        <v>520</v>
      </c>
      <c r="J10" s="407"/>
      <c r="K10" s="120">
        <f>((1/(1-K6))-1)</f>
        <v>8.8731627653783285E-2</v>
      </c>
    </row>
    <row r="11" spans="1:11" ht="13.5" thickBot="1">
      <c r="A11" s="117" t="s">
        <v>521</v>
      </c>
      <c r="B11" s="118" t="s">
        <v>519</v>
      </c>
      <c r="C11" s="119">
        <v>9.7000000000000003E-3</v>
      </c>
      <c r="E11" s="114">
        <v>4</v>
      </c>
      <c r="F11" s="115" t="s">
        <v>505</v>
      </c>
      <c r="G11" s="116">
        <f>G12+G13+G14</f>
        <v>8.1699999999999995E-2</v>
      </c>
      <c r="I11" s="121"/>
      <c r="J11" s="122"/>
      <c r="K11" s="123"/>
    </row>
    <row r="12" spans="1:11" ht="13.5" thickBot="1">
      <c r="A12" s="114">
        <v>5</v>
      </c>
      <c r="B12" s="115" t="s">
        <v>505</v>
      </c>
      <c r="C12" s="116">
        <f>SUM(C13:C16)</f>
        <v>0.1017</v>
      </c>
      <c r="E12" s="117" t="s">
        <v>517</v>
      </c>
      <c r="F12" s="118" t="s">
        <v>509</v>
      </c>
      <c r="G12" s="119">
        <v>3.0200000000000001E-2</v>
      </c>
    </row>
    <row r="13" spans="1:11" ht="13.5" thickBot="1">
      <c r="A13" s="117" t="s">
        <v>522</v>
      </c>
      <c r="B13" s="118" t="s">
        <v>509</v>
      </c>
      <c r="C13" s="119">
        <v>3.0200000000000001E-2</v>
      </c>
      <c r="E13" s="117" t="s">
        <v>521</v>
      </c>
      <c r="F13" s="118" t="s">
        <v>512</v>
      </c>
      <c r="G13" s="119">
        <v>6.4999999999999997E-3</v>
      </c>
    </row>
    <row r="14" spans="1:11" ht="13.5" thickBot="1">
      <c r="A14" s="117" t="s">
        <v>523</v>
      </c>
      <c r="B14" s="118" t="s">
        <v>512</v>
      </c>
      <c r="C14" s="119">
        <v>6.4999999999999997E-3</v>
      </c>
      <c r="E14" s="117" t="s">
        <v>524</v>
      </c>
      <c r="F14" s="118" t="s">
        <v>516</v>
      </c>
      <c r="G14" s="119">
        <v>4.4999999999999998E-2</v>
      </c>
    </row>
    <row r="15" spans="1:11" ht="13.5" thickBot="1">
      <c r="A15" s="117" t="s">
        <v>525</v>
      </c>
      <c r="B15" s="118" t="s">
        <v>526</v>
      </c>
      <c r="C15" s="119">
        <v>0.02</v>
      </c>
      <c r="E15" s="406" t="s">
        <v>520</v>
      </c>
      <c r="F15" s="407"/>
      <c r="G15" s="116">
        <f>(((1+G6+G8)*(1+G7))/(1-G11)-1)</f>
        <v>0.16596941086790817</v>
      </c>
    </row>
    <row r="16" spans="1:11" ht="13.5" thickBot="1">
      <c r="A16" s="117" t="s">
        <v>527</v>
      </c>
      <c r="B16" s="118" t="s">
        <v>516</v>
      </c>
      <c r="C16" s="119">
        <v>4.4999999999999998E-2</v>
      </c>
    </row>
    <row r="17" spans="1:11" ht="13.5" thickBot="1">
      <c r="A17" s="406" t="s">
        <v>520</v>
      </c>
      <c r="B17" s="407"/>
      <c r="C17" s="116">
        <f>(((1+C6+C9)*(1+C8)*(1+C7))/(1-C12))-1</f>
        <v>0.28013161364800188</v>
      </c>
    </row>
    <row r="19" spans="1:11">
      <c r="A19" s="124"/>
      <c r="B19" s="124"/>
      <c r="C19" s="125"/>
    </row>
    <row r="20" spans="1:11">
      <c r="A20" s="409" t="s">
        <v>528</v>
      </c>
      <c r="B20" s="409"/>
      <c r="C20" s="409"/>
      <c r="D20" s="409"/>
      <c r="E20" s="409"/>
      <c r="F20" s="409"/>
      <c r="G20" s="409"/>
      <c r="H20" s="409"/>
      <c r="I20" s="409"/>
      <c r="J20" s="409"/>
      <c r="K20" s="409"/>
    </row>
    <row r="21" spans="1:11" ht="13.5" thickBot="1">
      <c r="A21" s="111"/>
      <c r="B21" s="111"/>
      <c r="C21" s="111"/>
      <c r="D21" s="111"/>
      <c r="E21" s="111"/>
      <c r="F21" s="111"/>
      <c r="G21" s="111"/>
      <c r="H21" s="111"/>
      <c r="I21" s="111"/>
      <c r="J21" s="111"/>
      <c r="K21" s="111"/>
    </row>
    <row r="22" spans="1:11" ht="13.5" thickBot="1">
      <c r="A22" s="413" t="s">
        <v>529</v>
      </c>
      <c r="B22" s="414"/>
      <c r="C22" s="415"/>
      <c r="D22" s="111"/>
      <c r="E22" s="413" t="s">
        <v>499</v>
      </c>
      <c r="F22" s="414"/>
      <c r="G22" s="415"/>
      <c r="H22" s="111"/>
      <c r="I22" s="413" t="s">
        <v>530</v>
      </c>
      <c r="J22" s="414"/>
      <c r="K22" s="415"/>
    </row>
    <row r="23" spans="1:11">
      <c r="B23" s="110"/>
    </row>
    <row r="25" spans="1:11">
      <c r="A25" s="126" t="s">
        <v>531</v>
      </c>
      <c r="F25" s="126" t="s">
        <v>532</v>
      </c>
      <c r="J25" s="126" t="s">
        <v>533</v>
      </c>
    </row>
    <row r="26" spans="1:11">
      <c r="A26" s="126" t="s">
        <v>534</v>
      </c>
      <c r="F26" s="126" t="s">
        <v>535</v>
      </c>
      <c r="J26" s="126" t="s">
        <v>536</v>
      </c>
    </row>
    <row r="28" spans="1:11">
      <c r="A28" s="1" t="s">
        <v>537</v>
      </c>
    </row>
    <row r="29" spans="1:11">
      <c r="A29" s="1" t="s">
        <v>538</v>
      </c>
      <c r="I29" s="1" t="s">
        <v>539</v>
      </c>
    </row>
    <row r="30" spans="1:11">
      <c r="A30" s="1" t="s">
        <v>540</v>
      </c>
    </row>
    <row r="31" spans="1:11">
      <c r="A31" s="1" t="s">
        <v>541</v>
      </c>
    </row>
    <row r="32" spans="1:11">
      <c r="A32" s="1" t="s">
        <v>542</v>
      </c>
    </row>
    <row r="33" spans="1:11">
      <c r="A33" s="1" t="s">
        <v>543</v>
      </c>
      <c r="C33" s="125"/>
    </row>
    <row r="35" spans="1:11" ht="317.25" customHeight="1">
      <c r="A35" s="416" t="s">
        <v>544</v>
      </c>
      <c r="B35" s="416"/>
      <c r="C35" s="416"/>
      <c r="D35" s="416"/>
      <c r="E35" s="416"/>
      <c r="F35" s="416"/>
      <c r="G35" s="416"/>
      <c r="H35" s="416"/>
      <c r="I35" s="416"/>
      <c r="J35" s="416"/>
      <c r="K35" s="416"/>
    </row>
  </sheetData>
  <mergeCells count="13">
    <mergeCell ref="A22:C22"/>
    <mergeCell ref="E22:G22"/>
    <mergeCell ref="I22:K22"/>
    <mergeCell ref="A35:K35"/>
    <mergeCell ref="E15:F15"/>
    <mergeCell ref="A17:B17"/>
    <mergeCell ref="A20:K20"/>
    <mergeCell ref="I10:J10"/>
    <mergeCell ref="B1:J1"/>
    <mergeCell ref="A2:K2"/>
    <mergeCell ref="A4:C4"/>
    <mergeCell ref="E4:G4"/>
    <mergeCell ref="I4:K4"/>
  </mergeCells>
  <printOptions horizontalCentered="1"/>
  <pageMargins left="0.55118110236220474" right="0.55118110236220474" top="1.2598425196850394" bottom="0.98425196850393704" header="0" footer="0"/>
  <pageSetup paperSize="9" scale="6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7" tint="0.39997558519241921"/>
    <pageSetUpPr fitToPage="1"/>
  </sheetPr>
  <dimension ref="A1:L143"/>
  <sheetViews>
    <sheetView showGridLines="0" zoomScale="130" zoomScaleNormal="130" zoomScaleSheetLayoutView="100" workbookViewId="0">
      <selection activeCell="D15" sqref="D15"/>
    </sheetView>
  </sheetViews>
  <sheetFormatPr defaultColWidth="8.7109375" defaultRowHeight="12.75"/>
  <cols>
    <col min="1" max="1" width="5" style="32" bestFit="1" customWidth="1"/>
    <col min="2" max="2" width="59.7109375" style="32" customWidth="1"/>
    <col min="3" max="3" width="14.140625" style="32" bestFit="1" customWidth="1"/>
    <col min="4" max="4" width="15.28515625" style="32" bestFit="1" customWidth="1"/>
    <col min="5" max="16384" width="8.7109375" style="32"/>
  </cols>
  <sheetData>
    <row r="1" spans="1:6">
      <c r="A1" s="277" t="s">
        <v>62</v>
      </c>
      <c r="B1" s="277"/>
      <c r="C1" s="277"/>
      <c r="D1" s="277"/>
    </row>
    <row r="3" spans="1:6">
      <c r="A3" s="278" t="s">
        <v>63</v>
      </c>
      <c r="B3" s="279"/>
      <c r="C3" s="279"/>
      <c r="D3" s="280"/>
    </row>
    <row r="4" spans="1:6">
      <c r="A4" s="35">
        <v>1</v>
      </c>
      <c r="B4" s="182" t="s">
        <v>64</v>
      </c>
      <c r="C4" s="281" t="s">
        <v>65</v>
      </c>
      <c r="D4" s="282"/>
    </row>
    <row r="5" spans="1:6">
      <c r="A5" s="34">
        <v>2</v>
      </c>
      <c r="B5" s="26" t="s">
        <v>66</v>
      </c>
      <c r="C5" s="283"/>
      <c r="D5" s="284"/>
    </row>
    <row r="6" spans="1:6">
      <c r="A6" s="34">
        <v>3</v>
      </c>
      <c r="B6" s="26" t="s">
        <v>67</v>
      </c>
      <c r="C6" s="285">
        <v>2200</v>
      </c>
      <c r="D6" s="286"/>
    </row>
    <row r="7" spans="1:6" ht="25.5" customHeight="1">
      <c r="A7" s="34">
        <v>4</v>
      </c>
      <c r="B7" s="26" t="s">
        <v>68</v>
      </c>
      <c r="C7" s="287" t="s">
        <v>588</v>
      </c>
      <c r="D7" s="288"/>
    </row>
    <row r="8" spans="1:6">
      <c r="A8" s="34">
        <v>5</v>
      </c>
      <c r="B8" s="26" t="s">
        <v>69</v>
      </c>
      <c r="C8" s="289">
        <v>45047</v>
      </c>
      <c r="D8" s="290"/>
    </row>
    <row r="9" spans="1:6" ht="27" customHeight="1">
      <c r="A9" s="34">
        <v>6</v>
      </c>
      <c r="B9" s="26" t="s">
        <v>70</v>
      </c>
      <c r="C9" s="291" t="s">
        <v>594</v>
      </c>
      <c r="D9" s="290"/>
    </row>
    <row r="11" spans="1:6">
      <c r="A11" s="277" t="s">
        <v>72</v>
      </c>
      <c r="B11" s="277"/>
      <c r="C11" s="277"/>
      <c r="D11" s="277"/>
    </row>
    <row r="12" spans="1:6">
      <c r="A12" s="35">
        <v>1</v>
      </c>
      <c r="B12" s="292" t="s">
        <v>73</v>
      </c>
      <c r="C12" s="292"/>
      <c r="D12" s="35" t="s">
        <v>74</v>
      </c>
    </row>
    <row r="13" spans="1:6">
      <c r="A13" s="36" t="s">
        <v>75</v>
      </c>
      <c r="B13" s="274" t="s">
        <v>76</v>
      </c>
      <c r="C13" s="274"/>
      <c r="D13" s="38">
        <v>2893.37</v>
      </c>
    </row>
    <row r="14" spans="1:6">
      <c r="A14" s="36" t="s">
        <v>77</v>
      </c>
      <c r="B14" s="274" t="s">
        <v>78</v>
      </c>
      <c r="C14" s="274"/>
      <c r="D14" s="39" t="s">
        <v>79</v>
      </c>
    </row>
    <row r="15" spans="1:6" ht="29.45" customHeight="1">
      <c r="A15" s="36" t="s">
        <v>80</v>
      </c>
      <c r="B15" s="275" t="s">
        <v>593</v>
      </c>
      <c r="C15" s="276"/>
      <c r="D15" s="75">
        <f>ROUND(1412*0.4,2)</f>
        <v>564.79999999999995</v>
      </c>
      <c r="F15" s="32" t="s">
        <v>549</v>
      </c>
    </row>
    <row r="16" spans="1:6">
      <c r="A16" s="36" t="s">
        <v>81</v>
      </c>
      <c r="B16" s="274" t="s">
        <v>82</v>
      </c>
      <c r="C16" s="274"/>
      <c r="D16" s="39" t="s">
        <v>79</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3458.17</v>
      </c>
    </row>
    <row r="20" spans="1:4">
      <c r="A20" s="295" t="s">
        <v>88</v>
      </c>
      <c r="B20" s="295"/>
      <c r="C20" s="295"/>
      <c r="D20" s="295"/>
    </row>
    <row r="22" spans="1:4">
      <c r="A22" s="277" t="s">
        <v>89</v>
      </c>
      <c r="B22" s="277"/>
      <c r="C22" s="277"/>
      <c r="D22" s="277"/>
    </row>
    <row r="23" spans="1:4">
      <c r="A23" s="294" t="s">
        <v>603</v>
      </c>
      <c r="B23" s="294"/>
      <c r="C23" s="294"/>
      <c r="D23" s="294"/>
    </row>
    <row r="24" spans="1:4">
      <c r="A24" s="41" t="s">
        <v>90</v>
      </c>
      <c r="B24" s="41" t="s">
        <v>595</v>
      </c>
      <c r="C24" s="33" t="s">
        <v>91</v>
      </c>
      <c r="D24" s="41" t="s">
        <v>74</v>
      </c>
    </row>
    <row r="25" spans="1:4">
      <c r="A25" s="36" t="s">
        <v>75</v>
      </c>
      <c r="B25" s="42" t="s">
        <v>92</v>
      </c>
      <c r="C25" s="43">
        <v>9.0899999999999995E-2</v>
      </c>
      <c r="D25" s="44">
        <f>$C25*D$19</f>
        <v>314.34765299999998</v>
      </c>
    </row>
    <row r="26" spans="1:4">
      <c r="A26" s="36" t="s">
        <v>77</v>
      </c>
      <c r="B26" s="42" t="s">
        <v>589</v>
      </c>
      <c r="C26" s="43">
        <v>3.0300000000000001E-2</v>
      </c>
      <c r="D26" s="44">
        <f>$C26*D$19</f>
        <v>104.782551</v>
      </c>
    </row>
    <row r="27" spans="1:4">
      <c r="A27" s="294" t="s">
        <v>87</v>
      </c>
      <c r="B27" s="294"/>
      <c r="C27" s="45">
        <f t="shared" ref="C27:D27" si="0">SUM(C25:C26)</f>
        <v>0.1212</v>
      </c>
      <c r="D27" s="46">
        <f t="shared" si="0"/>
        <v>419.13020399999999</v>
      </c>
    </row>
    <row r="28" spans="1:4" ht="39" customHeight="1">
      <c r="A28" s="293" t="s">
        <v>93</v>
      </c>
      <c r="B28" s="293"/>
      <c r="C28" s="293"/>
      <c r="D28" s="293"/>
    </row>
    <row r="29" spans="1:4" ht="27.6" customHeight="1">
      <c r="A29" s="293" t="s">
        <v>94</v>
      </c>
      <c r="B29" s="293"/>
      <c r="C29" s="293"/>
      <c r="D29" s="293"/>
    </row>
    <row r="30" spans="1:4" ht="32.450000000000003" customHeight="1">
      <c r="A30" s="293" t="s">
        <v>95</v>
      </c>
      <c r="B30" s="293"/>
      <c r="C30" s="293"/>
      <c r="D30" s="293"/>
    </row>
    <row r="32" spans="1:4">
      <c r="A32" s="299" t="s">
        <v>96</v>
      </c>
      <c r="B32" s="299"/>
      <c r="C32" s="299"/>
      <c r="D32" s="299"/>
    </row>
    <row r="33" spans="1:4">
      <c r="A33" s="35" t="s">
        <v>97</v>
      </c>
      <c r="B33" s="35" t="s">
        <v>98</v>
      </c>
      <c r="C33" s="35" t="s">
        <v>91</v>
      </c>
      <c r="D33" s="35" t="s">
        <v>74</v>
      </c>
    </row>
    <row r="34" spans="1:4">
      <c r="A34" s="36" t="s">
        <v>75</v>
      </c>
      <c r="B34" s="42" t="s">
        <v>99</v>
      </c>
      <c r="C34" s="48">
        <v>0.2</v>
      </c>
      <c r="D34" s="44">
        <f t="shared" ref="D34:D42" si="1">$C34*(D$19+D$27)</f>
        <v>775.46004080000012</v>
      </c>
    </row>
    <row r="35" spans="1:4">
      <c r="A35" s="36" t="s">
        <v>77</v>
      </c>
      <c r="B35" s="42" t="s">
        <v>100</v>
      </c>
      <c r="C35" s="48">
        <v>2.5000000000000001E-2</v>
      </c>
      <c r="D35" s="44">
        <f>$C35*(D$19+D$27)</f>
        <v>96.932505100000014</v>
      </c>
    </row>
    <row r="36" spans="1:4">
      <c r="A36" s="36" t="s">
        <v>80</v>
      </c>
      <c r="B36" s="42" t="s">
        <v>101</v>
      </c>
      <c r="C36" s="48">
        <v>0.03</v>
      </c>
      <c r="D36" s="44">
        <f t="shared" si="1"/>
        <v>116.31900612</v>
      </c>
    </row>
    <row r="37" spans="1:4">
      <c r="A37" s="36" t="s">
        <v>81</v>
      </c>
      <c r="B37" s="42" t="s">
        <v>102</v>
      </c>
      <c r="C37" s="48">
        <v>1.4999999999999999E-2</v>
      </c>
      <c r="D37" s="44">
        <f t="shared" si="1"/>
        <v>58.159503059999999</v>
      </c>
    </row>
    <row r="38" spans="1:4">
      <c r="A38" s="36" t="s">
        <v>83</v>
      </c>
      <c r="B38" s="42" t="s">
        <v>103</v>
      </c>
      <c r="C38" s="48">
        <v>0.01</v>
      </c>
      <c r="D38" s="44">
        <f t="shared" si="1"/>
        <v>38.773002040000002</v>
      </c>
    </row>
    <row r="39" spans="1:4">
      <c r="A39" s="36" t="s">
        <v>85</v>
      </c>
      <c r="B39" s="42" t="s">
        <v>104</v>
      </c>
      <c r="C39" s="48">
        <v>6.0000000000000001E-3</v>
      </c>
      <c r="D39" s="44">
        <f t="shared" si="1"/>
        <v>23.263801224000002</v>
      </c>
    </row>
    <row r="40" spans="1:4">
      <c r="A40" s="36" t="s">
        <v>105</v>
      </c>
      <c r="B40" s="42" t="s">
        <v>106</v>
      </c>
      <c r="C40" s="48">
        <v>2E-3</v>
      </c>
      <c r="D40" s="44">
        <f t="shared" si="1"/>
        <v>7.7546004080000008</v>
      </c>
    </row>
    <row r="41" spans="1:4">
      <c r="A41" s="36" t="s">
        <v>107</v>
      </c>
      <c r="B41" s="42" t="s">
        <v>108</v>
      </c>
      <c r="C41" s="48">
        <v>0.08</v>
      </c>
      <c r="D41" s="44">
        <f t="shared" si="1"/>
        <v>310.18401632000001</v>
      </c>
    </row>
    <row r="42" spans="1:4">
      <c r="A42" s="36" t="s">
        <v>24</v>
      </c>
      <c r="B42" s="42" t="s">
        <v>109</v>
      </c>
      <c r="C42" s="48">
        <v>0</v>
      </c>
      <c r="D42" s="44">
        <f t="shared" si="1"/>
        <v>0</v>
      </c>
    </row>
    <row r="43" spans="1:4">
      <c r="A43" s="294" t="s">
        <v>87</v>
      </c>
      <c r="B43" s="294"/>
      <c r="C43" s="61">
        <f>SUM(C34:C42)</f>
        <v>0.36800000000000005</v>
      </c>
      <c r="D43" s="46">
        <f>SUM(D34:D42)</f>
        <v>1426.846475072</v>
      </c>
    </row>
    <row r="44" spans="1:4" ht="27" customHeight="1">
      <c r="A44" s="293" t="s">
        <v>110</v>
      </c>
      <c r="B44" s="293"/>
      <c r="C44" s="293"/>
      <c r="D44" s="293"/>
    </row>
    <row r="45" spans="1:4" ht="30.6" customHeight="1">
      <c r="A45" s="293" t="s">
        <v>111</v>
      </c>
      <c r="B45" s="293"/>
      <c r="C45" s="293"/>
      <c r="D45" s="293"/>
    </row>
    <row r="46" spans="1:4" ht="21.6" customHeight="1">
      <c r="A46" s="293" t="s">
        <v>112</v>
      </c>
      <c r="B46" s="293"/>
      <c r="C46" s="293"/>
      <c r="D46" s="293"/>
    </row>
    <row r="47" spans="1:4" ht="21.6" customHeight="1">
      <c r="A47" s="293" t="s">
        <v>113</v>
      </c>
      <c r="B47" s="293"/>
      <c r="C47" s="293"/>
      <c r="D47" s="293"/>
    </row>
    <row r="48" spans="1:4" ht="21.6" customHeight="1">
      <c r="A48" s="293" t="s">
        <v>114</v>
      </c>
      <c r="B48" s="293"/>
      <c r="C48" s="293"/>
      <c r="D48" s="293"/>
    </row>
    <row r="50" spans="1:12">
      <c r="A50" s="299" t="s">
        <v>115</v>
      </c>
      <c r="B50" s="299"/>
      <c r="C50" s="299"/>
      <c r="D50" s="299"/>
    </row>
    <row r="51" spans="1:12">
      <c r="A51" s="33" t="s">
        <v>116</v>
      </c>
      <c r="B51" s="33" t="s">
        <v>117</v>
      </c>
      <c r="C51" s="33" t="s">
        <v>118</v>
      </c>
      <c r="D51" s="33" t="s">
        <v>74</v>
      </c>
      <c r="L51" s="220"/>
    </row>
    <row r="52" spans="1:12">
      <c r="A52" s="36" t="s">
        <v>75</v>
      </c>
      <c r="B52" s="26" t="s">
        <v>554</v>
      </c>
      <c r="C52" s="51">
        <v>22</v>
      </c>
      <c r="D52" s="44">
        <f>ROUND((((3.8+5.5)*2*C52)-6%*D13),2)</f>
        <v>235.6</v>
      </c>
      <c r="L52" s="220"/>
    </row>
    <row r="53" spans="1:12" ht="25.5">
      <c r="A53" s="36" t="s">
        <v>77</v>
      </c>
      <c r="B53" s="26" t="s">
        <v>592</v>
      </c>
      <c r="C53" s="51">
        <v>22</v>
      </c>
      <c r="D53" s="44">
        <f>C53*(24.25*0.91)</f>
        <v>485.48499999999996</v>
      </c>
      <c r="F53" s="32">
        <f>24.25*9%</f>
        <v>2.1825000000000001</v>
      </c>
    </row>
    <row r="54" spans="1:12">
      <c r="A54" s="36" t="s">
        <v>80</v>
      </c>
      <c r="B54" s="235" t="s">
        <v>591</v>
      </c>
      <c r="C54" s="51">
        <v>22</v>
      </c>
      <c r="D54" s="44">
        <f>5.75*C54</f>
        <v>126.5</v>
      </c>
      <c r="F54" s="32">
        <f>24.25-F53</f>
        <v>22.067499999999999</v>
      </c>
    </row>
    <row r="55" spans="1:12">
      <c r="A55" s="36" t="s">
        <v>81</v>
      </c>
      <c r="B55" s="42" t="s">
        <v>120</v>
      </c>
      <c r="C55" s="51"/>
      <c r="D55" s="44"/>
      <c r="F55" s="32">
        <f>F54*22</f>
        <v>485.48499999999996</v>
      </c>
    </row>
    <row r="56" spans="1:12">
      <c r="A56" s="36" t="s">
        <v>83</v>
      </c>
      <c r="B56" s="42" t="s">
        <v>121</v>
      </c>
      <c r="C56" s="51"/>
      <c r="D56" s="44"/>
    </row>
    <row r="57" spans="1:12">
      <c r="A57" s="300" t="s">
        <v>87</v>
      </c>
      <c r="B57" s="300"/>
      <c r="C57" s="300"/>
      <c r="D57" s="76">
        <f>SUM(D52:D56)</f>
        <v>847.58499999999992</v>
      </c>
    </row>
    <row r="58" spans="1:12" ht="28.9" customHeight="1">
      <c r="A58" s="293" t="s">
        <v>122</v>
      </c>
      <c r="B58" s="293"/>
      <c r="C58" s="293"/>
      <c r="D58" s="293"/>
    </row>
    <row r="59" spans="1:12" ht="28.9" customHeight="1">
      <c r="A59" s="293" t="s">
        <v>123</v>
      </c>
      <c r="B59" s="293"/>
      <c r="C59" s="293"/>
      <c r="D59" s="293"/>
    </row>
    <row r="61" spans="1:12">
      <c r="A61" s="298" t="s">
        <v>124</v>
      </c>
      <c r="B61" s="298"/>
      <c r="C61" s="298"/>
      <c r="D61" s="298"/>
    </row>
    <row r="62" spans="1:12">
      <c r="A62" s="35">
        <v>2</v>
      </c>
      <c r="B62" s="294" t="s">
        <v>125</v>
      </c>
      <c r="C62" s="294"/>
      <c r="D62" s="35" t="s">
        <v>74</v>
      </c>
    </row>
    <row r="63" spans="1:12">
      <c r="A63" s="36" t="s">
        <v>90</v>
      </c>
      <c r="B63" s="275" t="s">
        <v>595</v>
      </c>
      <c r="C63" s="275"/>
      <c r="D63" s="44">
        <f>D27</f>
        <v>419.13020399999999</v>
      </c>
    </row>
    <row r="64" spans="1:12">
      <c r="A64" s="36" t="s">
        <v>97</v>
      </c>
      <c r="B64" s="274" t="s">
        <v>98</v>
      </c>
      <c r="C64" s="274"/>
      <c r="D64" s="44">
        <f>D43</f>
        <v>1426.846475072</v>
      </c>
    </row>
    <row r="65" spans="1:4">
      <c r="A65" s="36" t="s">
        <v>116</v>
      </c>
      <c r="B65" s="274" t="s">
        <v>117</v>
      </c>
      <c r="C65" s="274"/>
      <c r="D65" s="44">
        <f>D57</f>
        <v>847.58499999999992</v>
      </c>
    </row>
    <row r="66" spans="1:4">
      <c r="A66" s="294" t="s">
        <v>87</v>
      </c>
      <c r="B66" s="294"/>
      <c r="C66" s="294"/>
      <c r="D66" s="46">
        <f>SUM(D63:D65)</f>
        <v>2693.5616790720001</v>
      </c>
    </row>
    <row r="68" spans="1:4">
      <c r="A68" s="277" t="s">
        <v>126</v>
      </c>
      <c r="B68" s="277"/>
      <c r="C68" s="277"/>
      <c r="D68" s="277"/>
    </row>
    <row r="69" spans="1:4">
      <c r="A69" s="35">
        <v>3</v>
      </c>
      <c r="B69" s="35" t="s">
        <v>127</v>
      </c>
      <c r="C69" s="35" t="s">
        <v>91</v>
      </c>
      <c r="D69" s="35" t="s">
        <v>74</v>
      </c>
    </row>
    <row r="70" spans="1:4">
      <c r="A70" s="36" t="s">
        <v>75</v>
      </c>
      <c r="B70" s="26" t="s">
        <v>128</v>
      </c>
      <c r="C70" s="78">
        <v>4.1999999999999997E-3</v>
      </c>
      <c r="D70" s="60">
        <f t="shared" ref="D70:D76" si="2">$C70*(D$19+D$27)</f>
        <v>16.284660856799999</v>
      </c>
    </row>
    <row r="71" spans="1:4">
      <c r="A71" s="36" t="s">
        <v>77</v>
      </c>
      <c r="B71" s="26" t="s">
        <v>129</v>
      </c>
      <c r="C71" s="78">
        <v>2.9999999999999997E-4</v>
      </c>
      <c r="D71" s="60">
        <f t="shared" si="2"/>
        <v>1.1631900611999999</v>
      </c>
    </row>
    <row r="72" spans="1:4">
      <c r="A72" s="36" t="s">
        <v>80</v>
      </c>
      <c r="B72" s="26" t="s">
        <v>130</v>
      </c>
      <c r="C72" s="79">
        <v>9.9999999999999995E-7</v>
      </c>
      <c r="D72" s="60">
        <f t="shared" si="2"/>
        <v>3.8773002039999998E-3</v>
      </c>
    </row>
    <row r="73" spans="1:4">
      <c r="A73" s="36" t="s">
        <v>81</v>
      </c>
      <c r="B73" s="26" t="s">
        <v>131</v>
      </c>
      <c r="C73" s="80">
        <v>1.9400000000000001E-2</v>
      </c>
      <c r="D73" s="60">
        <f t="shared" si="2"/>
        <v>75.219623957600007</v>
      </c>
    </row>
    <row r="74" spans="1:4" ht="25.5">
      <c r="A74" s="36" t="s">
        <v>83</v>
      </c>
      <c r="B74" s="26" t="s">
        <v>132</v>
      </c>
      <c r="C74" s="78">
        <v>7.1000000000000004E-3</v>
      </c>
      <c r="D74" s="60">
        <f t="shared" si="2"/>
        <v>27.528831448400002</v>
      </c>
    </row>
    <row r="75" spans="1:4">
      <c r="A75" s="36" t="s">
        <v>85</v>
      </c>
      <c r="B75" s="26" t="s">
        <v>133</v>
      </c>
      <c r="C75" s="78">
        <v>1E-4</v>
      </c>
      <c r="D75" s="60">
        <f t="shared" si="2"/>
        <v>0.38773002040000004</v>
      </c>
    </row>
    <row r="76" spans="1:4">
      <c r="A76" s="36" t="s">
        <v>105</v>
      </c>
      <c r="B76" s="56" t="s">
        <v>134</v>
      </c>
      <c r="C76" s="78">
        <v>3.49E-2</v>
      </c>
      <c r="D76" s="60">
        <f t="shared" si="2"/>
        <v>135.31777711960001</v>
      </c>
    </row>
    <row r="77" spans="1:4">
      <c r="A77" s="296" t="s">
        <v>87</v>
      </c>
      <c r="B77" s="297"/>
      <c r="C77" s="81">
        <f t="shared" ref="C77:D77" si="3">SUM(C70:C76)</f>
        <v>6.6001000000000004E-2</v>
      </c>
      <c r="D77" s="40">
        <f t="shared" si="3"/>
        <v>255.905690764204</v>
      </c>
    </row>
    <row r="78" spans="1:4">
      <c r="A78" s="293" t="s">
        <v>135</v>
      </c>
      <c r="B78" s="293"/>
      <c r="C78" s="293"/>
      <c r="D78" s="293"/>
    </row>
    <row r="79" spans="1:4">
      <c r="A79" s="293" t="s">
        <v>136</v>
      </c>
      <c r="B79" s="293"/>
      <c r="C79" s="293"/>
      <c r="D79" s="293"/>
    </row>
    <row r="81" spans="1:4">
      <c r="A81" s="277" t="s">
        <v>137</v>
      </c>
      <c r="B81" s="277"/>
      <c r="C81" s="277"/>
      <c r="D81" s="277"/>
    </row>
    <row r="82" spans="1:4" ht="29.45" customHeight="1">
      <c r="A82" s="275" t="s">
        <v>138</v>
      </c>
      <c r="B82" s="275"/>
      <c r="C82" s="275"/>
      <c r="D82" s="275"/>
    </row>
    <row r="84" spans="1:4">
      <c r="A84" s="299" t="s">
        <v>139</v>
      </c>
      <c r="B84" s="299"/>
      <c r="C84" s="299"/>
      <c r="D84" s="299"/>
    </row>
    <row r="85" spans="1:4">
      <c r="A85" s="33" t="s">
        <v>140</v>
      </c>
      <c r="B85" s="33" t="s">
        <v>141</v>
      </c>
      <c r="C85" s="33" t="s">
        <v>91</v>
      </c>
      <c r="D85" s="33" t="s">
        <v>74</v>
      </c>
    </row>
    <row r="86" spans="1:4">
      <c r="A86" s="36" t="s">
        <v>75</v>
      </c>
      <c r="B86" s="26" t="s">
        <v>142</v>
      </c>
      <c r="C86" s="204">
        <v>9.0899999999999995E-2</v>
      </c>
      <c r="D86" s="44">
        <f>$C86*(D$19+D$27)</f>
        <v>352.4465885436</v>
      </c>
    </row>
    <row r="87" spans="1:4">
      <c r="A87" s="36" t="s">
        <v>77</v>
      </c>
      <c r="B87" s="26" t="s">
        <v>143</v>
      </c>
      <c r="C87" s="48">
        <v>8.2000000000000007E-3</v>
      </c>
      <c r="D87" s="44">
        <f t="shared" ref="D87:D91" si="4">$C87*(D$19+D$27)</f>
        <v>31.793861672800002</v>
      </c>
    </row>
    <row r="88" spans="1:4">
      <c r="A88" s="36" t="s">
        <v>80</v>
      </c>
      <c r="B88" s="26" t="s">
        <v>144</v>
      </c>
      <c r="C88" s="48">
        <v>2.0000000000000001E-4</v>
      </c>
      <c r="D88" s="44">
        <f t="shared" si="4"/>
        <v>0.77546004080000008</v>
      </c>
    </row>
    <row r="89" spans="1:4">
      <c r="A89" s="36" t="s">
        <v>81</v>
      </c>
      <c r="B89" s="26" t="s">
        <v>145</v>
      </c>
      <c r="C89" s="48">
        <v>2.9999999999999997E-4</v>
      </c>
      <c r="D89" s="44">
        <f t="shared" si="4"/>
        <v>1.1631900611999999</v>
      </c>
    </row>
    <row r="90" spans="1:4">
      <c r="A90" s="36" t="s">
        <v>83</v>
      </c>
      <c r="B90" s="26" t="s">
        <v>146</v>
      </c>
      <c r="C90" s="48">
        <v>2.8999999999999998E-3</v>
      </c>
      <c r="D90" s="44">
        <f t="shared" si="4"/>
        <v>11.2441705916</v>
      </c>
    </row>
    <row r="91" spans="1:4">
      <c r="A91" s="36" t="s">
        <v>85</v>
      </c>
      <c r="B91" s="26" t="s">
        <v>147</v>
      </c>
      <c r="C91" s="48">
        <v>1.66E-2</v>
      </c>
      <c r="D91" s="44">
        <f t="shared" si="4"/>
        <v>64.363183386399996</v>
      </c>
    </row>
    <row r="92" spans="1:4">
      <c r="A92" s="296" t="s">
        <v>87</v>
      </c>
      <c r="B92" s="297"/>
      <c r="C92" s="45">
        <f t="shared" ref="C92:D92" si="5">SUM(C86:C91)</f>
        <v>0.1191</v>
      </c>
      <c r="D92" s="82">
        <f t="shared" si="5"/>
        <v>461.7864542964</v>
      </c>
    </row>
    <row r="93" spans="1:4" ht="16.149999999999999" customHeight="1">
      <c r="A93" s="293" t="s">
        <v>148</v>
      </c>
      <c r="B93" s="293"/>
      <c r="C93" s="293"/>
      <c r="D93" s="293"/>
    </row>
    <row r="95" spans="1:4">
      <c r="A95" s="300" t="s">
        <v>149</v>
      </c>
      <c r="B95" s="300"/>
      <c r="C95" s="300"/>
      <c r="D95" s="300"/>
    </row>
    <row r="96" spans="1:4">
      <c r="A96" s="33" t="s">
        <v>150</v>
      </c>
      <c r="B96" s="33" t="s">
        <v>151</v>
      </c>
      <c r="C96" s="33" t="s">
        <v>74</v>
      </c>
      <c r="D96" s="33"/>
    </row>
    <row r="97" spans="1:4">
      <c r="A97" s="36" t="s">
        <v>75</v>
      </c>
      <c r="B97" s="26" t="s">
        <v>152</v>
      </c>
      <c r="C97" s="57"/>
      <c r="D97" s="58"/>
    </row>
    <row r="98" spans="1:4">
      <c r="A98" s="300" t="s">
        <v>87</v>
      </c>
      <c r="B98" s="300"/>
      <c r="C98" s="44">
        <f>SUM(C97)</f>
        <v>0</v>
      </c>
      <c r="D98" s="58"/>
    </row>
    <row r="100" spans="1:4">
      <c r="A100" s="298" t="s">
        <v>153</v>
      </c>
      <c r="B100" s="298"/>
      <c r="C100" s="298"/>
      <c r="D100" s="298"/>
    </row>
    <row r="101" spans="1:4">
      <c r="A101" s="35">
        <v>4</v>
      </c>
      <c r="B101" s="294" t="s">
        <v>154</v>
      </c>
      <c r="C101" s="294"/>
      <c r="D101" s="35" t="s">
        <v>74</v>
      </c>
    </row>
    <row r="102" spans="1:4">
      <c r="A102" s="36" t="s">
        <v>140</v>
      </c>
      <c r="B102" s="274" t="s">
        <v>141</v>
      </c>
      <c r="C102" s="274"/>
      <c r="D102" s="44">
        <f>D92</f>
        <v>461.7864542964</v>
      </c>
    </row>
    <row r="103" spans="1:4">
      <c r="A103" s="36" t="s">
        <v>150</v>
      </c>
      <c r="B103" s="42" t="s">
        <v>155</v>
      </c>
      <c r="C103" s="42"/>
      <c r="D103" s="57">
        <f>C98</f>
        <v>0</v>
      </c>
    </row>
    <row r="104" spans="1:4">
      <c r="A104" s="294" t="s">
        <v>87</v>
      </c>
      <c r="B104" s="294"/>
      <c r="C104" s="294"/>
      <c r="D104" s="46">
        <f>SUM(D102:D103)</f>
        <v>461.7864542964</v>
      </c>
    </row>
    <row r="106" spans="1:4">
      <c r="A106" s="298" t="s">
        <v>156</v>
      </c>
      <c r="B106" s="298"/>
      <c r="C106" s="298"/>
      <c r="D106" s="298"/>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EPIS'!$E$70+'TABELA 5 - Ferramentas'!$I$145</f>
        <v>141.88202898550725</v>
      </c>
    </row>
    <row r="110" spans="1:4">
      <c r="A110" s="36" t="s">
        <v>80</v>
      </c>
      <c r="B110" s="274" t="s">
        <v>160</v>
      </c>
      <c r="C110" s="274"/>
      <c r="D110" s="44">
        <v>0</v>
      </c>
    </row>
    <row r="111" spans="1:4">
      <c r="A111" s="36" t="s">
        <v>81</v>
      </c>
      <c r="B111" s="274" t="s">
        <v>86</v>
      </c>
      <c r="C111" s="274"/>
      <c r="D111" s="44">
        <v>0</v>
      </c>
    </row>
    <row r="112" spans="1:4">
      <c r="A112" s="294" t="s">
        <v>87</v>
      </c>
      <c r="B112" s="294"/>
      <c r="C112" s="294"/>
      <c r="D112" s="82">
        <f>SUM(D108:D111)</f>
        <v>239.57369565217391</v>
      </c>
    </row>
    <row r="113" spans="1:4">
      <c r="A113" s="293" t="s">
        <v>161</v>
      </c>
      <c r="B113" s="293"/>
      <c r="C113" s="293"/>
      <c r="D113" s="293"/>
    </row>
    <row r="115" spans="1:4">
      <c r="A115" s="277" t="s">
        <v>162</v>
      </c>
      <c r="B115" s="277"/>
      <c r="C115" s="277"/>
      <c r="D115" s="277"/>
    </row>
    <row r="116" spans="1:4" ht="12.75" customHeight="1">
      <c r="A116" s="302" t="s">
        <v>163</v>
      </c>
      <c r="B116" s="302"/>
      <c r="C116" s="303" t="s">
        <v>545</v>
      </c>
      <c r="D116" s="303"/>
    </row>
    <row r="117" spans="1:4">
      <c r="A117" s="35">
        <v>6</v>
      </c>
      <c r="B117" s="35" t="s">
        <v>164</v>
      </c>
      <c r="C117" s="190" t="s">
        <v>91</v>
      </c>
      <c r="D117" s="190" t="s">
        <v>74</v>
      </c>
    </row>
    <row r="118" spans="1:4">
      <c r="A118" s="36" t="s">
        <v>75</v>
      </c>
      <c r="B118" s="42" t="s">
        <v>165</v>
      </c>
      <c r="C118" s="191">
        <v>0.05</v>
      </c>
      <c r="D118" s="192">
        <f>$C118*D$138</f>
        <v>355.44987598923893</v>
      </c>
    </row>
    <row r="119" spans="1:4">
      <c r="A119" s="36" t="s">
        <v>77</v>
      </c>
      <c r="B119" s="42" t="s">
        <v>166</v>
      </c>
      <c r="C119" s="191">
        <v>6.7900000000000002E-2</v>
      </c>
      <c r="D119" s="192">
        <f>$C119*(D$138+D118)</f>
        <v>506.83597817305576</v>
      </c>
    </row>
    <row r="120" spans="1:4">
      <c r="A120" s="36" t="s">
        <v>80</v>
      </c>
      <c r="B120" s="186" t="s">
        <v>167</v>
      </c>
      <c r="C120" s="193">
        <f>SUM(C121:C123)</f>
        <v>0.14250000000000002</v>
      </c>
      <c r="D120" s="192">
        <f>(D$138+D$119+D$118)*($C120/IF($C116="Lucro presumido",91.45%,85.75%))</f>
        <v>1324.6739134547613</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c r="A124" s="36" t="s">
        <v>81</v>
      </c>
      <c r="B124" s="26" t="s">
        <v>174</v>
      </c>
      <c r="C124" s="195"/>
      <c r="D124" s="196">
        <f>(D$138+D$119+D$118)*($C124/IF($C116="Lucro presumido",91.45%,85.75%))</f>
        <v>0</v>
      </c>
    </row>
    <row r="125" spans="1:4">
      <c r="A125" s="294" t="s">
        <v>87</v>
      </c>
      <c r="B125" s="294"/>
      <c r="C125" s="197">
        <f>SUM(C118:C120)+(C124)</f>
        <v>0.26040000000000002</v>
      </c>
      <c r="D125" s="198">
        <f>SUM(D118:D124)</f>
        <v>2186.9597676170561</v>
      </c>
    </row>
    <row r="126" spans="1:4">
      <c r="A126" s="293" t="s">
        <v>175</v>
      </c>
      <c r="B126" s="293"/>
      <c r="C126" s="293"/>
      <c r="D126" s="293"/>
    </row>
    <row r="127" spans="1:4" ht="24.6" customHeight="1">
      <c r="A127" s="293" t="s">
        <v>176</v>
      </c>
      <c r="B127" s="293"/>
      <c r="C127" s="293"/>
      <c r="D127" s="293"/>
    </row>
    <row r="128" spans="1:4" ht="27" customHeight="1">
      <c r="A128" s="293" t="s">
        <v>560</v>
      </c>
      <c r="B128" s="293"/>
      <c r="C128" s="293"/>
      <c r="D128" s="293"/>
    </row>
    <row r="129" spans="1:4" ht="19.899999999999999" customHeight="1">
      <c r="A129" s="304" t="s">
        <v>559</v>
      </c>
      <c r="B129" s="304"/>
      <c r="C129" s="304"/>
      <c r="D129" s="304"/>
    </row>
    <row r="131" spans="1:4">
      <c r="A131" s="298" t="s">
        <v>177</v>
      </c>
      <c r="B131" s="298"/>
      <c r="C131" s="298"/>
      <c r="D131" s="298"/>
    </row>
    <row r="132" spans="1:4">
      <c r="A132" s="300" t="s">
        <v>178</v>
      </c>
      <c r="B132" s="300"/>
      <c r="C132" s="300"/>
      <c r="D132" s="33" t="s">
        <v>179</v>
      </c>
    </row>
    <row r="133" spans="1:4">
      <c r="A133" s="36" t="s">
        <v>75</v>
      </c>
      <c r="B133" s="275" t="s">
        <v>72</v>
      </c>
      <c r="C133" s="275"/>
      <c r="D133" s="44">
        <f>D19</f>
        <v>3458.17</v>
      </c>
    </row>
    <row r="134" spans="1:4">
      <c r="A134" s="36" t="s">
        <v>77</v>
      </c>
      <c r="B134" s="275" t="s">
        <v>89</v>
      </c>
      <c r="C134" s="275"/>
      <c r="D134" s="44">
        <f>D66</f>
        <v>2693.5616790720001</v>
      </c>
    </row>
    <row r="135" spans="1:4">
      <c r="A135" s="36" t="s">
        <v>80</v>
      </c>
      <c r="B135" s="275" t="s">
        <v>126</v>
      </c>
      <c r="C135" s="275"/>
      <c r="D135" s="44">
        <f>D77</f>
        <v>255.905690764204</v>
      </c>
    </row>
    <row r="136" spans="1:4">
      <c r="A136" s="36" t="s">
        <v>81</v>
      </c>
      <c r="B136" s="275" t="s">
        <v>137</v>
      </c>
      <c r="C136" s="275"/>
      <c r="D136" s="44">
        <f>D104</f>
        <v>461.7864542964</v>
      </c>
    </row>
    <row r="137" spans="1:4">
      <c r="A137" s="36" t="s">
        <v>83</v>
      </c>
      <c r="B137" s="275" t="s">
        <v>156</v>
      </c>
      <c r="C137" s="275"/>
      <c r="D137" s="44">
        <f>D112</f>
        <v>239.57369565217391</v>
      </c>
    </row>
    <row r="138" spans="1:4">
      <c r="A138" s="294" t="s">
        <v>180</v>
      </c>
      <c r="B138" s="294"/>
      <c r="C138" s="294"/>
      <c r="D138" s="46">
        <f>SUM(D133:D137)</f>
        <v>7108.997519784778</v>
      </c>
    </row>
    <row r="139" spans="1:4">
      <c r="A139" s="36" t="s">
        <v>85</v>
      </c>
      <c r="B139" s="274" t="s">
        <v>162</v>
      </c>
      <c r="C139" s="274"/>
      <c r="D139" s="44">
        <f>D125</f>
        <v>2186.9597676170561</v>
      </c>
    </row>
    <row r="140" spans="1:4">
      <c r="A140" s="298" t="s">
        <v>181</v>
      </c>
      <c r="B140" s="298"/>
      <c r="C140" s="298"/>
      <c r="D140" s="83">
        <f>SUM(D138:D139)</f>
        <v>9295.957287401834</v>
      </c>
    </row>
    <row r="143" spans="1:4" ht="205.15" customHeight="1">
      <c r="A143" s="301" t="s">
        <v>590</v>
      </c>
      <c r="B143" s="301"/>
      <c r="C143" s="301"/>
      <c r="D143" s="301"/>
    </row>
  </sheetData>
  <mergeCells count="83">
    <mergeCell ref="B133:C133"/>
    <mergeCell ref="A116:B116"/>
    <mergeCell ref="C116:D116"/>
    <mergeCell ref="A125:B125"/>
    <mergeCell ref="A126:D126"/>
    <mergeCell ref="A129:D129"/>
    <mergeCell ref="A131:D131"/>
    <mergeCell ref="A132:C132"/>
    <mergeCell ref="A127:D127"/>
    <mergeCell ref="A128:D128"/>
    <mergeCell ref="A143:D143"/>
    <mergeCell ref="A140:C140"/>
    <mergeCell ref="B134:C134"/>
    <mergeCell ref="B135:C135"/>
    <mergeCell ref="B136:C136"/>
    <mergeCell ref="B137:C137"/>
    <mergeCell ref="A138:C138"/>
    <mergeCell ref="B139:C139"/>
    <mergeCell ref="A112:C112"/>
    <mergeCell ref="A113:D113"/>
    <mergeCell ref="A115:D115"/>
    <mergeCell ref="B102:C102"/>
    <mergeCell ref="A104:C104"/>
    <mergeCell ref="A106:D106"/>
    <mergeCell ref="B107:C107"/>
    <mergeCell ref="B108:C108"/>
    <mergeCell ref="B110:C110"/>
    <mergeCell ref="B111:C111"/>
    <mergeCell ref="B109:C109"/>
    <mergeCell ref="A93:D93"/>
    <mergeCell ref="A95:D95"/>
    <mergeCell ref="A98:B98"/>
    <mergeCell ref="A100:D100"/>
    <mergeCell ref="B101:C101"/>
    <mergeCell ref="A84:D84"/>
    <mergeCell ref="B62:C62"/>
    <mergeCell ref="B63:C63"/>
    <mergeCell ref="B64:C64"/>
    <mergeCell ref="B65:C65"/>
    <mergeCell ref="A66:C66"/>
    <mergeCell ref="A68:D68"/>
    <mergeCell ref="A77:B77"/>
    <mergeCell ref="A78:D78"/>
    <mergeCell ref="A79:D79"/>
    <mergeCell ref="A81:D81"/>
    <mergeCell ref="A82:D82"/>
    <mergeCell ref="A92:B92"/>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30:D30"/>
    <mergeCell ref="B18:C18"/>
    <mergeCell ref="A19:C19"/>
    <mergeCell ref="A20:D20"/>
    <mergeCell ref="A22:D22"/>
    <mergeCell ref="A23:D23"/>
    <mergeCell ref="B17:C17"/>
    <mergeCell ref="B15:C15"/>
    <mergeCell ref="B16:C16"/>
    <mergeCell ref="B14:C14"/>
    <mergeCell ref="A1:D1"/>
    <mergeCell ref="A3:D3"/>
    <mergeCell ref="C4:D4"/>
    <mergeCell ref="C5:D5"/>
    <mergeCell ref="C6:D6"/>
    <mergeCell ref="C7:D7"/>
    <mergeCell ref="C8:D8"/>
    <mergeCell ref="C9:D9"/>
    <mergeCell ref="A11:D11"/>
    <mergeCell ref="B12:C12"/>
    <mergeCell ref="B13:C13"/>
  </mergeCells>
  <dataValidations count="1">
    <dataValidation type="list" allowBlank="1" showInputMessage="1" showErrorMessage="1" sqref="C116:D116" xr:uid="{33E2AC22-680A-4DDF-9D6A-5DC30BBA733D}">
      <formula1>"Lucro presumido,Lucro real"</formula1>
    </dataValidation>
  </dataValidations>
  <printOptions horizontalCentered="1"/>
  <pageMargins left="0.55118110236220474" right="0.55118110236220474" top="1.2598425196850394" bottom="0.98425196850393704" header="0" footer="0"/>
  <pageSetup paperSize="9" scale="9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13B9-0163-4D87-BA7D-F3E64A2E9374}">
  <sheetPr codeName="Planilha4"/>
  <dimension ref="A1:AC143"/>
  <sheetViews>
    <sheetView showGridLines="0" zoomScale="130" zoomScaleNormal="130" workbookViewId="0">
      <selection activeCell="B17" sqref="B17:C17"/>
    </sheetView>
  </sheetViews>
  <sheetFormatPr defaultColWidth="8.7109375" defaultRowHeight="12.75"/>
  <cols>
    <col min="1" max="1" width="5" style="32" bestFit="1" customWidth="1"/>
    <col min="2" max="2" width="59.7109375" style="32" customWidth="1"/>
    <col min="3" max="3" width="14.140625" style="32" bestFit="1" customWidth="1"/>
    <col min="4" max="4" width="15.28515625" style="32" bestFit="1" customWidth="1"/>
    <col min="5" max="16384" width="8.7109375" style="32"/>
  </cols>
  <sheetData>
    <row r="1" spans="1:6">
      <c r="A1" s="277" t="s">
        <v>62</v>
      </c>
      <c r="B1" s="277"/>
      <c r="C1" s="277"/>
      <c r="D1" s="277"/>
    </row>
    <row r="3" spans="1:6">
      <c r="A3" s="278" t="s">
        <v>63</v>
      </c>
      <c r="B3" s="279"/>
      <c r="C3" s="279"/>
      <c r="D3" s="280"/>
    </row>
    <row r="4" spans="1:6" ht="27" customHeight="1">
      <c r="A4" s="35">
        <v>1</v>
      </c>
      <c r="B4" s="182" t="s">
        <v>64</v>
      </c>
      <c r="C4" s="281" t="s">
        <v>182</v>
      </c>
      <c r="D4" s="282"/>
    </row>
    <row r="5" spans="1:6">
      <c r="A5" s="34">
        <v>2</v>
      </c>
      <c r="B5" s="26" t="s">
        <v>66</v>
      </c>
      <c r="C5" s="283"/>
      <c r="D5" s="284"/>
    </row>
    <row r="6" spans="1:6">
      <c r="A6" s="34">
        <v>3</v>
      </c>
      <c r="B6" s="26" t="s">
        <v>67</v>
      </c>
      <c r="C6" s="285">
        <v>2200</v>
      </c>
      <c r="D6" s="286"/>
    </row>
    <row r="7" spans="1:6" ht="25.5" customHeight="1">
      <c r="A7" s="34">
        <v>4</v>
      </c>
      <c r="B7" s="26" t="s">
        <v>68</v>
      </c>
      <c r="C7" s="287" t="s">
        <v>588</v>
      </c>
      <c r="D7" s="288"/>
    </row>
    <row r="8" spans="1:6">
      <c r="A8" s="34">
        <v>5</v>
      </c>
      <c r="B8" s="26" t="s">
        <v>69</v>
      </c>
      <c r="C8" s="289">
        <v>45047</v>
      </c>
      <c r="D8" s="290"/>
    </row>
    <row r="9" spans="1:6" ht="24.6" customHeight="1">
      <c r="A9" s="34">
        <v>6</v>
      </c>
      <c r="B9" s="26" t="s">
        <v>70</v>
      </c>
      <c r="C9" s="291" t="s">
        <v>594</v>
      </c>
      <c r="D9" s="290"/>
    </row>
    <row r="11" spans="1:6">
      <c r="A11" s="277" t="s">
        <v>72</v>
      </c>
      <c r="B11" s="277"/>
      <c r="C11" s="277"/>
      <c r="D11" s="277"/>
    </row>
    <row r="12" spans="1:6">
      <c r="A12" s="35">
        <v>1</v>
      </c>
      <c r="B12" s="292" t="s">
        <v>73</v>
      </c>
      <c r="C12" s="292"/>
      <c r="D12" s="35" t="s">
        <v>74</v>
      </c>
    </row>
    <row r="13" spans="1:6">
      <c r="A13" s="36" t="s">
        <v>75</v>
      </c>
      <c r="B13" s="274" t="s">
        <v>76</v>
      </c>
      <c r="C13" s="274"/>
      <c r="D13" s="38">
        <v>2893.37</v>
      </c>
    </row>
    <row r="14" spans="1:6">
      <c r="A14" s="36" t="s">
        <v>77</v>
      </c>
      <c r="B14" s="274" t="s">
        <v>78</v>
      </c>
      <c r="C14" s="274"/>
      <c r="D14" s="39" t="s">
        <v>79</v>
      </c>
    </row>
    <row r="15" spans="1:6" ht="22.9" customHeight="1">
      <c r="A15" s="36" t="s">
        <v>80</v>
      </c>
      <c r="B15" s="275" t="s">
        <v>593</v>
      </c>
      <c r="C15" s="276"/>
      <c r="D15" s="75">
        <f>ROUND(1412*0.4,2)</f>
        <v>564.79999999999995</v>
      </c>
      <c r="F15" s="32" t="s">
        <v>557</v>
      </c>
    </row>
    <row r="16" spans="1:6">
      <c r="A16" s="36" t="s">
        <v>81</v>
      </c>
      <c r="B16" s="274" t="s">
        <v>82</v>
      </c>
      <c r="C16" s="274"/>
      <c r="D16" s="39" t="s">
        <v>79</v>
      </c>
    </row>
    <row r="17" spans="1:29">
      <c r="A17" s="36" t="s">
        <v>83</v>
      </c>
      <c r="B17" s="274" t="s">
        <v>84</v>
      </c>
      <c r="C17" s="274"/>
      <c r="D17" s="39" t="s">
        <v>79</v>
      </c>
    </row>
    <row r="18" spans="1:29">
      <c r="A18" s="36" t="s">
        <v>85</v>
      </c>
      <c r="B18" s="274" t="s">
        <v>86</v>
      </c>
      <c r="C18" s="274"/>
      <c r="D18" s="39" t="s">
        <v>79</v>
      </c>
    </row>
    <row r="19" spans="1:29">
      <c r="A19" s="294" t="s">
        <v>87</v>
      </c>
      <c r="B19" s="294"/>
      <c r="C19" s="294"/>
      <c r="D19" s="40">
        <f>SUM(D13:D18)</f>
        <v>3458.17</v>
      </c>
      <c r="AB19" s="32">
        <v>418</v>
      </c>
      <c r="AC19" s="32">
        <v>40</v>
      </c>
    </row>
    <row r="20" spans="1:29" ht="31.9" customHeight="1">
      <c r="A20" s="295" t="s">
        <v>88</v>
      </c>
      <c r="B20" s="295"/>
      <c r="C20" s="295"/>
      <c r="D20" s="295"/>
      <c r="AC20" s="32">
        <v>100</v>
      </c>
    </row>
    <row r="21" spans="1:29" ht="31.9" customHeight="1"/>
    <row r="22" spans="1:29">
      <c r="A22" s="277" t="s">
        <v>89</v>
      </c>
      <c r="B22" s="277"/>
      <c r="C22" s="277"/>
      <c r="D22" s="277"/>
    </row>
    <row r="23" spans="1:29">
      <c r="A23" s="294" t="s">
        <v>604</v>
      </c>
      <c r="B23" s="294"/>
      <c r="C23" s="294"/>
      <c r="D23" s="294"/>
    </row>
    <row r="24" spans="1:29">
      <c r="A24" s="41" t="s">
        <v>90</v>
      </c>
      <c r="B24" s="41" t="s">
        <v>595</v>
      </c>
      <c r="C24" s="33" t="s">
        <v>91</v>
      </c>
      <c r="D24" s="41" t="s">
        <v>74</v>
      </c>
      <c r="O24" s="32">
        <f>1/11</f>
        <v>9.0909090909090912E-2</v>
      </c>
      <c r="AB24" s="32">
        <f>AB19*AC20</f>
        <v>41800</v>
      </c>
    </row>
    <row r="25" spans="1:29">
      <c r="A25" s="36" t="s">
        <v>75</v>
      </c>
      <c r="B25" s="42" t="s">
        <v>92</v>
      </c>
      <c r="C25" s="43">
        <v>9.0899999999999995E-2</v>
      </c>
      <c r="D25" s="44">
        <f>$C25*D$19</f>
        <v>314.34765299999998</v>
      </c>
      <c r="AB25" s="32">
        <f>AB24/AC19</f>
        <v>1045</v>
      </c>
    </row>
    <row r="26" spans="1:29">
      <c r="A26" s="36" t="s">
        <v>77</v>
      </c>
      <c r="B26" s="42" t="s">
        <v>589</v>
      </c>
      <c r="C26" s="43">
        <v>3.0300000000000001E-2</v>
      </c>
      <c r="D26" s="44">
        <f>$C26*D$19</f>
        <v>104.782551</v>
      </c>
    </row>
    <row r="27" spans="1:29">
      <c r="A27" s="294" t="s">
        <v>87</v>
      </c>
      <c r="B27" s="294"/>
      <c r="C27" s="45">
        <f t="shared" ref="C27:D27" si="0">SUM(C25:C26)</f>
        <v>0.1212</v>
      </c>
      <c r="D27" s="46">
        <f t="shared" si="0"/>
        <v>419.13020399999999</v>
      </c>
      <c r="I27" s="219"/>
    </row>
    <row r="28" spans="1:29" ht="39.6" customHeight="1">
      <c r="A28" s="293" t="s">
        <v>93</v>
      </c>
      <c r="B28" s="293"/>
      <c r="C28" s="293"/>
      <c r="D28" s="293"/>
    </row>
    <row r="29" spans="1:29" ht="39.6" customHeight="1">
      <c r="A29" s="293" t="s">
        <v>94</v>
      </c>
      <c r="B29" s="293"/>
      <c r="C29" s="293"/>
      <c r="D29" s="293"/>
    </row>
    <row r="30" spans="1:29" ht="39.6" customHeight="1">
      <c r="A30" s="293" t="s">
        <v>95</v>
      </c>
      <c r="B30" s="293"/>
      <c r="C30" s="293"/>
      <c r="D30" s="293"/>
    </row>
    <row r="32" spans="1:29">
      <c r="A32" s="299" t="s">
        <v>96</v>
      </c>
      <c r="B32" s="299"/>
      <c r="C32" s="299"/>
      <c r="D32" s="299"/>
      <c r="AC32" s="32">
        <f>1039*40%</f>
        <v>415.6</v>
      </c>
    </row>
    <row r="33" spans="1:4">
      <c r="A33" s="35" t="s">
        <v>97</v>
      </c>
      <c r="B33" s="35" t="s">
        <v>98</v>
      </c>
      <c r="C33" s="35" t="s">
        <v>91</v>
      </c>
      <c r="D33" s="35" t="s">
        <v>74</v>
      </c>
    </row>
    <row r="34" spans="1:4">
      <c r="A34" s="36" t="s">
        <v>75</v>
      </c>
      <c r="B34" s="42" t="s">
        <v>99</v>
      </c>
      <c r="C34" s="48">
        <v>0.2</v>
      </c>
      <c r="D34" s="44">
        <f t="shared" ref="D34:D42" si="1">$C34*(D$19+D$27)</f>
        <v>775.46004080000012</v>
      </c>
    </row>
    <row r="35" spans="1:4">
      <c r="A35" s="36" t="s">
        <v>77</v>
      </c>
      <c r="B35" s="42" t="s">
        <v>100</v>
      </c>
      <c r="C35" s="48">
        <v>2.5000000000000001E-2</v>
      </c>
      <c r="D35" s="44">
        <f>$C35*(D$19+D$27)</f>
        <v>96.932505100000014</v>
      </c>
    </row>
    <row r="36" spans="1:4">
      <c r="A36" s="36" t="s">
        <v>80</v>
      </c>
      <c r="B36" s="42" t="s">
        <v>101</v>
      </c>
      <c r="C36" s="48">
        <v>0.03</v>
      </c>
      <c r="D36" s="44">
        <f t="shared" si="1"/>
        <v>116.31900612</v>
      </c>
    </row>
    <row r="37" spans="1:4">
      <c r="A37" s="36" t="s">
        <v>81</v>
      </c>
      <c r="B37" s="42" t="s">
        <v>102</v>
      </c>
      <c r="C37" s="48">
        <v>1.4999999999999999E-2</v>
      </c>
      <c r="D37" s="44">
        <f t="shared" si="1"/>
        <v>58.159503059999999</v>
      </c>
    </row>
    <row r="38" spans="1:4">
      <c r="A38" s="36" t="s">
        <v>83</v>
      </c>
      <c r="B38" s="42" t="s">
        <v>103</v>
      </c>
      <c r="C38" s="48">
        <v>0.01</v>
      </c>
      <c r="D38" s="44">
        <f t="shared" si="1"/>
        <v>38.773002040000002</v>
      </c>
    </row>
    <row r="39" spans="1:4">
      <c r="A39" s="36" t="s">
        <v>85</v>
      </c>
      <c r="B39" s="42" t="s">
        <v>104</v>
      </c>
      <c r="C39" s="48">
        <v>6.0000000000000001E-3</v>
      </c>
      <c r="D39" s="44">
        <f t="shared" si="1"/>
        <v>23.263801224000002</v>
      </c>
    </row>
    <row r="40" spans="1:4">
      <c r="A40" s="36" t="s">
        <v>105</v>
      </c>
      <c r="B40" s="42" t="s">
        <v>106</v>
      </c>
      <c r="C40" s="48">
        <v>2E-3</v>
      </c>
      <c r="D40" s="44">
        <f t="shared" si="1"/>
        <v>7.7546004080000008</v>
      </c>
    </row>
    <row r="41" spans="1:4">
      <c r="A41" s="36" t="s">
        <v>107</v>
      </c>
      <c r="B41" s="42" t="s">
        <v>108</v>
      </c>
      <c r="C41" s="48">
        <v>0.08</v>
      </c>
      <c r="D41" s="44">
        <f t="shared" si="1"/>
        <v>310.18401632000001</v>
      </c>
    </row>
    <row r="42" spans="1:4">
      <c r="A42" s="36" t="s">
        <v>24</v>
      </c>
      <c r="B42" s="42" t="s">
        <v>109</v>
      </c>
      <c r="C42" s="48">
        <v>0</v>
      </c>
      <c r="D42" s="44">
        <f t="shared" si="1"/>
        <v>0</v>
      </c>
    </row>
    <row r="43" spans="1:4">
      <c r="A43" s="294" t="s">
        <v>87</v>
      </c>
      <c r="B43" s="294"/>
      <c r="C43" s="61">
        <f>SUM(C34:C42)</f>
        <v>0.36800000000000005</v>
      </c>
      <c r="D43" s="46">
        <f>SUM(D34:D42)</f>
        <v>1426.846475072</v>
      </c>
    </row>
    <row r="44" spans="1:4" ht="25.15" customHeight="1">
      <c r="A44" s="293" t="s">
        <v>110</v>
      </c>
      <c r="B44" s="293"/>
      <c r="C44" s="293"/>
      <c r="D44" s="293"/>
    </row>
    <row r="45" spans="1:4" ht="32.450000000000003" customHeight="1">
      <c r="A45" s="293" t="s">
        <v>111</v>
      </c>
      <c r="B45" s="293"/>
      <c r="C45" s="293"/>
      <c r="D45" s="293"/>
    </row>
    <row r="46" spans="1:4" ht="27" customHeight="1">
      <c r="A46" s="293" t="s">
        <v>112</v>
      </c>
      <c r="B46" s="293"/>
      <c r="C46" s="293"/>
      <c r="D46" s="293"/>
    </row>
    <row r="47" spans="1:4" ht="13.15" customHeight="1">
      <c r="A47" s="293" t="s">
        <v>113</v>
      </c>
      <c r="B47" s="293"/>
      <c r="C47" s="293"/>
      <c r="D47" s="293"/>
    </row>
    <row r="48" spans="1:4" ht="19.149999999999999" customHeight="1">
      <c r="A48" s="293" t="s">
        <v>114</v>
      </c>
      <c r="B48" s="293"/>
      <c r="C48" s="293"/>
      <c r="D48" s="293"/>
    </row>
    <row r="50" spans="1:4">
      <c r="A50" s="299" t="s">
        <v>115</v>
      </c>
      <c r="B50" s="299"/>
      <c r="C50" s="299"/>
      <c r="D50" s="299"/>
    </row>
    <row r="51" spans="1:4">
      <c r="A51" s="33" t="s">
        <v>116</v>
      </c>
      <c r="B51" s="33" t="s">
        <v>117</v>
      </c>
      <c r="C51" s="33" t="s">
        <v>118</v>
      </c>
      <c r="D51" s="33" t="s">
        <v>74</v>
      </c>
    </row>
    <row r="52" spans="1:4">
      <c r="A52" s="36" t="s">
        <v>75</v>
      </c>
      <c r="B52" s="26" t="s">
        <v>554</v>
      </c>
      <c r="C52" s="34">
        <v>15</v>
      </c>
      <c r="D52" s="44">
        <f>ROUND((((3.8+5.5)*2*C52)-6%*D13),2)</f>
        <v>105.4</v>
      </c>
    </row>
    <row r="53" spans="1:4" ht="25.5">
      <c r="A53" s="36" t="s">
        <v>77</v>
      </c>
      <c r="B53" s="26" t="s">
        <v>592</v>
      </c>
      <c r="C53" s="34">
        <v>15</v>
      </c>
      <c r="D53" s="44">
        <f>C53*(24.25*0.91)</f>
        <v>331.01249999999999</v>
      </c>
    </row>
    <row r="54" spans="1:4">
      <c r="A54" s="36" t="s">
        <v>80</v>
      </c>
      <c r="B54" s="235" t="s">
        <v>591</v>
      </c>
      <c r="C54" s="34">
        <v>15</v>
      </c>
      <c r="D54" s="44">
        <f>5.75*C54</f>
        <v>86.25</v>
      </c>
    </row>
    <row r="55" spans="1:4">
      <c r="A55" s="36" t="s">
        <v>81</v>
      </c>
      <c r="B55" s="42" t="s">
        <v>120</v>
      </c>
      <c r="C55" s="51"/>
      <c r="D55" s="44"/>
    </row>
    <row r="56" spans="1:4">
      <c r="A56" s="36" t="s">
        <v>83</v>
      </c>
      <c r="B56" s="42" t="s">
        <v>121</v>
      </c>
      <c r="C56" s="51"/>
      <c r="D56" s="44"/>
    </row>
    <row r="57" spans="1:4">
      <c r="A57" s="300" t="s">
        <v>87</v>
      </c>
      <c r="B57" s="300"/>
      <c r="C57" s="300"/>
      <c r="D57" s="76">
        <f>SUM(D52:D56)</f>
        <v>522.66250000000002</v>
      </c>
    </row>
    <row r="58" spans="1:4">
      <c r="A58" s="293" t="s">
        <v>122</v>
      </c>
      <c r="B58" s="293"/>
      <c r="C58" s="293"/>
      <c r="D58" s="293"/>
    </row>
    <row r="59" spans="1:4">
      <c r="A59" s="293" t="s">
        <v>123</v>
      </c>
      <c r="B59" s="293"/>
      <c r="C59" s="293"/>
      <c r="D59" s="293"/>
    </row>
    <row r="61" spans="1:4">
      <c r="A61" s="298" t="s">
        <v>124</v>
      </c>
      <c r="B61" s="298"/>
      <c r="C61" s="298"/>
      <c r="D61" s="298"/>
    </row>
    <row r="62" spans="1:4">
      <c r="A62" s="35">
        <v>2</v>
      </c>
      <c r="B62" s="294" t="s">
        <v>125</v>
      </c>
      <c r="C62" s="294"/>
      <c r="D62" s="35" t="s">
        <v>74</v>
      </c>
    </row>
    <row r="63" spans="1:4">
      <c r="A63" s="36" t="s">
        <v>90</v>
      </c>
      <c r="B63" s="275" t="s">
        <v>595</v>
      </c>
      <c r="C63" s="275"/>
      <c r="D63" s="44">
        <f>D27</f>
        <v>419.13020399999999</v>
      </c>
    </row>
    <row r="64" spans="1:4">
      <c r="A64" s="36" t="s">
        <v>97</v>
      </c>
      <c r="B64" s="274" t="s">
        <v>98</v>
      </c>
      <c r="C64" s="274"/>
      <c r="D64" s="44">
        <f>D43</f>
        <v>1426.846475072</v>
      </c>
    </row>
    <row r="65" spans="1:4">
      <c r="A65" s="36" t="s">
        <v>116</v>
      </c>
      <c r="B65" s="274" t="s">
        <v>117</v>
      </c>
      <c r="C65" s="274"/>
      <c r="D65" s="44">
        <f>D57</f>
        <v>522.66250000000002</v>
      </c>
    </row>
    <row r="66" spans="1:4">
      <c r="A66" s="294" t="s">
        <v>87</v>
      </c>
      <c r="B66" s="294"/>
      <c r="C66" s="294"/>
      <c r="D66" s="46">
        <f>SUM(D63:D65)</f>
        <v>2368.6391790719999</v>
      </c>
    </row>
    <row r="68" spans="1:4">
      <c r="A68" s="277" t="s">
        <v>126</v>
      </c>
      <c r="B68" s="277"/>
      <c r="C68" s="277"/>
      <c r="D68" s="277"/>
    </row>
    <row r="69" spans="1:4">
      <c r="A69" s="35">
        <v>3</v>
      </c>
      <c r="B69" s="35" t="s">
        <v>127</v>
      </c>
      <c r="C69" s="35" t="s">
        <v>91</v>
      </c>
      <c r="D69" s="35" t="s">
        <v>74</v>
      </c>
    </row>
    <row r="70" spans="1:4">
      <c r="A70" s="36" t="s">
        <v>75</v>
      </c>
      <c r="B70" s="26" t="s">
        <v>128</v>
      </c>
      <c r="C70" s="78">
        <v>4.1999999999999997E-3</v>
      </c>
      <c r="D70" s="60">
        <f t="shared" ref="D70:D76" si="2">$C70*(D$19+D$27)</f>
        <v>16.284660856799999</v>
      </c>
    </row>
    <row r="71" spans="1:4">
      <c r="A71" s="36" t="s">
        <v>77</v>
      </c>
      <c r="B71" s="26" t="s">
        <v>129</v>
      </c>
      <c r="C71" s="78">
        <v>2.9999999999999997E-4</v>
      </c>
      <c r="D71" s="60">
        <f t="shared" si="2"/>
        <v>1.1631900611999999</v>
      </c>
    </row>
    <row r="72" spans="1:4">
      <c r="A72" s="36" t="s">
        <v>80</v>
      </c>
      <c r="B72" s="26" t="s">
        <v>130</v>
      </c>
      <c r="C72" s="79">
        <v>9.9999999999999995E-7</v>
      </c>
      <c r="D72" s="60">
        <f t="shared" si="2"/>
        <v>3.8773002039999998E-3</v>
      </c>
    </row>
    <row r="73" spans="1:4">
      <c r="A73" s="36" t="s">
        <v>81</v>
      </c>
      <c r="B73" s="26" t="s">
        <v>131</v>
      </c>
      <c r="C73" s="80">
        <v>1.9400000000000001E-2</v>
      </c>
      <c r="D73" s="60">
        <f t="shared" si="2"/>
        <v>75.219623957600007</v>
      </c>
    </row>
    <row r="74" spans="1:4" ht="25.5">
      <c r="A74" s="36" t="s">
        <v>83</v>
      </c>
      <c r="B74" s="26" t="s">
        <v>132</v>
      </c>
      <c r="C74" s="78">
        <v>7.1000000000000004E-3</v>
      </c>
      <c r="D74" s="60">
        <f t="shared" si="2"/>
        <v>27.528831448400002</v>
      </c>
    </row>
    <row r="75" spans="1:4">
      <c r="A75" s="36" t="s">
        <v>85</v>
      </c>
      <c r="B75" s="26" t="s">
        <v>133</v>
      </c>
      <c r="C75" s="78">
        <v>1E-4</v>
      </c>
      <c r="D75" s="60">
        <f t="shared" si="2"/>
        <v>0.38773002040000004</v>
      </c>
    </row>
    <row r="76" spans="1:4">
      <c r="A76" s="36" t="s">
        <v>105</v>
      </c>
      <c r="B76" s="56" t="s">
        <v>134</v>
      </c>
      <c r="C76" s="78">
        <v>3.49E-2</v>
      </c>
      <c r="D76" s="60">
        <f t="shared" si="2"/>
        <v>135.31777711960001</v>
      </c>
    </row>
    <row r="77" spans="1:4">
      <c r="A77" s="296" t="s">
        <v>87</v>
      </c>
      <c r="B77" s="297"/>
      <c r="C77" s="81">
        <f t="shared" ref="C77:D77" si="3">SUM(C70:C76)</f>
        <v>6.6001000000000004E-2</v>
      </c>
      <c r="D77" s="40">
        <f t="shared" si="3"/>
        <v>255.905690764204</v>
      </c>
    </row>
    <row r="78" spans="1:4" ht="29.45" customHeight="1">
      <c r="A78" s="293" t="s">
        <v>135</v>
      </c>
      <c r="B78" s="293"/>
      <c r="C78" s="293"/>
      <c r="D78" s="293"/>
    </row>
    <row r="79" spans="1:4" ht="16.899999999999999" customHeight="1">
      <c r="A79" s="293" t="s">
        <v>136</v>
      </c>
      <c r="B79" s="293"/>
      <c r="C79" s="293"/>
      <c r="D79" s="293"/>
    </row>
    <row r="81" spans="1:18">
      <c r="A81" s="277" t="s">
        <v>137</v>
      </c>
      <c r="B81" s="277"/>
      <c r="C81" s="277"/>
      <c r="D81" s="277"/>
    </row>
    <row r="82" spans="1:18">
      <c r="A82" s="275" t="s">
        <v>138</v>
      </c>
      <c r="B82" s="275"/>
      <c r="C82" s="275"/>
      <c r="D82" s="275"/>
    </row>
    <row r="83" spans="1:18">
      <c r="R83" s="32">
        <f>148.15*12</f>
        <v>1777.8000000000002</v>
      </c>
    </row>
    <row r="84" spans="1:18">
      <c r="A84" s="299" t="s">
        <v>139</v>
      </c>
      <c r="B84" s="299"/>
      <c r="C84" s="299"/>
      <c r="D84" s="299"/>
    </row>
    <row r="85" spans="1:18">
      <c r="A85" s="33" t="s">
        <v>140</v>
      </c>
      <c r="B85" s="33" t="s">
        <v>141</v>
      </c>
      <c r="C85" s="33" t="s">
        <v>91</v>
      </c>
      <c r="D85" s="33" t="s">
        <v>74</v>
      </c>
    </row>
    <row r="86" spans="1:18">
      <c r="A86" s="36" t="s">
        <v>75</v>
      </c>
      <c r="B86" s="26" t="s">
        <v>142</v>
      </c>
      <c r="C86" s="204">
        <v>9.0899999999999995E-2</v>
      </c>
      <c r="D86" s="44">
        <f>$C86*(D$19+D$27)</f>
        <v>352.4465885436</v>
      </c>
    </row>
    <row r="87" spans="1:18">
      <c r="A87" s="36" t="s">
        <v>77</v>
      </c>
      <c r="B87" s="26" t="s">
        <v>143</v>
      </c>
      <c r="C87" s="48">
        <v>8.2000000000000007E-3</v>
      </c>
      <c r="D87" s="44">
        <f t="shared" ref="D87:D91" si="4">$C87*(D$19+D$27)</f>
        <v>31.793861672800002</v>
      </c>
    </row>
    <row r="88" spans="1:18">
      <c r="A88" s="36" t="s">
        <v>80</v>
      </c>
      <c r="B88" s="26" t="s">
        <v>144</v>
      </c>
      <c r="C88" s="48">
        <v>2.0000000000000001E-4</v>
      </c>
      <c r="D88" s="44">
        <f t="shared" si="4"/>
        <v>0.77546004080000008</v>
      </c>
    </row>
    <row r="89" spans="1:18">
      <c r="A89" s="36" t="s">
        <v>81</v>
      </c>
      <c r="B89" s="26" t="s">
        <v>145</v>
      </c>
      <c r="C89" s="48">
        <v>2.9999999999999997E-4</v>
      </c>
      <c r="D89" s="44">
        <f t="shared" si="4"/>
        <v>1.1631900611999999</v>
      </c>
    </row>
    <row r="90" spans="1:18">
      <c r="A90" s="36" t="s">
        <v>83</v>
      </c>
      <c r="B90" s="26" t="s">
        <v>146</v>
      </c>
      <c r="C90" s="48">
        <v>2.8999999999999998E-3</v>
      </c>
      <c r="D90" s="44">
        <f t="shared" si="4"/>
        <v>11.2441705916</v>
      </c>
    </row>
    <row r="91" spans="1:18">
      <c r="A91" s="36" t="s">
        <v>85</v>
      </c>
      <c r="B91" s="26" t="s">
        <v>147</v>
      </c>
      <c r="C91" s="48">
        <v>1.66E-2</v>
      </c>
      <c r="D91" s="44">
        <f t="shared" si="4"/>
        <v>64.363183386399996</v>
      </c>
    </row>
    <row r="92" spans="1:18">
      <c r="A92" s="296" t="s">
        <v>87</v>
      </c>
      <c r="B92" s="297"/>
      <c r="C92" s="45">
        <f t="shared" ref="C92:D92" si="5">SUM(C86:C91)</f>
        <v>0.1191</v>
      </c>
      <c r="D92" s="82">
        <f t="shared" si="5"/>
        <v>461.7864542964</v>
      </c>
    </row>
    <row r="93" spans="1:18" ht="23.45" customHeight="1">
      <c r="A93" s="293" t="s">
        <v>148</v>
      </c>
      <c r="B93" s="293"/>
      <c r="C93" s="293"/>
      <c r="D93" s="293"/>
    </row>
    <row r="95" spans="1:18">
      <c r="A95" s="300" t="s">
        <v>149</v>
      </c>
      <c r="B95" s="300"/>
      <c r="C95" s="300"/>
      <c r="D95" s="300"/>
    </row>
    <row r="96" spans="1:18">
      <c r="A96" s="33" t="s">
        <v>150</v>
      </c>
      <c r="B96" s="33" t="s">
        <v>151</v>
      </c>
      <c r="C96" s="33" t="s">
        <v>74</v>
      </c>
      <c r="D96" s="33"/>
    </row>
    <row r="97" spans="1:4">
      <c r="A97" s="36" t="s">
        <v>75</v>
      </c>
      <c r="B97" s="26" t="s">
        <v>152</v>
      </c>
      <c r="C97" s="57"/>
      <c r="D97" s="58"/>
    </row>
    <row r="98" spans="1:4">
      <c r="A98" s="300" t="s">
        <v>87</v>
      </c>
      <c r="B98" s="300"/>
      <c r="C98" s="44">
        <f>SUM(C97)</f>
        <v>0</v>
      </c>
      <c r="D98" s="58"/>
    </row>
    <row r="100" spans="1:4">
      <c r="A100" s="298" t="s">
        <v>153</v>
      </c>
      <c r="B100" s="298"/>
      <c r="C100" s="298"/>
      <c r="D100" s="298"/>
    </row>
    <row r="101" spans="1:4">
      <c r="A101" s="35">
        <v>4</v>
      </c>
      <c r="B101" s="294" t="s">
        <v>154</v>
      </c>
      <c r="C101" s="294"/>
      <c r="D101" s="35" t="s">
        <v>74</v>
      </c>
    </row>
    <row r="102" spans="1:4">
      <c r="A102" s="36" t="s">
        <v>140</v>
      </c>
      <c r="B102" s="274" t="s">
        <v>141</v>
      </c>
      <c r="C102" s="274"/>
      <c r="D102" s="44">
        <f>D92</f>
        <v>461.7864542964</v>
      </c>
    </row>
    <row r="103" spans="1:4">
      <c r="A103" s="36" t="s">
        <v>150</v>
      </c>
      <c r="B103" s="42" t="s">
        <v>155</v>
      </c>
      <c r="C103" s="42"/>
      <c r="D103" s="57">
        <f>C98</f>
        <v>0</v>
      </c>
    </row>
    <row r="104" spans="1:4">
      <c r="A104" s="294" t="s">
        <v>87</v>
      </c>
      <c r="B104" s="294"/>
      <c r="C104" s="294"/>
      <c r="D104" s="46">
        <f>SUM(D102:D103)</f>
        <v>461.7864542964</v>
      </c>
    </row>
    <row r="106" spans="1:4">
      <c r="A106" s="298" t="s">
        <v>156</v>
      </c>
      <c r="B106" s="298"/>
      <c r="C106" s="298"/>
      <c r="D106" s="298"/>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EPIS'!$E$70+'TABELA 5 - Ferramentas'!$I$145</f>
        <v>141.88202898550725</v>
      </c>
    </row>
    <row r="110" spans="1:4">
      <c r="A110" s="36" t="s">
        <v>80</v>
      </c>
      <c r="B110" s="274" t="s">
        <v>160</v>
      </c>
      <c r="C110" s="274"/>
      <c r="D110" s="44">
        <v>0</v>
      </c>
    </row>
    <row r="111" spans="1:4">
      <c r="A111" s="36" t="s">
        <v>81</v>
      </c>
      <c r="B111" s="274" t="s">
        <v>86</v>
      </c>
      <c r="C111" s="274"/>
      <c r="D111" s="44">
        <v>0</v>
      </c>
    </row>
    <row r="112" spans="1:4">
      <c r="A112" s="294" t="s">
        <v>87</v>
      </c>
      <c r="B112" s="294"/>
      <c r="C112" s="294"/>
      <c r="D112" s="82">
        <f>SUM(D108:D111)</f>
        <v>239.57369565217391</v>
      </c>
    </row>
    <row r="113" spans="1:4">
      <c r="A113" s="293" t="s">
        <v>161</v>
      </c>
      <c r="B113" s="293"/>
      <c r="C113" s="293"/>
      <c r="D113" s="293"/>
    </row>
    <row r="115" spans="1:4">
      <c r="A115" s="277" t="s">
        <v>162</v>
      </c>
      <c r="B115" s="277"/>
      <c r="C115" s="277"/>
      <c r="D115" s="277"/>
    </row>
    <row r="116" spans="1:4" ht="12.75" customHeight="1">
      <c r="A116" s="302" t="s">
        <v>163</v>
      </c>
      <c r="B116" s="302"/>
      <c r="C116" s="303" t="s">
        <v>545</v>
      </c>
      <c r="D116" s="303"/>
    </row>
    <row r="117" spans="1:4">
      <c r="A117" s="35">
        <v>6</v>
      </c>
      <c r="B117" s="35" t="s">
        <v>164</v>
      </c>
      <c r="C117" s="190" t="s">
        <v>91</v>
      </c>
      <c r="D117" s="190" t="s">
        <v>74</v>
      </c>
    </row>
    <row r="118" spans="1:4">
      <c r="A118" s="36" t="s">
        <v>75</v>
      </c>
      <c r="B118" s="42" t="s">
        <v>165</v>
      </c>
      <c r="C118" s="191">
        <v>0.05</v>
      </c>
      <c r="D118" s="192">
        <f>$C118*D$138</f>
        <v>339.20375098923893</v>
      </c>
    </row>
    <row r="119" spans="1:4">
      <c r="A119" s="36" t="s">
        <v>77</v>
      </c>
      <c r="B119" s="42" t="s">
        <v>166</v>
      </c>
      <c r="C119" s="191">
        <v>6.7900000000000002E-2</v>
      </c>
      <c r="D119" s="192">
        <f>$C119*(D$138+D118)</f>
        <v>483.67062853555581</v>
      </c>
    </row>
    <row r="120" spans="1:4">
      <c r="A120" s="36" t="s">
        <v>80</v>
      </c>
      <c r="B120" s="186" t="s">
        <v>167</v>
      </c>
      <c r="C120" s="193">
        <f>SUM(C121:C123)</f>
        <v>0.14250000000000002</v>
      </c>
      <c r="D120" s="192">
        <f>(D$138+D$119+D$118)*($C120/IF($C116="Lucro presumido",91.45%,85.75%))</f>
        <v>1264.1286173779756</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c r="A124" s="36" t="s">
        <v>81</v>
      </c>
      <c r="B124" s="26" t="s">
        <v>174</v>
      </c>
      <c r="C124" s="195">
        <v>0</v>
      </c>
      <c r="D124" s="196">
        <f>(D$138+D$119+D$118)*($C124/IF($C116="Lucro presumido",91.45%,85.75%))</f>
        <v>0</v>
      </c>
    </row>
    <row r="125" spans="1:4">
      <c r="A125" s="294" t="s">
        <v>87</v>
      </c>
      <c r="B125" s="294"/>
      <c r="C125" s="197">
        <f>SUM(C118:C120)+(C124)</f>
        <v>0.26040000000000002</v>
      </c>
      <c r="D125" s="198">
        <f>SUM(D118:D124)</f>
        <v>2087.0029969027701</v>
      </c>
    </row>
    <row r="126" spans="1:4">
      <c r="A126" s="293" t="s">
        <v>175</v>
      </c>
      <c r="B126" s="293"/>
      <c r="C126" s="293"/>
      <c r="D126" s="293"/>
    </row>
    <row r="127" spans="1:4" ht="32.450000000000003" customHeight="1">
      <c r="A127" s="293" t="s">
        <v>176</v>
      </c>
      <c r="B127" s="293"/>
      <c r="C127" s="293"/>
      <c r="D127" s="293"/>
    </row>
    <row r="128" spans="1:4" ht="32.450000000000003" customHeight="1">
      <c r="A128" s="293" t="s">
        <v>560</v>
      </c>
      <c r="B128" s="293"/>
      <c r="C128" s="293"/>
      <c r="D128" s="293"/>
    </row>
    <row r="129" spans="1:8" ht="16.149999999999999" customHeight="1">
      <c r="A129" s="304" t="s">
        <v>559</v>
      </c>
      <c r="B129" s="304"/>
      <c r="C129" s="304"/>
      <c r="D129" s="304"/>
    </row>
    <row r="131" spans="1:8">
      <c r="A131" s="298" t="s">
        <v>177</v>
      </c>
      <c r="B131" s="298"/>
      <c r="C131" s="298"/>
      <c r="D131" s="298"/>
    </row>
    <row r="132" spans="1:8">
      <c r="A132" s="300" t="s">
        <v>178</v>
      </c>
      <c r="B132" s="300"/>
      <c r="C132" s="300"/>
      <c r="D132" s="33" t="s">
        <v>179</v>
      </c>
    </row>
    <row r="133" spans="1:8">
      <c r="A133" s="36" t="s">
        <v>75</v>
      </c>
      <c r="B133" s="275" t="s">
        <v>72</v>
      </c>
      <c r="C133" s="275"/>
      <c r="D133" s="44">
        <f>D19</f>
        <v>3458.17</v>
      </c>
    </row>
    <row r="134" spans="1:8">
      <c r="A134" s="36" t="s">
        <v>77</v>
      </c>
      <c r="B134" s="275" t="s">
        <v>89</v>
      </c>
      <c r="C134" s="275"/>
      <c r="D134" s="44">
        <f>D66</f>
        <v>2368.6391790719999</v>
      </c>
    </row>
    <row r="135" spans="1:8">
      <c r="A135" s="36" t="s">
        <v>80</v>
      </c>
      <c r="B135" s="275" t="s">
        <v>126</v>
      </c>
      <c r="C135" s="275"/>
      <c r="D135" s="44">
        <f>D77</f>
        <v>255.905690764204</v>
      </c>
    </row>
    <row r="136" spans="1:8">
      <c r="A136" s="36" t="s">
        <v>81</v>
      </c>
      <c r="B136" s="275" t="s">
        <v>137</v>
      </c>
      <c r="C136" s="275"/>
      <c r="D136" s="44">
        <f>D104</f>
        <v>461.7864542964</v>
      </c>
    </row>
    <row r="137" spans="1:8">
      <c r="A137" s="36" t="s">
        <v>83</v>
      </c>
      <c r="B137" s="275" t="s">
        <v>156</v>
      </c>
      <c r="C137" s="275"/>
      <c r="D137" s="44">
        <f>D112</f>
        <v>239.57369565217391</v>
      </c>
    </row>
    <row r="138" spans="1:8">
      <c r="A138" s="294" t="s">
        <v>180</v>
      </c>
      <c r="B138" s="294"/>
      <c r="C138" s="294"/>
      <c r="D138" s="46">
        <f>SUM(D133:D137)</f>
        <v>6784.0750197847783</v>
      </c>
    </row>
    <row r="139" spans="1:8">
      <c r="A139" s="36" t="s">
        <v>85</v>
      </c>
      <c r="B139" s="274" t="s">
        <v>162</v>
      </c>
      <c r="C139" s="274"/>
      <c r="D139" s="44">
        <f>D125</f>
        <v>2087.0029969027701</v>
      </c>
    </row>
    <row r="140" spans="1:8">
      <c r="A140" s="298" t="s">
        <v>181</v>
      </c>
      <c r="B140" s="298"/>
      <c r="C140" s="298"/>
      <c r="D140" s="83">
        <f>SUM(D138:D139)</f>
        <v>8871.0780166875484</v>
      </c>
      <c r="H140" s="32" t="s">
        <v>546</v>
      </c>
    </row>
    <row r="143" spans="1:8" ht="199.15" customHeight="1">
      <c r="A143" s="301" t="s">
        <v>590</v>
      </c>
      <c r="B143" s="301"/>
      <c r="C143" s="301"/>
      <c r="D143" s="301"/>
    </row>
  </sheetData>
  <mergeCells count="83">
    <mergeCell ref="B14:C14"/>
    <mergeCell ref="A1:D1"/>
    <mergeCell ref="A3:D3"/>
    <mergeCell ref="C4:D4"/>
    <mergeCell ref="C5:D5"/>
    <mergeCell ref="C6:D6"/>
    <mergeCell ref="C7:D7"/>
    <mergeCell ref="C8:D8"/>
    <mergeCell ref="C9:D9"/>
    <mergeCell ref="A11:D11"/>
    <mergeCell ref="B12:C12"/>
    <mergeCell ref="B13:C13"/>
    <mergeCell ref="A30:D30"/>
    <mergeCell ref="B15:C15"/>
    <mergeCell ref="B16:C16"/>
    <mergeCell ref="B17:C17"/>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A140:C140"/>
    <mergeCell ref="A143:D143"/>
    <mergeCell ref="B134:C134"/>
    <mergeCell ref="B135:C135"/>
    <mergeCell ref="B136:C136"/>
    <mergeCell ref="B137:C137"/>
    <mergeCell ref="A138:C138"/>
    <mergeCell ref="B139:C139"/>
  </mergeCells>
  <dataValidations count="1">
    <dataValidation type="list" allowBlank="1" showInputMessage="1" showErrorMessage="1" sqref="C116:D116" xr:uid="{773E7142-69B2-4F8A-95AE-EF649D29916F}">
      <formula1>"Lucro presumido,Lucro real"</formula1>
    </dataValidation>
  </dataValidations>
  <pageMargins left="0.51181102362204722" right="0.51181102362204722" top="0.78740157480314965" bottom="0.78740157480314965"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rgb="FFFF0000"/>
    <pageSetUpPr fitToPage="1"/>
  </sheetPr>
  <dimension ref="A1:D142"/>
  <sheetViews>
    <sheetView showGridLines="0" zoomScale="145" zoomScaleNormal="145" zoomScaleSheetLayoutView="115" workbookViewId="0">
      <selection activeCell="D14" sqref="D14"/>
    </sheetView>
  </sheetViews>
  <sheetFormatPr defaultColWidth="8.7109375" defaultRowHeight="12.75"/>
  <cols>
    <col min="1" max="1" width="5" style="32" bestFit="1" customWidth="1"/>
    <col min="2" max="2" width="45.7109375" style="32" bestFit="1" customWidth="1"/>
    <col min="3" max="3" width="14.140625" style="32" bestFit="1" customWidth="1"/>
    <col min="4" max="4" width="15.28515625" style="32" bestFit="1" customWidth="1"/>
    <col min="5" max="16384" width="8.7109375" style="32"/>
  </cols>
  <sheetData>
    <row r="1" spans="1:4">
      <c r="A1" s="277" t="s">
        <v>62</v>
      </c>
      <c r="B1" s="277"/>
      <c r="C1" s="277"/>
      <c r="D1" s="277"/>
    </row>
    <row r="3" spans="1:4">
      <c r="A3" s="292" t="s">
        <v>63</v>
      </c>
      <c r="B3" s="292"/>
      <c r="C3" s="292"/>
      <c r="D3" s="292"/>
    </row>
    <row r="4" spans="1:4" ht="25.5">
      <c r="A4" s="35">
        <v>1</v>
      </c>
      <c r="B4" s="182" t="s">
        <v>64</v>
      </c>
      <c r="C4" s="299" t="s">
        <v>183</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c r="A8" s="34">
        <v>5</v>
      </c>
      <c r="B8" s="26" t="s">
        <v>69</v>
      </c>
      <c r="C8" s="289">
        <v>45047</v>
      </c>
      <c r="D8" s="290"/>
    </row>
    <row r="9" spans="1:4">
      <c r="A9" s="34">
        <v>6</v>
      </c>
      <c r="B9" s="26" t="s">
        <v>70</v>
      </c>
      <c r="C9" s="291" t="s">
        <v>594</v>
      </c>
      <c r="D9" s="290"/>
    </row>
    <row r="11" spans="1:4">
      <c r="A11" s="277" t="s">
        <v>72</v>
      </c>
      <c r="B11" s="277"/>
      <c r="C11" s="277"/>
      <c r="D11" s="277"/>
    </row>
    <row r="12" spans="1:4">
      <c r="A12" s="35">
        <v>1</v>
      </c>
      <c r="B12" s="292" t="s">
        <v>73</v>
      </c>
      <c r="C12" s="292"/>
      <c r="D12" s="35" t="s">
        <v>74</v>
      </c>
    </row>
    <row r="13" spans="1:4">
      <c r="A13" s="36" t="s">
        <v>75</v>
      </c>
      <c r="B13" s="274" t="s">
        <v>76</v>
      </c>
      <c r="C13" s="274"/>
      <c r="D13" s="38">
        <v>2972.46</v>
      </c>
    </row>
    <row r="14" spans="1:4">
      <c r="A14" s="36" t="s">
        <v>77</v>
      </c>
      <c r="B14" s="274" t="s">
        <v>184</v>
      </c>
      <c r="C14" s="274"/>
      <c r="D14" s="39">
        <f>0.3*D13</f>
        <v>891.73799999999994</v>
      </c>
    </row>
    <row r="15" spans="1:4">
      <c r="A15" s="36" t="s">
        <v>80</v>
      </c>
      <c r="B15" s="274" t="s">
        <v>185</v>
      </c>
      <c r="C15" s="274"/>
      <c r="D15" s="39"/>
    </row>
    <row r="16" spans="1:4">
      <c r="A16" s="36" t="s">
        <v>81</v>
      </c>
      <c r="B16" s="274" t="s">
        <v>186</v>
      </c>
      <c r="C16" s="274"/>
      <c r="D16" s="39" t="s">
        <v>79</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3864.1979999999999</v>
      </c>
    </row>
    <row r="20" spans="1:4">
      <c r="A20" s="295" t="s">
        <v>88</v>
      </c>
      <c r="B20" s="295"/>
      <c r="C20" s="295"/>
      <c r="D20" s="295"/>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351.25559819999995</v>
      </c>
    </row>
    <row r="26" spans="1:4">
      <c r="A26" s="36" t="s">
        <v>77</v>
      </c>
      <c r="B26" s="42" t="s">
        <v>589</v>
      </c>
      <c r="C26" s="43">
        <v>3.0300000000000001E-2</v>
      </c>
      <c r="D26" s="44">
        <f>C26*$D$19</f>
        <v>117.08519939999999</v>
      </c>
    </row>
    <row r="27" spans="1:4">
      <c r="A27" s="294" t="s">
        <v>87</v>
      </c>
      <c r="B27" s="294"/>
      <c r="C27" s="45">
        <f t="shared" ref="C27:D27" si="0">SUM(C25:C26)</f>
        <v>0.1212</v>
      </c>
      <c r="D27" s="46">
        <f t="shared" si="0"/>
        <v>468.34079759999997</v>
      </c>
    </row>
    <row r="28" spans="1:4" ht="40.15" customHeight="1">
      <c r="A28" s="293" t="s">
        <v>93</v>
      </c>
      <c r="B28" s="293"/>
      <c r="C28" s="293"/>
      <c r="D28" s="293"/>
    </row>
    <row r="29" spans="1:4" ht="27.6" customHeight="1">
      <c r="A29" s="293" t="s">
        <v>94</v>
      </c>
      <c r="B29" s="293"/>
      <c r="C29" s="293"/>
      <c r="D29" s="293"/>
    </row>
    <row r="30" spans="1:4" ht="27.6" customHeight="1">
      <c r="A30" s="293" t="s">
        <v>95</v>
      </c>
      <c r="B30" s="293"/>
      <c r="C30" s="293"/>
      <c r="D30" s="293"/>
    </row>
    <row r="32" spans="1:4">
      <c r="A32" s="312" t="s">
        <v>96</v>
      </c>
      <c r="B32" s="312"/>
      <c r="C32" s="312"/>
      <c r="D32" s="312"/>
    </row>
    <row r="33" spans="1:4">
      <c r="A33" s="47" t="s">
        <v>97</v>
      </c>
      <c r="B33" s="47" t="s">
        <v>98</v>
      </c>
      <c r="C33" s="47" t="s">
        <v>91</v>
      </c>
      <c r="D33" s="47" t="s">
        <v>74</v>
      </c>
    </row>
    <row r="34" spans="1:4">
      <c r="A34" s="36" t="s">
        <v>75</v>
      </c>
      <c r="B34" s="42" t="s">
        <v>99</v>
      </c>
      <c r="C34" s="48">
        <v>0.2</v>
      </c>
      <c r="D34" s="44">
        <f>C34*($D$19+$D$27)</f>
        <v>866.50775952000004</v>
      </c>
    </row>
    <row r="35" spans="1:4">
      <c r="A35" s="36" t="s">
        <v>77</v>
      </c>
      <c r="B35" s="42" t="s">
        <v>100</v>
      </c>
      <c r="C35" s="48">
        <v>2.5000000000000001E-2</v>
      </c>
      <c r="D35" s="44">
        <f>$C35*(D$19+D$27)</f>
        <v>108.31346994</v>
      </c>
    </row>
    <row r="36" spans="1:4">
      <c r="A36" s="36" t="s">
        <v>80</v>
      </c>
      <c r="B36" s="42" t="s">
        <v>101</v>
      </c>
      <c r="C36" s="48">
        <v>0.03</v>
      </c>
      <c r="D36" s="44">
        <f t="shared" ref="D36:D40" si="1">C36*($D$19+$D$27)</f>
        <v>129.97616392800001</v>
      </c>
    </row>
    <row r="37" spans="1:4">
      <c r="A37" s="36" t="s">
        <v>81</v>
      </c>
      <c r="B37" s="42" t="s">
        <v>102</v>
      </c>
      <c r="C37" s="48">
        <v>1.4999999999999999E-2</v>
      </c>
      <c r="D37" s="44">
        <f t="shared" si="1"/>
        <v>64.988081964000003</v>
      </c>
    </row>
    <row r="38" spans="1:4">
      <c r="A38" s="36" t="s">
        <v>83</v>
      </c>
      <c r="B38" s="42" t="s">
        <v>103</v>
      </c>
      <c r="C38" s="48">
        <v>0.01</v>
      </c>
      <c r="D38" s="44">
        <f t="shared" si="1"/>
        <v>43.325387976000002</v>
      </c>
    </row>
    <row r="39" spans="1:4">
      <c r="A39" s="36" t="s">
        <v>85</v>
      </c>
      <c r="B39" s="42" t="s">
        <v>104</v>
      </c>
      <c r="C39" s="48">
        <v>6.0000000000000001E-3</v>
      </c>
      <c r="D39" s="44">
        <f t="shared" si="1"/>
        <v>25.995232785600003</v>
      </c>
    </row>
    <row r="40" spans="1:4">
      <c r="A40" s="36" t="s">
        <v>105</v>
      </c>
      <c r="B40" s="42" t="s">
        <v>106</v>
      </c>
      <c r="C40" s="48">
        <v>2E-3</v>
      </c>
      <c r="D40" s="44">
        <f t="shared" si="1"/>
        <v>8.6650775952000014</v>
      </c>
    </row>
    <row r="41" spans="1:4">
      <c r="A41" s="36" t="s">
        <v>107</v>
      </c>
      <c r="B41" s="42" t="s">
        <v>108</v>
      </c>
      <c r="C41" s="48">
        <v>0.08</v>
      </c>
      <c r="D41" s="44">
        <f>C41*($D$19+$D$27)</f>
        <v>346.60310380800001</v>
      </c>
    </row>
    <row r="42" spans="1:4">
      <c r="A42" s="36" t="s">
        <v>24</v>
      </c>
      <c r="B42" s="42" t="s">
        <v>109</v>
      </c>
      <c r="C42" s="48">
        <v>0</v>
      </c>
      <c r="D42" s="44">
        <f>C42*($D$19+$D$27)</f>
        <v>0</v>
      </c>
    </row>
    <row r="43" spans="1:4">
      <c r="A43" s="313" t="s">
        <v>87</v>
      </c>
      <c r="B43" s="313"/>
      <c r="C43" s="49">
        <f>SUM(C34:C42)</f>
        <v>0.36800000000000005</v>
      </c>
      <c r="D43" s="50">
        <f>SUM(D34:D42)</f>
        <v>1594.3742775168</v>
      </c>
    </row>
    <row r="44" spans="1:4" ht="24.6" customHeight="1">
      <c r="A44" s="293" t="s">
        <v>110</v>
      </c>
      <c r="B44" s="293"/>
      <c r="C44" s="293"/>
      <c r="D44" s="293"/>
    </row>
    <row r="45" spans="1:4" ht="24.6" customHeight="1">
      <c r="A45" s="293" t="s">
        <v>111</v>
      </c>
      <c r="B45" s="293"/>
      <c r="C45" s="293"/>
      <c r="D45" s="293"/>
    </row>
    <row r="46" spans="1:4" ht="24.6" customHeight="1">
      <c r="A46" s="293" t="s">
        <v>112</v>
      </c>
      <c r="B46" s="293"/>
      <c r="C46" s="293"/>
      <c r="D46" s="293"/>
    </row>
    <row r="47" spans="1:4" ht="24.6" customHeight="1">
      <c r="A47" s="293" t="s">
        <v>113</v>
      </c>
      <c r="B47" s="293"/>
      <c r="C47" s="293"/>
      <c r="D47" s="293"/>
    </row>
    <row r="48" spans="1:4" ht="24.6" customHeight="1">
      <c r="A48" s="293" t="s">
        <v>114</v>
      </c>
      <c r="B48" s="293"/>
      <c r="C48" s="293"/>
      <c r="D48" s="293"/>
    </row>
    <row r="50" spans="1:4">
      <c r="A50" s="299" t="s">
        <v>115</v>
      </c>
      <c r="B50" s="299"/>
      <c r="C50" s="299"/>
      <c r="D50" s="299"/>
    </row>
    <row r="51" spans="1:4">
      <c r="A51" s="33" t="s">
        <v>116</v>
      </c>
      <c r="B51" s="33" t="s">
        <v>117</v>
      </c>
      <c r="C51" s="33" t="s">
        <v>118</v>
      </c>
      <c r="D51" s="33" t="s">
        <v>74</v>
      </c>
    </row>
    <row r="52" spans="1:4" ht="25.5">
      <c r="A52" s="36" t="s">
        <v>75</v>
      </c>
      <c r="B52" s="26" t="s">
        <v>554</v>
      </c>
      <c r="C52" s="34">
        <v>22</v>
      </c>
      <c r="D52" s="44">
        <f>ROUND((((3.8+5.5)*2*C52)-6%*D13),2)</f>
        <v>230.85</v>
      </c>
    </row>
    <row r="53" spans="1:4" ht="38.25">
      <c r="A53" s="36" t="s">
        <v>77</v>
      </c>
      <c r="B53" s="26" t="s">
        <v>592</v>
      </c>
      <c r="C53" s="51">
        <v>22</v>
      </c>
      <c r="D53" s="44">
        <f>C53*(24.25*0.91)</f>
        <v>485.48499999999996</v>
      </c>
    </row>
    <row r="54" spans="1:4" ht="25.5">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842.83499999999992</v>
      </c>
    </row>
    <row r="58" spans="1:4" ht="30.6" customHeight="1">
      <c r="A58" s="293" t="s">
        <v>122</v>
      </c>
      <c r="B58" s="293"/>
      <c r="C58" s="293"/>
      <c r="D58" s="293"/>
    </row>
    <row r="59" spans="1:4" ht="25.9" customHeight="1">
      <c r="A59" s="293" t="s">
        <v>123</v>
      </c>
      <c r="B59" s="293"/>
      <c r="C59" s="293"/>
      <c r="D59" s="293"/>
    </row>
    <row r="61" spans="1:4">
      <c r="A61" s="277" t="s">
        <v>124</v>
      </c>
      <c r="B61" s="277"/>
      <c r="C61" s="277"/>
      <c r="D61" s="277"/>
    </row>
    <row r="62" spans="1:4">
      <c r="A62" s="35">
        <v>2</v>
      </c>
      <c r="B62" s="294" t="s">
        <v>125</v>
      </c>
      <c r="C62" s="294"/>
      <c r="D62" s="35" t="s">
        <v>74</v>
      </c>
    </row>
    <row r="63" spans="1:4">
      <c r="A63" s="36" t="s">
        <v>90</v>
      </c>
      <c r="B63" s="275" t="s">
        <v>595</v>
      </c>
      <c r="C63" s="275"/>
      <c r="D63" s="44">
        <f>D27</f>
        <v>468.34079759999997</v>
      </c>
    </row>
    <row r="64" spans="1:4">
      <c r="A64" s="36" t="s">
        <v>97</v>
      </c>
      <c r="B64" s="274" t="s">
        <v>98</v>
      </c>
      <c r="C64" s="274"/>
      <c r="D64" s="44">
        <f>D43</f>
        <v>1594.3742775168</v>
      </c>
    </row>
    <row r="65" spans="1:4">
      <c r="A65" s="36" t="s">
        <v>116</v>
      </c>
      <c r="B65" s="274" t="s">
        <v>117</v>
      </c>
      <c r="C65" s="274"/>
      <c r="D65" s="44">
        <f>D57</f>
        <v>842.83499999999992</v>
      </c>
    </row>
    <row r="66" spans="1:4">
      <c r="A66" s="296" t="s">
        <v>87</v>
      </c>
      <c r="B66" s="311"/>
      <c r="C66" s="297"/>
      <c r="D66" s="46">
        <f>SUM(D63:D65)</f>
        <v>2905.5500751168001</v>
      </c>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18.19666294992</v>
      </c>
    </row>
    <row r="71" spans="1:4">
      <c r="A71" s="36" t="s">
        <v>77</v>
      </c>
      <c r="B71" s="26" t="s">
        <v>129</v>
      </c>
      <c r="C71" s="48">
        <v>2.9999999999999997E-4</v>
      </c>
      <c r="D71" s="44">
        <f t="shared" si="2"/>
        <v>1.29976163928</v>
      </c>
    </row>
    <row r="72" spans="1:4" ht="25.5">
      <c r="A72" s="36" t="s">
        <v>80</v>
      </c>
      <c r="B72" s="26" t="s">
        <v>130</v>
      </c>
      <c r="C72" s="53">
        <v>9.9999999999999995E-7</v>
      </c>
      <c r="D72" s="44">
        <f t="shared" si="2"/>
        <v>4.3325387976000003E-3</v>
      </c>
    </row>
    <row r="73" spans="1:4">
      <c r="A73" s="36" t="s">
        <v>81</v>
      </c>
      <c r="B73" s="26" t="s">
        <v>131</v>
      </c>
      <c r="C73" s="54">
        <v>1.9400000000000001E-2</v>
      </c>
      <c r="D73" s="44">
        <f>C73*($D$19+$D$27)</f>
        <v>84.051252673440004</v>
      </c>
    </row>
    <row r="74" spans="1:4" ht="25.5">
      <c r="A74" s="36" t="s">
        <v>83</v>
      </c>
      <c r="B74" s="26" t="s">
        <v>132</v>
      </c>
      <c r="C74" s="48">
        <v>7.1000000000000004E-3</v>
      </c>
      <c r="D74" s="44">
        <f>C74*($D$19+$D$27)</f>
        <v>30.761025462960003</v>
      </c>
    </row>
    <row r="75" spans="1:4" ht="25.5">
      <c r="A75" s="36" t="s">
        <v>85</v>
      </c>
      <c r="B75" s="26" t="s">
        <v>133</v>
      </c>
      <c r="C75" s="48">
        <v>1E-4</v>
      </c>
      <c r="D75" s="44">
        <f t="shared" si="2"/>
        <v>0.43325387976000002</v>
      </c>
    </row>
    <row r="76" spans="1:4">
      <c r="A76" s="55" t="s">
        <v>105</v>
      </c>
      <c r="B76" s="56" t="s">
        <v>134</v>
      </c>
      <c r="C76" s="48">
        <v>3.49E-2</v>
      </c>
      <c r="D76" s="44">
        <f>C76*($D$19+$D$27)</f>
        <v>151.20560403624</v>
      </c>
    </row>
    <row r="77" spans="1:4">
      <c r="A77" s="296" t="s">
        <v>87</v>
      </c>
      <c r="B77" s="297"/>
      <c r="C77" s="45">
        <f t="shared" ref="C77:D77" si="3">SUM(C70:C76)</f>
        <v>6.6001000000000004E-2</v>
      </c>
      <c r="D77" s="46">
        <f t="shared" si="3"/>
        <v>285.95189318039763</v>
      </c>
    </row>
    <row r="78" spans="1:4" ht="22.15" customHeight="1">
      <c r="A78" s="293" t="s">
        <v>135</v>
      </c>
      <c r="B78" s="293"/>
      <c r="C78" s="293"/>
      <c r="D78" s="293"/>
    </row>
    <row r="79" spans="1:4" ht="22.15" customHeight="1">
      <c r="A79" s="293" t="s">
        <v>136</v>
      </c>
      <c r="B79" s="293"/>
      <c r="C79" s="293"/>
      <c r="D79" s="293"/>
    </row>
    <row r="81" spans="1:4">
      <c r="A81" s="277" t="s">
        <v>137</v>
      </c>
      <c r="B81" s="277"/>
      <c r="C81" s="277"/>
      <c r="D81" s="277"/>
    </row>
    <row r="82" spans="1:4" ht="45" customHeight="1">
      <c r="A82" s="275" t="s">
        <v>138</v>
      </c>
      <c r="B82" s="275"/>
      <c r="C82" s="275"/>
      <c r="D82" s="275"/>
    </row>
    <row r="84" spans="1:4">
      <c r="A84" s="299" t="s">
        <v>139</v>
      </c>
      <c r="B84" s="299"/>
      <c r="C84" s="299"/>
      <c r="D84" s="299"/>
    </row>
    <row r="85" spans="1:4">
      <c r="A85" s="33" t="s">
        <v>140</v>
      </c>
      <c r="B85" s="33" t="s">
        <v>141</v>
      </c>
      <c r="C85" s="33" t="s">
        <v>91</v>
      </c>
      <c r="D85" s="33" t="s">
        <v>74</v>
      </c>
    </row>
    <row r="86" spans="1:4">
      <c r="A86" s="36" t="s">
        <v>75</v>
      </c>
      <c r="B86" s="26" t="s">
        <v>142</v>
      </c>
      <c r="C86" s="204">
        <v>9.0899999999999995E-2</v>
      </c>
      <c r="D86" s="44">
        <f>C86*($D$19+$D$27)</f>
        <v>393.82777670183998</v>
      </c>
    </row>
    <row r="87" spans="1:4">
      <c r="A87" s="36" t="s">
        <v>77</v>
      </c>
      <c r="B87" s="26" t="s">
        <v>143</v>
      </c>
      <c r="C87" s="48">
        <v>8.2000000000000007E-3</v>
      </c>
      <c r="D87" s="44">
        <f t="shared" ref="D87:D91" si="4">C87*($D$19+$D$27)</f>
        <v>35.526818140320003</v>
      </c>
    </row>
    <row r="88" spans="1:4">
      <c r="A88" s="36" t="s">
        <v>80</v>
      </c>
      <c r="B88" s="26" t="s">
        <v>144</v>
      </c>
      <c r="C88" s="48">
        <v>2.0000000000000001E-4</v>
      </c>
      <c r="D88" s="44">
        <f t="shared" si="4"/>
        <v>0.86650775952000003</v>
      </c>
    </row>
    <row r="89" spans="1:4" ht="25.5">
      <c r="A89" s="36" t="s">
        <v>81</v>
      </c>
      <c r="B89" s="26" t="s">
        <v>145</v>
      </c>
      <c r="C89" s="48">
        <v>2.9999999999999997E-4</v>
      </c>
      <c r="D89" s="44">
        <f t="shared" si="4"/>
        <v>1.29976163928</v>
      </c>
    </row>
    <row r="90" spans="1:4">
      <c r="A90" s="36" t="s">
        <v>83</v>
      </c>
      <c r="B90" s="26" t="s">
        <v>146</v>
      </c>
      <c r="C90" s="48">
        <v>2.8999999999999998E-3</v>
      </c>
      <c r="D90" s="44">
        <f t="shared" si="4"/>
        <v>12.564362513039999</v>
      </c>
    </row>
    <row r="91" spans="1:4" ht="25.5">
      <c r="A91" s="36" t="s">
        <v>85</v>
      </c>
      <c r="B91" s="26" t="s">
        <v>147</v>
      </c>
      <c r="C91" s="48">
        <v>1.66E-2</v>
      </c>
      <c r="D91" s="44">
        <f t="shared" si="4"/>
        <v>71.920144040159997</v>
      </c>
    </row>
    <row r="92" spans="1:4">
      <c r="A92" s="296" t="s">
        <v>87</v>
      </c>
      <c r="B92" s="297"/>
      <c r="C92" s="45">
        <f t="shared" ref="C92:D92" si="5">SUM(C86:C91)</f>
        <v>0.1191</v>
      </c>
      <c r="D92" s="46">
        <f t="shared" si="5"/>
        <v>516.00537079416006</v>
      </c>
    </row>
    <row r="93" spans="1:4" ht="27" customHeight="1">
      <c r="A93" s="293" t="s">
        <v>148</v>
      </c>
      <c r="B93" s="293"/>
      <c r="C93" s="293"/>
      <c r="D93" s="293"/>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516.00537079416006</v>
      </c>
    </row>
    <row r="103" spans="1:4">
      <c r="A103" s="36" t="s">
        <v>150</v>
      </c>
      <c r="B103" s="42" t="s">
        <v>155</v>
      </c>
      <c r="C103" s="42"/>
      <c r="D103" s="57">
        <f>C98</f>
        <v>0</v>
      </c>
    </row>
    <row r="104" spans="1:4">
      <c r="A104" s="294" t="s">
        <v>87</v>
      </c>
      <c r="B104" s="294"/>
      <c r="C104" s="294"/>
      <c r="D104" s="46">
        <f>SUM(D102:D103)</f>
        <v>516.00537079416006</v>
      </c>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EPIS'!$E$57+'TABELA 5 - Ferramentas'!$I$145</f>
        <v>125.27536231884056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222.96702898550723</v>
      </c>
    </row>
    <row r="113" spans="1:4">
      <c r="A113" s="293" t="s">
        <v>161</v>
      </c>
      <c r="B113" s="293"/>
      <c r="C113" s="293"/>
      <c r="D113" s="293"/>
    </row>
    <row r="115" spans="1:4">
      <c r="A115" s="277" t="s">
        <v>162</v>
      </c>
      <c r="B115" s="277"/>
      <c r="C115" s="277"/>
      <c r="D115" s="277"/>
    </row>
    <row r="116" spans="1:4">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389.73361840384331</v>
      </c>
    </row>
    <row r="119" spans="1:4">
      <c r="A119" s="36" t="s">
        <v>77</v>
      </c>
      <c r="B119" s="42" t="s">
        <v>166</v>
      </c>
      <c r="C119" s="191">
        <v>6.7900000000000002E-2</v>
      </c>
      <c r="D119" s="192">
        <f>$C119*(D$138+D118)</f>
        <v>555.72116648204019</v>
      </c>
    </row>
    <row r="120" spans="1:4">
      <c r="A120" s="187" t="s">
        <v>80</v>
      </c>
      <c r="B120" s="188" t="s">
        <v>167</v>
      </c>
      <c r="C120" s="193">
        <f>SUM(C121:C123)</f>
        <v>0.14250000000000002</v>
      </c>
      <c r="D120" s="192">
        <f>(D$138+D$119+D$118)*($C120/IF($C116="Lucro presumido",91.45%,85.75%))</f>
        <v>1452.4409554486201</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8">
        <f>SUM(D118:D124)</f>
        <v>2397.8957403345039</v>
      </c>
    </row>
    <row r="126" spans="1:4">
      <c r="A126" s="293" t="s">
        <v>175</v>
      </c>
      <c r="B126" s="293"/>
      <c r="C126" s="293"/>
      <c r="D126" s="293"/>
    </row>
    <row r="127" spans="1:4" ht="36.6" customHeight="1">
      <c r="A127" s="293" t="s">
        <v>176</v>
      </c>
      <c r="B127" s="293"/>
      <c r="C127" s="293"/>
      <c r="D127" s="293"/>
    </row>
    <row r="128" spans="1:4" ht="36.6" customHeight="1">
      <c r="A128" s="293" t="s">
        <v>562</v>
      </c>
      <c r="B128" s="293"/>
      <c r="C128" s="293"/>
      <c r="D128" s="293"/>
    </row>
    <row r="129" spans="1:4" ht="36.6" customHeight="1">
      <c r="A129" s="304" t="s">
        <v>561</v>
      </c>
      <c r="B129" s="304"/>
      <c r="C129" s="304"/>
      <c r="D129" s="304"/>
    </row>
    <row r="131" spans="1:4">
      <c r="A131" s="277" t="s">
        <v>177</v>
      </c>
      <c r="B131" s="277"/>
      <c r="C131" s="277"/>
      <c r="D131" s="277"/>
    </row>
    <row r="132" spans="1:4">
      <c r="A132" s="305" t="s">
        <v>178</v>
      </c>
      <c r="B132" s="306"/>
      <c r="C132" s="307"/>
      <c r="D132" s="33" t="s">
        <v>179</v>
      </c>
    </row>
    <row r="133" spans="1:4">
      <c r="A133" s="36" t="s">
        <v>75</v>
      </c>
      <c r="B133" s="275" t="s">
        <v>72</v>
      </c>
      <c r="C133" s="275"/>
      <c r="D133" s="44">
        <f>D19</f>
        <v>3864.1979999999999</v>
      </c>
    </row>
    <row r="134" spans="1:4">
      <c r="A134" s="36" t="s">
        <v>77</v>
      </c>
      <c r="B134" s="275" t="s">
        <v>89</v>
      </c>
      <c r="C134" s="275"/>
      <c r="D134" s="44">
        <f>D66</f>
        <v>2905.5500751168001</v>
      </c>
    </row>
    <row r="135" spans="1:4">
      <c r="A135" s="36" t="s">
        <v>80</v>
      </c>
      <c r="B135" s="275" t="s">
        <v>126</v>
      </c>
      <c r="C135" s="275"/>
      <c r="D135" s="44">
        <f>D77</f>
        <v>285.95189318039763</v>
      </c>
    </row>
    <row r="136" spans="1:4">
      <c r="A136" s="36" t="s">
        <v>81</v>
      </c>
      <c r="B136" s="275" t="s">
        <v>137</v>
      </c>
      <c r="C136" s="275"/>
      <c r="D136" s="44">
        <f>D104</f>
        <v>516.00537079416006</v>
      </c>
    </row>
    <row r="137" spans="1:4">
      <c r="A137" s="36" t="s">
        <v>83</v>
      </c>
      <c r="B137" s="275" t="s">
        <v>156</v>
      </c>
      <c r="C137" s="275"/>
      <c r="D137" s="44">
        <f>D112</f>
        <v>222.96702898550723</v>
      </c>
    </row>
    <row r="138" spans="1:4">
      <c r="A138" s="294" t="s">
        <v>180</v>
      </c>
      <c r="B138" s="294"/>
      <c r="C138" s="294"/>
      <c r="D138" s="46">
        <f>SUM(D133:D137)</f>
        <v>7794.6723680768655</v>
      </c>
    </row>
    <row r="139" spans="1:4">
      <c r="A139" s="36" t="s">
        <v>85</v>
      </c>
      <c r="B139" s="274" t="s">
        <v>162</v>
      </c>
      <c r="C139" s="274"/>
      <c r="D139" s="44">
        <f>D125</f>
        <v>2397.8957403345039</v>
      </c>
    </row>
    <row r="140" spans="1:4">
      <c r="A140" s="277" t="s">
        <v>187</v>
      </c>
      <c r="B140" s="277"/>
      <c r="C140" s="277"/>
      <c r="D140" s="62">
        <f>SUM(D138:D139)</f>
        <v>10192.568108411369</v>
      </c>
    </row>
    <row r="142" spans="1:4" ht="219" customHeight="1">
      <c r="A142" s="301" t="s">
        <v>590</v>
      </c>
      <c r="B142" s="301"/>
      <c r="C142" s="301"/>
      <c r="D142" s="301"/>
    </row>
  </sheetData>
  <mergeCells count="83">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2:D142"/>
    <mergeCell ref="A138:C138"/>
    <mergeCell ref="B139:C139"/>
    <mergeCell ref="A140:C140"/>
    <mergeCell ref="A132:C132"/>
    <mergeCell ref="B133:C133"/>
    <mergeCell ref="B134:C134"/>
    <mergeCell ref="B135:C135"/>
    <mergeCell ref="B136:C136"/>
    <mergeCell ref="B137:C137"/>
    <mergeCell ref="A129:D129"/>
    <mergeCell ref="A128:D128"/>
  </mergeCells>
  <dataValidations count="1">
    <dataValidation type="list" allowBlank="1" showInputMessage="1" showErrorMessage="1" sqref="C116:D116" xr:uid="{00000000-0002-0000-03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92FAD-593D-4BE9-A375-089BF3B38158}">
  <sheetPr codeName="Planilha6"/>
  <dimension ref="A1:N142"/>
  <sheetViews>
    <sheetView showGridLines="0" zoomScale="130" zoomScaleNormal="130" workbookViewId="0">
      <selection activeCell="I28" sqref="I28"/>
    </sheetView>
  </sheetViews>
  <sheetFormatPr defaultColWidth="8.7109375" defaultRowHeight="12.75"/>
  <cols>
    <col min="1" max="1" width="5" style="32" bestFit="1" customWidth="1"/>
    <col min="2" max="2" width="45.7109375" style="32" bestFit="1" customWidth="1"/>
    <col min="3" max="3" width="14.140625" style="32" bestFit="1" customWidth="1"/>
    <col min="4" max="4" width="15.28515625" style="32" bestFit="1" customWidth="1"/>
    <col min="5" max="13" width="8.7109375" style="32"/>
    <col min="14" max="14" width="10.42578125" style="32" bestFit="1" customWidth="1"/>
    <col min="15" max="16384" width="8.7109375" style="32"/>
  </cols>
  <sheetData>
    <row r="1" spans="1:4">
      <c r="A1" s="277" t="s">
        <v>62</v>
      </c>
      <c r="B1" s="277"/>
      <c r="C1" s="277"/>
      <c r="D1" s="277"/>
    </row>
    <row r="3" spans="1:4">
      <c r="A3" s="292" t="s">
        <v>63</v>
      </c>
      <c r="B3" s="292"/>
      <c r="C3" s="292"/>
      <c r="D3" s="292"/>
    </row>
    <row r="4" spans="1:4" ht="25.5">
      <c r="A4" s="35">
        <v>1</v>
      </c>
      <c r="B4" s="182" t="s">
        <v>64</v>
      </c>
      <c r="C4" s="299" t="s">
        <v>188</v>
      </c>
      <c r="D4" s="299"/>
    </row>
    <row r="5" spans="1:4">
      <c r="A5" s="34">
        <v>2</v>
      </c>
      <c r="B5" s="26" t="s">
        <v>66</v>
      </c>
      <c r="C5" s="314"/>
      <c r="D5" s="314"/>
    </row>
    <row r="6" spans="1:4">
      <c r="A6" s="34">
        <v>3</v>
      </c>
      <c r="B6" s="26" t="s">
        <v>67</v>
      </c>
      <c r="C6" s="285">
        <v>2200</v>
      </c>
      <c r="D6" s="286"/>
    </row>
    <row r="7" spans="1:4" ht="25.5" customHeight="1">
      <c r="A7" s="34">
        <v>4</v>
      </c>
      <c r="B7" s="26" t="s">
        <v>68</v>
      </c>
      <c r="C7" s="287" t="s">
        <v>588</v>
      </c>
      <c r="D7" s="288"/>
    </row>
    <row r="8" spans="1:4">
      <c r="A8" s="34">
        <v>5</v>
      </c>
      <c r="B8" s="26" t="s">
        <v>69</v>
      </c>
      <c r="C8" s="289">
        <v>45047</v>
      </c>
      <c r="D8" s="290"/>
    </row>
    <row r="9" spans="1:4" ht="30" customHeight="1">
      <c r="A9" s="34">
        <v>6</v>
      </c>
      <c r="B9" s="26" t="s">
        <v>70</v>
      </c>
      <c r="C9" s="291" t="s">
        <v>594</v>
      </c>
      <c r="D9" s="290"/>
    </row>
    <row r="11" spans="1:4">
      <c r="A11" s="277" t="s">
        <v>72</v>
      </c>
      <c r="B11" s="277"/>
      <c r="C11" s="277"/>
      <c r="D11" s="277"/>
    </row>
    <row r="12" spans="1:4">
      <c r="A12" s="35">
        <v>1</v>
      </c>
      <c r="B12" s="292" t="s">
        <v>73</v>
      </c>
      <c r="C12" s="292"/>
      <c r="D12" s="35" t="s">
        <v>74</v>
      </c>
    </row>
    <row r="13" spans="1:4">
      <c r="A13" s="36" t="s">
        <v>75</v>
      </c>
      <c r="B13" s="274" t="s">
        <v>76</v>
      </c>
      <c r="C13" s="274"/>
      <c r="D13" s="38">
        <v>2972.46</v>
      </c>
    </row>
    <row r="14" spans="1:4">
      <c r="A14" s="36" t="s">
        <v>77</v>
      </c>
      <c r="B14" s="274" t="s">
        <v>184</v>
      </c>
      <c r="C14" s="274"/>
      <c r="D14" s="39">
        <f>0.3*D13</f>
        <v>891.73799999999994</v>
      </c>
    </row>
    <row r="15" spans="1:4">
      <c r="A15" s="36" t="s">
        <v>80</v>
      </c>
      <c r="B15" s="274" t="s">
        <v>185</v>
      </c>
      <c r="C15" s="274"/>
      <c r="D15" s="39"/>
    </row>
    <row r="16" spans="1:4">
      <c r="A16" s="36" t="s">
        <v>81</v>
      </c>
      <c r="B16" s="274" t="s">
        <v>605</v>
      </c>
      <c r="C16" s="274"/>
      <c r="D16" s="39" t="s">
        <v>79</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3864.1979999999999</v>
      </c>
    </row>
    <row r="20" spans="1:4" ht="27" customHeight="1">
      <c r="A20" s="295" t="s">
        <v>88</v>
      </c>
      <c r="B20" s="295"/>
      <c r="C20" s="295"/>
      <c r="D20" s="295"/>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351.25559819999995</v>
      </c>
    </row>
    <row r="26" spans="1:4">
      <c r="A26" s="36" t="s">
        <v>77</v>
      </c>
      <c r="B26" s="42" t="s">
        <v>589</v>
      </c>
      <c r="C26" s="43">
        <v>3.0300000000000001E-2</v>
      </c>
      <c r="D26" s="44">
        <f>C26*$D$19</f>
        <v>117.08519939999999</v>
      </c>
    </row>
    <row r="27" spans="1:4">
      <c r="A27" s="294" t="s">
        <v>87</v>
      </c>
      <c r="B27" s="294"/>
      <c r="C27" s="45">
        <f t="shared" ref="C27:D27" si="0">SUM(C25:C26)</f>
        <v>0.1212</v>
      </c>
      <c r="D27" s="46">
        <f t="shared" si="0"/>
        <v>468.34079759999997</v>
      </c>
    </row>
    <row r="28" spans="1:4" ht="42" customHeight="1">
      <c r="A28" s="293" t="s">
        <v>93</v>
      </c>
      <c r="B28" s="293"/>
      <c r="C28" s="293"/>
      <c r="D28" s="293"/>
    </row>
    <row r="29" spans="1:4" ht="33" customHeight="1">
      <c r="A29" s="293" t="s">
        <v>94</v>
      </c>
      <c r="B29" s="293"/>
      <c r="C29" s="293"/>
      <c r="D29" s="293"/>
    </row>
    <row r="30" spans="1:4">
      <c r="A30" s="293" t="s">
        <v>95</v>
      </c>
      <c r="B30" s="293"/>
      <c r="C30" s="293"/>
      <c r="D30" s="293"/>
    </row>
    <row r="32" spans="1:4">
      <c r="A32" s="312" t="s">
        <v>96</v>
      </c>
      <c r="B32" s="312"/>
      <c r="C32" s="312"/>
      <c r="D32" s="312"/>
    </row>
    <row r="33" spans="1:4">
      <c r="A33" s="47" t="s">
        <v>97</v>
      </c>
      <c r="B33" s="47" t="s">
        <v>98</v>
      </c>
      <c r="C33" s="47" t="s">
        <v>91</v>
      </c>
      <c r="D33" s="47" t="s">
        <v>74</v>
      </c>
    </row>
    <row r="34" spans="1:4">
      <c r="A34" s="36" t="s">
        <v>75</v>
      </c>
      <c r="B34" s="42" t="s">
        <v>99</v>
      </c>
      <c r="C34" s="48">
        <v>0.2</v>
      </c>
      <c r="D34" s="44">
        <f>C34*($D$19+$D$27)</f>
        <v>866.50775952000004</v>
      </c>
    </row>
    <row r="35" spans="1:4">
      <c r="A35" s="36" t="s">
        <v>77</v>
      </c>
      <c r="B35" s="42" t="s">
        <v>100</v>
      </c>
      <c r="C35" s="48">
        <v>2.5000000000000001E-2</v>
      </c>
      <c r="D35" s="44">
        <f>$C35*(D$19+D$27)</f>
        <v>108.31346994</v>
      </c>
    </row>
    <row r="36" spans="1:4">
      <c r="A36" s="36" t="s">
        <v>80</v>
      </c>
      <c r="B36" s="42" t="s">
        <v>101</v>
      </c>
      <c r="C36" s="48">
        <v>0.03</v>
      </c>
      <c r="D36" s="44">
        <f t="shared" ref="D36:D40" si="1">C36*($D$19+$D$27)</f>
        <v>129.97616392800001</v>
      </c>
    </row>
    <row r="37" spans="1:4">
      <c r="A37" s="36" t="s">
        <v>81</v>
      </c>
      <c r="B37" s="42" t="s">
        <v>102</v>
      </c>
      <c r="C37" s="48">
        <v>1.4999999999999999E-2</v>
      </c>
      <c r="D37" s="44">
        <f t="shared" si="1"/>
        <v>64.988081964000003</v>
      </c>
    </row>
    <row r="38" spans="1:4">
      <c r="A38" s="36" t="s">
        <v>83</v>
      </c>
      <c r="B38" s="42" t="s">
        <v>103</v>
      </c>
      <c r="C38" s="48">
        <v>0.01</v>
      </c>
      <c r="D38" s="44">
        <f t="shared" si="1"/>
        <v>43.325387976000002</v>
      </c>
    </row>
    <row r="39" spans="1:4">
      <c r="A39" s="36" t="s">
        <v>85</v>
      </c>
      <c r="B39" s="42" t="s">
        <v>104</v>
      </c>
      <c r="C39" s="48">
        <v>6.0000000000000001E-3</v>
      </c>
      <c r="D39" s="44">
        <f t="shared" si="1"/>
        <v>25.995232785600003</v>
      </c>
    </row>
    <row r="40" spans="1:4">
      <c r="A40" s="36" t="s">
        <v>105</v>
      </c>
      <c r="B40" s="42" t="s">
        <v>106</v>
      </c>
      <c r="C40" s="48">
        <v>2E-3</v>
      </c>
      <c r="D40" s="44">
        <f t="shared" si="1"/>
        <v>8.6650775952000014</v>
      </c>
    </row>
    <row r="41" spans="1:4">
      <c r="A41" s="36" t="s">
        <v>107</v>
      </c>
      <c r="B41" s="42" t="s">
        <v>108</v>
      </c>
      <c r="C41" s="48">
        <v>0.08</v>
      </c>
      <c r="D41" s="44">
        <f>C41*($D$19+$D$27)</f>
        <v>346.60310380800001</v>
      </c>
    </row>
    <row r="42" spans="1:4">
      <c r="A42" s="36" t="s">
        <v>24</v>
      </c>
      <c r="B42" s="42" t="s">
        <v>109</v>
      </c>
      <c r="C42" s="48">
        <v>0</v>
      </c>
      <c r="D42" s="44">
        <f>C42*($D$19+$D$27)</f>
        <v>0</v>
      </c>
    </row>
    <row r="43" spans="1:4">
      <c r="A43" s="313" t="s">
        <v>87</v>
      </c>
      <c r="B43" s="313"/>
      <c r="C43" s="49">
        <f>SUM(C34:C42)</f>
        <v>0.36800000000000005</v>
      </c>
      <c r="D43" s="50">
        <f>SUM(D34:D42)</f>
        <v>1594.3742775168</v>
      </c>
    </row>
    <row r="44" spans="1:4" ht="28.15" customHeight="1">
      <c r="A44" s="293" t="s">
        <v>110</v>
      </c>
      <c r="B44" s="293"/>
      <c r="C44" s="293"/>
      <c r="D44" s="293"/>
    </row>
    <row r="45" spans="1:4" ht="24.6" customHeight="1">
      <c r="A45" s="293" t="s">
        <v>111</v>
      </c>
      <c r="B45" s="293"/>
      <c r="C45" s="293"/>
      <c r="D45" s="293"/>
    </row>
    <row r="46" spans="1:4" ht="38.450000000000003" customHeight="1">
      <c r="A46" s="293" t="s">
        <v>112</v>
      </c>
      <c r="B46" s="293"/>
      <c r="C46" s="293"/>
      <c r="D46" s="293"/>
    </row>
    <row r="47" spans="1:4">
      <c r="A47" s="293" t="s">
        <v>113</v>
      </c>
      <c r="B47" s="293"/>
      <c r="C47" s="293"/>
      <c r="D47" s="293"/>
    </row>
    <row r="48" spans="1:4" ht="27.6" customHeight="1">
      <c r="A48" s="293" t="s">
        <v>114</v>
      </c>
      <c r="B48" s="293"/>
      <c r="C48" s="293"/>
      <c r="D48" s="293"/>
    </row>
    <row r="50" spans="1:4">
      <c r="A50" s="299" t="s">
        <v>115</v>
      </c>
      <c r="B50" s="299"/>
      <c r="C50" s="299"/>
      <c r="D50" s="299"/>
    </row>
    <row r="51" spans="1:4">
      <c r="A51" s="33" t="s">
        <v>116</v>
      </c>
      <c r="B51" s="33" t="s">
        <v>117</v>
      </c>
      <c r="C51" s="33" t="s">
        <v>118</v>
      </c>
      <c r="D51" s="33" t="s">
        <v>74</v>
      </c>
    </row>
    <row r="52" spans="1:4" ht="25.5">
      <c r="A52" s="36" t="s">
        <v>75</v>
      </c>
      <c r="B52" s="26" t="s">
        <v>554</v>
      </c>
      <c r="C52" s="34">
        <v>15</v>
      </c>
      <c r="D52" s="44">
        <f>ROUND((((3.8+5.5)*2*C52)-6%*D13),2)</f>
        <v>100.65</v>
      </c>
    </row>
    <row r="53" spans="1:4" ht="38.25">
      <c r="A53" s="36" t="s">
        <v>77</v>
      </c>
      <c r="B53" s="26" t="s">
        <v>592</v>
      </c>
      <c r="C53" s="34">
        <v>15</v>
      </c>
      <c r="D53" s="44">
        <f>C53*(24.25*0.91)</f>
        <v>331.01249999999999</v>
      </c>
    </row>
    <row r="54" spans="1:4" ht="25.5">
      <c r="A54" s="36" t="s">
        <v>80</v>
      </c>
      <c r="B54" s="235" t="s">
        <v>591</v>
      </c>
      <c r="C54" s="34">
        <v>15</v>
      </c>
      <c r="D54" s="44">
        <f>5.75*C54</f>
        <v>86.25</v>
      </c>
    </row>
    <row r="55" spans="1:4">
      <c r="A55" s="36" t="s">
        <v>81</v>
      </c>
      <c r="B55" s="42" t="s">
        <v>120</v>
      </c>
      <c r="C55" s="51"/>
      <c r="D55" s="44"/>
    </row>
    <row r="56" spans="1:4">
      <c r="A56" s="36" t="s">
        <v>83</v>
      </c>
      <c r="B56" s="42" t="s">
        <v>121</v>
      </c>
      <c r="C56" s="51"/>
      <c r="D56" s="44"/>
    </row>
    <row r="57" spans="1:4">
      <c r="A57" s="313" t="s">
        <v>87</v>
      </c>
      <c r="B57" s="313"/>
      <c r="C57" s="313"/>
      <c r="D57" s="50">
        <f>SUM(D52:D56)</f>
        <v>517.91250000000002</v>
      </c>
    </row>
    <row r="58" spans="1:4" ht="28.15" customHeight="1">
      <c r="A58" s="293" t="s">
        <v>122</v>
      </c>
      <c r="B58" s="293"/>
      <c r="C58" s="293"/>
      <c r="D58" s="293"/>
    </row>
    <row r="59" spans="1:4" ht="28.15" customHeight="1">
      <c r="A59" s="293" t="s">
        <v>558</v>
      </c>
      <c r="B59" s="293"/>
      <c r="C59" s="293"/>
      <c r="D59" s="293"/>
    </row>
    <row r="61" spans="1:4">
      <c r="A61" s="277" t="s">
        <v>124</v>
      </c>
      <c r="B61" s="277"/>
      <c r="C61" s="277"/>
      <c r="D61" s="277"/>
    </row>
    <row r="62" spans="1:4">
      <c r="A62" s="35">
        <v>2</v>
      </c>
      <c r="B62" s="294" t="s">
        <v>125</v>
      </c>
      <c r="C62" s="294"/>
      <c r="D62" s="35" t="s">
        <v>74</v>
      </c>
    </row>
    <row r="63" spans="1:4">
      <c r="A63" s="36" t="s">
        <v>90</v>
      </c>
      <c r="B63" s="275" t="s">
        <v>595</v>
      </c>
      <c r="C63" s="275"/>
      <c r="D63" s="44">
        <f>D27</f>
        <v>468.34079759999997</v>
      </c>
    </row>
    <row r="64" spans="1:4">
      <c r="A64" s="36" t="s">
        <v>97</v>
      </c>
      <c r="B64" s="274" t="s">
        <v>98</v>
      </c>
      <c r="C64" s="274"/>
      <c r="D64" s="44">
        <f>D43</f>
        <v>1594.3742775168</v>
      </c>
    </row>
    <row r="65" spans="1:4">
      <c r="A65" s="36" t="s">
        <v>116</v>
      </c>
      <c r="B65" s="274" t="s">
        <v>117</v>
      </c>
      <c r="C65" s="274"/>
      <c r="D65" s="44">
        <f>D57</f>
        <v>517.91250000000002</v>
      </c>
    </row>
    <row r="66" spans="1:4">
      <c r="A66" s="296" t="s">
        <v>87</v>
      </c>
      <c r="B66" s="311"/>
      <c r="C66" s="297"/>
      <c r="D66" s="46">
        <f>SUM(D63:D65)</f>
        <v>2580.6275751168</v>
      </c>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18.19666294992</v>
      </c>
    </row>
    <row r="71" spans="1:4">
      <c r="A71" s="36" t="s">
        <v>77</v>
      </c>
      <c r="B71" s="26" t="s">
        <v>129</v>
      </c>
      <c r="C71" s="48">
        <v>2.9999999999999997E-4</v>
      </c>
      <c r="D71" s="44">
        <f t="shared" si="2"/>
        <v>1.29976163928</v>
      </c>
    </row>
    <row r="72" spans="1:4" ht="25.5">
      <c r="A72" s="36" t="s">
        <v>80</v>
      </c>
      <c r="B72" s="26" t="s">
        <v>130</v>
      </c>
      <c r="C72" s="53">
        <v>9.9999999999999995E-7</v>
      </c>
      <c r="D72" s="44">
        <f t="shared" si="2"/>
        <v>4.3325387976000003E-3</v>
      </c>
    </row>
    <row r="73" spans="1:4">
      <c r="A73" s="36" t="s">
        <v>81</v>
      </c>
      <c r="B73" s="26" t="s">
        <v>131</v>
      </c>
      <c r="C73" s="54">
        <v>1.9400000000000001E-2</v>
      </c>
      <c r="D73" s="44">
        <f>C73*($D$19+$D$27)</f>
        <v>84.051252673440004</v>
      </c>
    </row>
    <row r="74" spans="1:4" ht="25.5">
      <c r="A74" s="36" t="s">
        <v>83</v>
      </c>
      <c r="B74" s="26" t="s">
        <v>132</v>
      </c>
      <c r="C74" s="48">
        <v>7.1000000000000004E-3</v>
      </c>
      <c r="D74" s="44">
        <f>C74*($D$19+$D$27)</f>
        <v>30.761025462960003</v>
      </c>
    </row>
    <row r="75" spans="1:4" ht="25.5">
      <c r="A75" s="36" t="s">
        <v>85</v>
      </c>
      <c r="B75" s="26" t="s">
        <v>133</v>
      </c>
      <c r="C75" s="48">
        <v>1E-4</v>
      </c>
      <c r="D75" s="44">
        <f t="shared" si="2"/>
        <v>0.43325387976000002</v>
      </c>
    </row>
    <row r="76" spans="1:4">
      <c r="A76" s="55" t="s">
        <v>105</v>
      </c>
      <c r="B76" s="56" t="s">
        <v>134</v>
      </c>
      <c r="C76" s="48">
        <v>3.49E-2</v>
      </c>
      <c r="D76" s="44">
        <f>C76*($D$19+$D$27)</f>
        <v>151.20560403624</v>
      </c>
    </row>
    <row r="77" spans="1:4">
      <c r="A77" s="296" t="s">
        <v>87</v>
      </c>
      <c r="B77" s="297"/>
      <c r="C77" s="45">
        <f t="shared" ref="C77:D77" si="3">SUM(C70:C76)</f>
        <v>6.6001000000000004E-2</v>
      </c>
      <c r="D77" s="46">
        <f t="shared" si="3"/>
        <v>285.95189318039763</v>
      </c>
    </row>
    <row r="78" spans="1:4" ht="31.9" customHeight="1">
      <c r="A78" s="293" t="s">
        <v>135</v>
      </c>
      <c r="B78" s="293"/>
      <c r="C78" s="293"/>
      <c r="D78" s="293"/>
    </row>
    <row r="79" spans="1:4" ht="21.6" customHeight="1">
      <c r="A79" s="293" t="s">
        <v>136</v>
      </c>
      <c r="B79" s="293"/>
      <c r="C79" s="293"/>
      <c r="D79" s="293"/>
    </row>
    <row r="81" spans="1:14">
      <c r="A81" s="277" t="s">
        <v>137</v>
      </c>
      <c r="B81" s="277"/>
      <c r="C81" s="277"/>
      <c r="D81" s="277"/>
    </row>
    <row r="82" spans="1:14" ht="43.15" customHeight="1">
      <c r="A82" s="275" t="s">
        <v>138</v>
      </c>
      <c r="B82" s="275"/>
      <c r="C82" s="275"/>
      <c r="D82" s="275"/>
    </row>
    <row r="84" spans="1:14">
      <c r="A84" s="299" t="s">
        <v>139</v>
      </c>
      <c r="B84" s="299"/>
      <c r="C84" s="299"/>
      <c r="D84" s="299"/>
    </row>
    <row r="85" spans="1:14">
      <c r="A85" s="33" t="s">
        <v>140</v>
      </c>
      <c r="B85" s="33" t="s">
        <v>141</v>
      </c>
      <c r="C85" s="33" t="s">
        <v>91</v>
      </c>
      <c r="D85" s="33" t="s">
        <v>74</v>
      </c>
      <c r="N85" s="220"/>
    </row>
    <row r="86" spans="1:14">
      <c r="A86" s="36" t="s">
        <v>75</v>
      </c>
      <c r="B86" s="26" t="s">
        <v>142</v>
      </c>
      <c r="C86" s="204">
        <v>9.0899999999999995E-2</v>
      </c>
      <c r="D86" s="44">
        <f>C86*($D$19+$D$27)</f>
        <v>393.82777670183998</v>
      </c>
    </row>
    <row r="87" spans="1:14">
      <c r="A87" s="36" t="s">
        <v>77</v>
      </c>
      <c r="B87" s="26" t="s">
        <v>143</v>
      </c>
      <c r="C87" s="48">
        <v>8.2000000000000007E-3</v>
      </c>
      <c r="D87" s="44">
        <f t="shared" ref="D87:D91" si="4">C87*($D$19+$D$27)</f>
        <v>35.526818140320003</v>
      </c>
    </row>
    <row r="88" spans="1:14">
      <c r="A88" s="36" t="s">
        <v>80</v>
      </c>
      <c r="B88" s="26" t="s">
        <v>144</v>
      </c>
      <c r="C88" s="48">
        <v>2.0000000000000001E-4</v>
      </c>
      <c r="D88" s="44">
        <f t="shared" si="4"/>
        <v>0.86650775952000003</v>
      </c>
    </row>
    <row r="89" spans="1:14" ht="25.5">
      <c r="A89" s="36" t="s">
        <v>81</v>
      </c>
      <c r="B89" s="26" t="s">
        <v>145</v>
      </c>
      <c r="C89" s="48">
        <v>2.9999999999999997E-4</v>
      </c>
      <c r="D89" s="44">
        <f t="shared" si="4"/>
        <v>1.29976163928</v>
      </c>
    </row>
    <row r="90" spans="1:14">
      <c r="A90" s="36" t="s">
        <v>83</v>
      </c>
      <c r="B90" s="26" t="s">
        <v>146</v>
      </c>
      <c r="C90" s="48">
        <v>2.8999999999999998E-3</v>
      </c>
      <c r="D90" s="44">
        <f t="shared" si="4"/>
        <v>12.564362513039999</v>
      </c>
    </row>
    <row r="91" spans="1:14" ht="25.5">
      <c r="A91" s="36" t="s">
        <v>85</v>
      </c>
      <c r="B91" s="26" t="s">
        <v>147</v>
      </c>
      <c r="C91" s="48">
        <v>1.66E-2</v>
      </c>
      <c r="D91" s="44">
        <f t="shared" si="4"/>
        <v>71.920144040159997</v>
      </c>
    </row>
    <row r="92" spans="1:14">
      <c r="A92" s="296" t="s">
        <v>87</v>
      </c>
      <c r="B92" s="297"/>
      <c r="C92" s="45">
        <f t="shared" ref="C92:D92" si="5">SUM(C86:C91)</f>
        <v>0.1191</v>
      </c>
      <c r="D92" s="46">
        <f t="shared" si="5"/>
        <v>516.00537079416006</v>
      </c>
    </row>
    <row r="93" spans="1:14" ht="33.6" customHeight="1">
      <c r="A93" s="293" t="s">
        <v>148</v>
      </c>
      <c r="B93" s="293"/>
      <c r="C93" s="293"/>
      <c r="D93" s="293"/>
    </row>
    <row r="95" spans="1:14">
      <c r="A95" s="300" t="s">
        <v>149</v>
      </c>
      <c r="B95" s="300"/>
      <c r="C95" s="300"/>
      <c r="D95" s="300"/>
    </row>
    <row r="96" spans="1:14">
      <c r="A96" s="33" t="s">
        <v>150</v>
      </c>
      <c r="B96" s="33" t="s">
        <v>151</v>
      </c>
      <c r="C96" s="33" t="s">
        <v>74</v>
      </c>
      <c r="D96" s="33"/>
    </row>
    <row r="97" spans="1:4" ht="25.5">
      <c r="A97" s="36" t="s">
        <v>75</v>
      </c>
      <c r="B97" s="26" t="s">
        <v>152</v>
      </c>
      <c r="C97" s="57"/>
      <c r="D97" s="58"/>
    </row>
    <row r="98" spans="1:4">
      <c r="A98" s="305" t="s">
        <v>87</v>
      </c>
      <c r="B98" s="307"/>
      <c r="C98" s="44">
        <f>SUM(C97)</f>
        <v>0</v>
      </c>
      <c r="D98" s="58"/>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516.00537079416006</v>
      </c>
    </row>
    <row r="103" spans="1:4">
      <c r="A103" s="36" t="s">
        <v>150</v>
      </c>
      <c r="B103" s="42" t="s">
        <v>155</v>
      </c>
      <c r="C103" s="42"/>
      <c r="D103" s="57">
        <f>C98</f>
        <v>0</v>
      </c>
    </row>
    <row r="104" spans="1:4">
      <c r="A104" s="294" t="s">
        <v>87</v>
      </c>
      <c r="B104" s="294"/>
      <c r="C104" s="294"/>
      <c r="D104" s="46">
        <f>SUM(D102:D103)</f>
        <v>516.00537079416006</v>
      </c>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EPIS'!$E$57+'TABELA 5 - Ferramentas'!$I$145</f>
        <v>125.27536231884056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222.96702898550723</v>
      </c>
    </row>
    <row r="113" spans="1:4">
      <c r="A113" s="293" t="s">
        <v>161</v>
      </c>
      <c r="B113" s="293"/>
      <c r="C113" s="293"/>
      <c r="D113" s="293"/>
    </row>
    <row r="115" spans="1:4">
      <c r="A115" s="277" t="s">
        <v>162</v>
      </c>
      <c r="B115" s="277"/>
      <c r="C115" s="277"/>
      <c r="D115" s="277"/>
    </row>
    <row r="116" spans="1:4">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373.48749340384325</v>
      </c>
    </row>
    <row r="119" spans="1:4">
      <c r="A119" s="36" t="s">
        <v>77</v>
      </c>
      <c r="B119" s="42" t="s">
        <v>166</v>
      </c>
      <c r="C119" s="191">
        <v>6.7900000000000002E-2</v>
      </c>
      <c r="D119" s="192">
        <f>$C119*(D$138+D118)</f>
        <v>532.55581684454012</v>
      </c>
    </row>
    <row r="120" spans="1:4">
      <c r="A120" s="187" t="s">
        <v>80</v>
      </c>
      <c r="B120" s="188" t="s">
        <v>167</v>
      </c>
      <c r="C120" s="193">
        <f>SUM(C121:C123)</f>
        <v>0.14250000000000002</v>
      </c>
      <c r="D120" s="192">
        <f>(D$138+D$119+D$118)*($C120/IF($C116="Lucro presumido",91.45%,85.75%))</f>
        <v>1391.8956593718342</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8">
        <f>SUM(D118:D124)</f>
        <v>2297.9389696202174</v>
      </c>
    </row>
    <row r="126" spans="1:4">
      <c r="A126" s="293" t="s">
        <v>175</v>
      </c>
      <c r="B126" s="293"/>
      <c r="C126" s="293"/>
      <c r="D126" s="293"/>
    </row>
    <row r="127" spans="1:4" ht="30.6" customHeight="1">
      <c r="A127" s="293" t="s">
        <v>176</v>
      </c>
      <c r="B127" s="293"/>
      <c r="C127" s="293"/>
      <c r="D127" s="293"/>
    </row>
    <row r="128" spans="1:4" ht="30.6" customHeight="1">
      <c r="A128" s="293" t="s">
        <v>562</v>
      </c>
      <c r="B128" s="293"/>
      <c r="C128" s="293"/>
      <c r="D128" s="293"/>
    </row>
    <row r="129" spans="1:4" ht="28.9" customHeight="1">
      <c r="A129" s="304" t="s">
        <v>561</v>
      </c>
      <c r="B129" s="304"/>
      <c r="C129" s="304"/>
      <c r="D129" s="304"/>
    </row>
    <row r="131" spans="1:4">
      <c r="A131" s="277" t="s">
        <v>177</v>
      </c>
      <c r="B131" s="277"/>
      <c r="C131" s="277"/>
      <c r="D131" s="277"/>
    </row>
    <row r="132" spans="1:4">
      <c r="A132" s="305" t="s">
        <v>178</v>
      </c>
      <c r="B132" s="306"/>
      <c r="C132" s="307"/>
      <c r="D132" s="33" t="s">
        <v>179</v>
      </c>
    </row>
    <row r="133" spans="1:4">
      <c r="A133" s="36" t="s">
        <v>75</v>
      </c>
      <c r="B133" s="275" t="s">
        <v>72</v>
      </c>
      <c r="C133" s="275"/>
      <c r="D133" s="44">
        <f>D19</f>
        <v>3864.1979999999999</v>
      </c>
    </row>
    <row r="134" spans="1:4">
      <c r="A134" s="36" t="s">
        <v>77</v>
      </c>
      <c r="B134" s="275" t="s">
        <v>89</v>
      </c>
      <c r="C134" s="275"/>
      <c r="D134" s="44">
        <f>D66</f>
        <v>2580.6275751168</v>
      </c>
    </row>
    <row r="135" spans="1:4">
      <c r="A135" s="36" t="s">
        <v>80</v>
      </c>
      <c r="B135" s="275" t="s">
        <v>126</v>
      </c>
      <c r="C135" s="275"/>
      <c r="D135" s="44">
        <f>D77</f>
        <v>285.95189318039763</v>
      </c>
    </row>
    <row r="136" spans="1:4">
      <c r="A136" s="36" t="s">
        <v>81</v>
      </c>
      <c r="B136" s="275" t="s">
        <v>137</v>
      </c>
      <c r="C136" s="275"/>
      <c r="D136" s="44">
        <f>D104</f>
        <v>516.00537079416006</v>
      </c>
    </row>
    <row r="137" spans="1:4">
      <c r="A137" s="36" t="s">
        <v>83</v>
      </c>
      <c r="B137" s="275" t="s">
        <v>156</v>
      </c>
      <c r="C137" s="275"/>
      <c r="D137" s="44">
        <f>D112</f>
        <v>222.96702898550723</v>
      </c>
    </row>
    <row r="138" spans="1:4">
      <c r="A138" s="294" t="s">
        <v>180</v>
      </c>
      <c r="B138" s="294"/>
      <c r="C138" s="294"/>
      <c r="D138" s="46">
        <f>SUM(D133:D137)</f>
        <v>7469.7498680768649</v>
      </c>
    </row>
    <row r="139" spans="1:4">
      <c r="A139" s="36" t="s">
        <v>85</v>
      </c>
      <c r="B139" s="274" t="s">
        <v>162</v>
      </c>
      <c r="C139" s="274"/>
      <c r="D139" s="44">
        <f>D125</f>
        <v>2297.9389696202174</v>
      </c>
    </row>
    <row r="140" spans="1:4">
      <c r="A140" s="277" t="s">
        <v>187</v>
      </c>
      <c r="B140" s="277"/>
      <c r="C140" s="277"/>
      <c r="D140" s="62">
        <f>SUM(D138:D139)</f>
        <v>9767.6888376970819</v>
      </c>
    </row>
    <row r="142" spans="1:4" ht="225" customHeight="1">
      <c r="A142" s="301" t="s">
        <v>590</v>
      </c>
      <c r="B142" s="301"/>
      <c r="C142" s="301"/>
      <c r="D142" s="301"/>
    </row>
  </sheetData>
  <mergeCells count="83">
    <mergeCell ref="A140:C140"/>
    <mergeCell ref="A142:D142"/>
    <mergeCell ref="B134:C134"/>
    <mergeCell ref="B135:C135"/>
    <mergeCell ref="B136:C136"/>
    <mergeCell ref="B137:C137"/>
    <mergeCell ref="A138:C138"/>
    <mergeCell ref="B139:C139"/>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B109:C109"/>
    <mergeCell ref="A92:B92"/>
    <mergeCell ref="A93:D93"/>
    <mergeCell ref="A95:D95"/>
    <mergeCell ref="A98:B98"/>
    <mergeCell ref="A100:D100"/>
    <mergeCell ref="B101:C101"/>
    <mergeCell ref="B102:C102"/>
    <mergeCell ref="A104:C104"/>
    <mergeCell ref="A106:D106"/>
    <mergeCell ref="B107:C107"/>
    <mergeCell ref="B108:C108"/>
    <mergeCell ref="A84:D84"/>
    <mergeCell ref="B62:C62"/>
    <mergeCell ref="B63:C63"/>
    <mergeCell ref="B64:C64"/>
    <mergeCell ref="B65:C65"/>
    <mergeCell ref="A66:C66"/>
    <mergeCell ref="A68:D68"/>
    <mergeCell ref="A77:B77"/>
    <mergeCell ref="A78:D78"/>
    <mergeCell ref="A79:D79"/>
    <mergeCell ref="A81:D81"/>
    <mergeCell ref="A82:D82"/>
    <mergeCell ref="A61:D61"/>
    <mergeCell ref="A32:D32"/>
    <mergeCell ref="A43:B43"/>
    <mergeCell ref="A44:D44"/>
    <mergeCell ref="A45:D45"/>
    <mergeCell ref="A46:D46"/>
    <mergeCell ref="A47:D47"/>
    <mergeCell ref="A48:D48"/>
    <mergeCell ref="A50:D50"/>
    <mergeCell ref="A57:C57"/>
    <mergeCell ref="A58:D58"/>
    <mergeCell ref="A59:D59"/>
    <mergeCell ref="A30:D30"/>
    <mergeCell ref="B15:C15"/>
    <mergeCell ref="B16:C16"/>
    <mergeCell ref="B17:C17"/>
    <mergeCell ref="B18:C18"/>
    <mergeCell ref="A19:C19"/>
    <mergeCell ref="A20:D20"/>
    <mergeCell ref="A22:D22"/>
    <mergeCell ref="A23:D23"/>
    <mergeCell ref="A27:B27"/>
    <mergeCell ref="A28:D28"/>
    <mergeCell ref="A29:D29"/>
    <mergeCell ref="B14:C14"/>
    <mergeCell ref="A1:D1"/>
    <mergeCell ref="A3:D3"/>
    <mergeCell ref="C4:D4"/>
    <mergeCell ref="C5:D5"/>
    <mergeCell ref="C6:D6"/>
    <mergeCell ref="C7:D7"/>
    <mergeCell ref="C8:D8"/>
    <mergeCell ref="C9:D9"/>
    <mergeCell ref="A11:D11"/>
    <mergeCell ref="B12:C12"/>
    <mergeCell ref="B13:C13"/>
  </mergeCells>
  <dataValidations disablePrompts="1" count="1">
    <dataValidation type="list" allowBlank="1" showInputMessage="1" showErrorMessage="1" sqref="C116:D116" xr:uid="{C46312C9-BE45-44BA-AC0E-F502EE4818B3}">
      <formula1>"Lucro presumido,Lucro real"</formula1>
    </dataValidation>
  </dataValidation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4C053-0A24-4B38-8E38-C5EA96C3B4C9}">
  <sheetPr codeName="Planilha7"/>
  <dimension ref="A1:N142"/>
  <sheetViews>
    <sheetView showGridLines="0" topLeftCell="B1" zoomScale="130" zoomScaleNormal="130" workbookViewId="0">
      <selection activeCell="D16" sqref="D16"/>
    </sheetView>
  </sheetViews>
  <sheetFormatPr defaultColWidth="8.7109375" defaultRowHeight="12.75"/>
  <cols>
    <col min="1" max="1" width="5" style="32" bestFit="1" customWidth="1"/>
    <col min="2" max="2" width="45.7109375" style="32" bestFit="1" customWidth="1"/>
    <col min="3" max="3" width="14.140625" style="32" bestFit="1" customWidth="1"/>
    <col min="4" max="4" width="15.28515625" style="32" bestFit="1" customWidth="1"/>
    <col min="5" max="9" width="8.7109375" style="32"/>
    <col min="10" max="10" width="9.42578125" style="32" bestFit="1" customWidth="1"/>
    <col min="11" max="11" width="8.7109375" style="32"/>
    <col min="12" max="12" width="10.42578125" style="32" bestFit="1" customWidth="1"/>
    <col min="13" max="13" width="8.7109375" style="32"/>
    <col min="14" max="14" width="9.42578125" style="32" bestFit="1" customWidth="1"/>
    <col min="15" max="16384" width="8.7109375" style="32"/>
  </cols>
  <sheetData>
    <row r="1" spans="1:14">
      <c r="A1" s="277" t="s">
        <v>62</v>
      </c>
      <c r="B1" s="277"/>
      <c r="C1" s="277"/>
      <c r="D1" s="277"/>
    </row>
    <row r="3" spans="1:14">
      <c r="A3" s="292" t="s">
        <v>63</v>
      </c>
      <c r="B3" s="292"/>
      <c r="C3" s="292"/>
      <c r="D3" s="292"/>
    </row>
    <row r="4" spans="1:14" ht="25.5">
      <c r="A4" s="35">
        <v>1</v>
      </c>
      <c r="B4" s="182" t="s">
        <v>64</v>
      </c>
      <c r="C4" s="299" t="s">
        <v>189</v>
      </c>
      <c r="D4" s="299"/>
    </row>
    <row r="5" spans="1:14">
      <c r="A5" s="34">
        <v>2</v>
      </c>
      <c r="B5" s="26" t="s">
        <v>66</v>
      </c>
      <c r="C5" s="314"/>
      <c r="D5" s="314"/>
    </row>
    <row r="6" spans="1:14">
      <c r="A6" s="34">
        <v>3</v>
      </c>
      <c r="B6" s="26" t="s">
        <v>67</v>
      </c>
      <c r="C6" s="285">
        <v>2200</v>
      </c>
      <c r="D6" s="286"/>
    </row>
    <row r="7" spans="1:14" ht="25.5" customHeight="1">
      <c r="A7" s="34">
        <v>4</v>
      </c>
      <c r="B7" s="26" t="s">
        <v>68</v>
      </c>
      <c r="C7" s="287" t="s">
        <v>588</v>
      </c>
      <c r="D7" s="288"/>
      <c r="K7" s="220">
        <f>J10/220</f>
        <v>17.564536363636364</v>
      </c>
      <c r="L7" s="220">
        <f>K7*20%</f>
        <v>3.512907272727273</v>
      </c>
      <c r="N7" s="220">
        <f>L7*K11</f>
        <v>28.21072762037198</v>
      </c>
    </row>
    <row r="8" spans="1:14">
      <c r="A8" s="34">
        <v>5</v>
      </c>
      <c r="B8" s="26" t="s">
        <v>69</v>
      </c>
      <c r="C8" s="289">
        <v>45047</v>
      </c>
      <c r="D8" s="290"/>
      <c r="N8" s="220">
        <f>N7*15</f>
        <v>423.16091430557969</v>
      </c>
    </row>
    <row r="9" spans="1:14">
      <c r="A9" s="34">
        <v>6</v>
      </c>
      <c r="B9" s="26" t="s">
        <v>70</v>
      </c>
      <c r="C9" s="291" t="s">
        <v>594</v>
      </c>
      <c r="D9" s="290"/>
    </row>
    <row r="10" spans="1:14">
      <c r="J10" s="220">
        <f>D13+D14</f>
        <v>3864.1979999999999</v>
      </c>
    </row>
    <row r="11" spans="1:14">
      <c r="A11" s="277" t="s">
        <v>72</v>
      </c>
      <c r="B11" s="277"/>
      <c r="C11" s="277"/>
      <c r="D11" s="277"/>
      <c r="J11" s="220"/>
      <c r="K11" s="32">
        <f>7/52.3*60</f>
        <v>8.0305927342256211</v>
      </c>
      <c r="L11" s="32">
        <v>15</v>
      </c>
    </row>
    <row r="12" spans="1:14">
      <c r="A12" s="35">
        <v>1</v>
      </c>
      <c r="B12" s="292" t="s">
        <v>73</v>
      </c>
      <c r="C12" s="292"/>
      <c r="D12" s="35" t="s">
        <v>74</v>
      </c>
      <c r="L12" s="220">
        <f>J11*K11*L11</f>
        <v>0</v>
      </c>
    </row>
    <row r="13" spans="1:14">
      <c r="A13" s="36" t="s">
        <v>75</v>
      </c>
      <c r="B13" s="274" t="s">
        <v>76</v>
      </c>
      <c r="C13" s="274"/>
      <c r="D13" s="38">
        <v>2972.46</v>
      </c>
      <c r="L13" s="32" t="s">
        <v>574</v>
      </c>
    </row>
    <row r="14" spans="1:14">
      <c r="A14" s="36" t="s">
        <v>77</v>
      </c>
      <c r="B14" s="42" t="s">
        <v>607</v>
      </c>
      <c r="C14" s="236">
        <v>0.3</v>
      </c>
      <c r="D14" s="39">
        <f>C14*D13</f>
        <v>891.73799999999994</v>
      </c>
    </row>
    <row r="15" spans="1:14">
      <c r="A15" s="36" t="s">
        <v>80</v>
      </c>
      <c r="B15" s="274" t="s">
        <v>185</v>
      </c>
      <c r="C15" s="274"/>
      <c r="D15" s="39"/>
    </row>
    <row r="16" spans="1:14" ht="46.9" customHeight="1">
      <c r="A16" s="36" t="s">
        <v>81</v>
      </c>
      <c r="B16" s="26" t="s">
        <v>606</v>
      </c>
      <c r="C16" s="236">
        <v>0.2</v>
      </c>
      <c r="D16" s="39">
        <f>((D13+D14)/220)*C16*(7/52.3*60)*15</f>
        <v>423.16091430557969</v>
      </c>
      <c r="J16" s="220">
        <f>D13/220</f>
        <v>13.511181818181818</v>
      </c>
      <c r="K16" s="220">
        <f>J16*0.2</f>
        <v>2.7022363636363638</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4287.3589143055797</v>
      </c>
    </row>
    <row r="20" spans="1:4" ht="29.45" customHeight="1">
      <c r="A20" s="295" t="s">
        <v>88</v>
      </c>
      <c r="B20" s="295"/>
      <c r="C20" s="295"/>
      <c r="D20" s="295"/>
    </row>
    <row r="22" spans="1:4">
      <c r="A22" s="277" t="s">
        <v>89</v>
      </c>
      <c r="B22" s="277"/>
      <c r="C22" s="277"/>
      <c r="D22" s="277"/>
    </row>
    <row r="23" spans="1:4">
      <c r="A23" s="294" t="s">
        <v>604</v>
      </c>
      <c r="B23" s="294"/>
      <c r="C23" s="294"/>
      <c r="D23" s="294"/>
    </row>
    <row r="24" spans="1:4" ht="25.5">
      <c r="A24" s="41" t="s">
        <v>90</v>
      </c>
      <c r="B24" s="41" t="s">
        <v>595</v>
      </c>
      <c r="C24" s="33" t="s">
        <v>91</v>
      </c>
      <c r="D24" s="41" t="s">
        <v>74</v>
      </c>
    </row>
    <row r="25" spans="1:4">
      <c r="A25" s="36" t="s">
        <v>75</v>
      </c>
      <c r="B25" s="42" t="s">
        <v>92</v>
      </c>
      <c r="C25" s="43">
        <v>9.0899999999999995E-2</v>
      </c>
      <c r="D25" s="44">
        <f>C25*$D$19</f>
        <v>389.7209253103772</v>
      </c>
    </row>
    <row r="26" spans="1:4">
      <c r="A26" s="36" t="s">
        <v>77</v>
      </c>
      <c r="B26" s="42" t="s">
        <v>589</v>
      </c>
      <c r="C26" s="43">
        <v>3.0300000000000001E-2</v>
      </c>
      <c r="D26" s="44">
        <f>C26*$D$19</f>
        <v>129.90697510345908</v>
      </c>
    </row>
    <row r="27" spans="1:4">
      <c r="A27" s="294" t="s">
        <v>87</v>
      </c>
      <c r="B27" s="294"/>
      <c r="C27" s="45">
        <f t="shared" ref="C27:D27" si="0">SUM(C25:C26)</f>
        <v>0.1212</v>
      </c>
      <c r="D27" s="46">
        <f t="shared" si="0"/>
        <v>519.6279004138363</v>
      </c>
    </row>
    <row r="28" spans="1:4" ht="39.6" customHeight="1">
      <c r="A28" s="293" t="s">
        <v>93</v>
      </c>
      <c r="B28" s="293"/>
      <c r="C28" s="293"/>
      <c r="D28" s="293"/>
    </row>
    <row r="29" spans="1:4" ht="30" customHeight="1">
      <c r="A29" s="293" t="s">
        <v>94</v>
      </c>
      <c r="B29" s="293"/>
      <c r="C29" s="293"/>
      <c r="D29" s="293"/>
    </row>
    <row r="30" spans="1:4" ht="30" customHeight="1">
      <c r="A30" s="293" t="s">
        <v>95</v>
      </c>
      <c r="B30" s="293"/>
      <c r="C30" s="293"/>
      <c r="D30" s="293"/>
    </row>
    <row r="32" spans="1:4">
      <c r="A32" s="312" t="s">
        <v>96</v>
      </c>
      <c r="B32" s="312"/>
      <c r="C32" s="312"/>
      <c r="D32" s="312"/>
    </row>
    <row r="33" spans="1:4">
      <c r="A33" s="47" t="s">
        <v>97</v>
      </c>
      <c r="B33" s="47" t="s">
        <v>98</v>
      </c>
      <c r="C33" s="47" t="s">
        <v>91</v>
      </c>
      <c r="D33" s="47" t="s">
        <v>74</v>
      </c>
    </row>
    <row r="34" spans="1:4">
      <c r="A34" s="36" t="s">
        <v>75</v>
      </c>
      <c r="B34" s="42" t="s">
        <v>99</v>
      </c>
      <c r="C34" s="48">
        <v>0.2</v>
      </c>
      <c r="D34" s="44">
        <f>C34*($D$19+$D$27)</f>
        <v>961.39736294388319</v>
      </c>
    </row>
    <row r="35" spans="1:4">
      <c r="A35" s="36" t="s">
        <v>77</v>
      </c>
      <c r="B35" s="42" t="s">
        <v>100</v>
      </c>
      <c r="C35" s="48">
        <v>2.5000000000000001E-2</v>
      </c>
      <c r="D35" s="44">
        <f>$C35*(D$19+D$27)</f>
        <v>120.1746703679854</v>
      </c>
    </row>
    <row r="36" spans="1:4">
      <c r="A36" s="36" t="s">
        <v>80</v>
      </c>
      <c r="B36" s="42" t="s">
        <v>101</v>
      </c>
      <c r="C36" s="48">
        <v>0.03</v>
      </c>
      <c r="D36" s="44">
        <f t="shared" ref="D36:D40" si="1">C36*($D$19+$D$27)</f>
        <v>144.20960444158246</v>
      </c>
    </row>
    <row r="37" spans="1:4">
      <c r="A37" s="36" t="s">
        <v>81</v>
      </c>
      <c r="B37" s="42" t="s">
        <v>102</v>
      </c>
      <c r="C37" s="48">
        <v>1.4999999999999999E-2</v>
      </c>
      <c r="D37" s="44">
        <f t="shared" si="1"/>
        <v>72.104802220791228</v>
      </c>
    </row>
    <row r="38" spans="1:4">
      <c r="A38" s="36" t="s">
        <v>83</v>
      </c>
      <c r="B38" s="42" t="s">
        <v>103</v>
      </c>
      <c r="C38" s="48">
        <v>0.01</v>
      </c>
      <c r="D38" s="44">
        <f t="shared" si="1"/>
        <v>48.069868147194157</v>
      </c>
    </row>
    <row r="39" spans="1:4">
      <c r="A39" s="36" t="s">
        <v>85</v>
      </c>
      <c r="B39" s="42" t="s">
        <v>104</v>
      </c>
      <c r="C39" s="48">
        <v>6.0000000000000001E-3</v>
      </c>
      <c r="D39" s="44">
        <f t="shared" si="1"/>
        <v>28.841920888316494</v>
      </c>
    </row>
    <row r="40" spans="1:4">
      <c r="A40" s="36" t="s">
        <v>105</v>
      </c>
      <c r="B40" s="42" t="s">
        <v>106</v>
      </c>
      <c r="C40" s="48">
        <v>2E-3</v>
      </c>
      <c r="D40" s="44">
        <f t="shared" si="1"/>
        <v>9.6139736294388314</v>
      </c>
    </row>
    <row r="41" spans="1:4">
      <c r="A41" s="36" t="s">
        <v>107</v>
      </c>
      <c r="B41" s="42" t="s">
        <v>108</v>
      </c>
      <c r="C41" s="48">
        <v>0.08</v>
      </c>
      <c r="D41" s="44">
        <f>C41*($D$19+$D$27)</f>
        <v>384.55894517755326</v>
      </c>
    </row>
    <row r="42" spans="1:4">
      <c r="A42" s="36" t="s">
        <v>24</v>
      </c>
      <c r="B42" s="42" t="s">
        <v>109</v>
      </c>
      <c r="C42" s="48">
        <v>0</v>
      </c>
      <c r="D42" s="44">
        <f>C42*($D$19+$D$27)</f>
        <v>0</v>
      </c>
    </row>
    <row r="43" spans="1:4">
      <c r="A43" s="313" t="s">
        <v>87</v>
      </c>
      <c r="B43" s="313"/>
      <c r="C43" s="49">
        <f>SUM(C34:C42)</f>
        <v>0.36800000000000005</v>
      </c>
      <c r="D43" s="50">
        <f>SUM(D34:D42)</f>
        <v>1768.9711478167451</v>
      </c>
    </row>
    <row r="44" spans="1:4" ht="33.6" customHeight="1">
      <c r="A44" s="293" t="s">
        <v>110</v>
      </c>
      <c r="B44" s="293"/>
      <c r="C44" s="293"/>
      <c r="D44" s="293"/>
    </row>
    <row r="45" spans="1:4" ht="33.6" customHeight="1">
      <c r="A45" s="293" t="s">
        <v>111</v>
      </c>
      <c r="B45" s="293"/>
      <c r="C45" s="293"/>
      <c r="D45" s="293"/>
    </row>
    <row r="46" spans="1:4" ht="33.6" customHeight="1">
      <c r="A46" s="293" t="s">
        <v>112</v>
      </c>
      <c r="B46" s="293"/>
      <c r="C46" s="293"/>
      <c r="D46" s="293"/>
    </row>
    <row r="47" spans="1:4" ht="33.6" customHeight="1">
      <c r="A47" s="293" t="s">
        <v>113</v>
      </c>
      <c r="B47" s="293"/>
      <c r="C47" s="293"/>
      <c r="D47" s="293"/>
    </row>
    <row r="48" spans="1:4" ht="33.6" customHeight="1">
      <c r="A48" s="293" t="s">
        <v>114</v>
      </c>
      <c r="B48" s="293"/>
      <c r="C48" s="293"/>
      <c r="D48" s="293"/>
    </row>
    <row r="50" spans="1:4">
      <c r="A50" s="299" t="s">
        <v>115</v>
      </c>
      <c r="B50" s="299"/>
      <c r="C50" s="299"/>
      <c r="D50" s="299"/>
    </row>
    <row r="51" spans="1:4">
      <c r="A51" s="33" t="s">
        <v>116</v>
      </c>
      <c r="B51" s="33" t="s">
        <v>117</v>
      </c>
      <c r="C51" s="33" t="s">
        <v>118</v>
      </c>
      <c r="D51" s="33" t="s">
        <v>74</v>
      </c>
    </row>
    <row r="52" spans="1:4" ht="19.899999999999999" customHeight="1">
      <c r="A52" s="36" t="s">
        <v>75</v>
      </c>
      <c r="B52" s="26" t="s">
        <v>554</v>
      </c>
      <c r="C52" s="34">
        <v>15</v>
      </c>
      <c r="D52" s="44">
        <f>ROUND((((3.8+5.5)*2*C52)-6%*D13),2)</f>
        <v>100.65</v>
      </c>
    </row>
    <row r="53" spans="1:4" ht="26.45" customHeight="1">
      <c r="A53" s="36" t="s">
        <v>77</v>
      </c>
      <c r="B53" s="26" t="s">
        <v>592</v>
      </c>
      <c r="C53" s="34">
        <v>15</v>
      </c>
      <c r="D53" s="44">
        <f>C53*(24.25*0.91)</f>
        <v>331.01249999999999</v>
      </c>
    </row>
    <row r="54" spans="1:4" ht="25.5">
      <c r="A54" s="36" t="s">
        <v>80</v>
      </c>
      <c r="B54" s="235" t="s">
        <v>591</v>
      </c>
      <c r="C54" s="34">
        <v>15</v>
      </c>
      <c r="D54" s="44">
        <f>5.75*C54</f>
        <v>86.25</v>
      </c>
    </row>
    <row r="55" spans="1:4">
      <c r="A55" s="36" t="s">
        <v>81</v>
      </c>
      <c r="B55" s="42" t="s">
        <v>120</v>
      </c>
      <c r="C55" s="51"/>
      <c r="D55" s="44"/>
    </row>
    <row r="56" spans="1:4">
      <c r="A56" s="36" t="s">
        <v>83</v>
      </c>
      <c r="B56" s="42" t="s">
        <v>121</v>
      </c>
      <c r="C56" s="51"/>
      <c r="D56" s="44"/>
    </row>
    <row r="57" spans="1:4">
      <c r="A57" s="313" t="s">
        <v>87</v>
      </c>
      <c r="B57" s="313"/>
      <c r="C57" s="313"/>
      <c r="D57" s="50">
        <f>SUM(D52:D56)</f>
        <v>517.91250000000002</v>
      </c>
    </row>
    <row r="58" spans="1:4" ht="31.9" customHeight="1">
      <c r="A58" s="293" t="s">
        <v>122</v>
      </c>
      <c r="B58" s="293"/>
      <c r="C58" s="293"/>
      <c r="D58" s="293"/>
    </row>
    <row r="59" spans="1:4" ht="31.9" customHeight="1">
      <c r="A59" s="293" t="s">
        <v>558</v>
      </c>
      <c r="B59" s="293"/>
      <c r="C59" s="293"/>
      <c r="D59" s="293"/>
    </row>
    <row r="61" spans="1:4">
      <c r="A61" s="277" t="s">
        <v>124</v>
      </c>
      <c r="B61" s="277"/>
      <c r="C61" s="277"/>
      <c r="D61" s="277"/>
    </row>
    <row r="62" spans="1:4">
      <c r="A62" s="35">
        <v>2</v>
      </c>
      <c r="B62" s="294" t="s">
        <v>125</v>
      </c>
      <c r="C62" s="294"/>
      <c r="D62" s="35" t="s">
        <v>74</v>
      </c>
    </row>
    <row r="63" spans="1:4">
      <c r="A63" s="36" t="s">
        <v>90</v>
      </c>
      <c r="B63" s="275" t="s">
        <v>595</v>
      </c>
      <c r="C63" s="275"/>
      <c r="D63" s="44">
        <f>D27</f>
        <v>519.6279004138363</v>
      </c>
    </row>
    <row r="64" spans="1:4">
      <c r="A64" s="36" t="s">
        <v>97</v>
      </c>
      <c r="B64" s="274" t="s">
        <v>98</v>
      </c>
      <c r="C64" s="274"/>
      <c r="D64" s="44">
        <f>D43</f>
        <v>1768.9711478167451</v>
      </c>
    </row>
    <row r="65" spans="1:4">
      <c r="A65" s="36" t="s">
        <v>116</v>
      </c>
      <c r="B65" s="274" t="s">
        <v>117</v>
      </c>
      <c r="C65" s="274"/>
      <c r="D65" s="44">
        <f>D57</f>
        <v>517.91250000000002</v>
      </c>
    </row>
    <row r="66" spans="1:4">
      <c r="A66" s="296" t="s">
        <v>87</v>
      </c>
      <c r="B66" s="311"/>
      <c r="C66" s="297"/>
      <c r="D66" s="46">
        <f>SUM(D63:D65)</f>
        <v>2806.5115482305814</v>
      </c>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20.189344621821544</v>
      </c>
    </row>
    <row r="71" spans="1:4">
      <c r="A71" s="36" t="s">
        <v>77</v>
      </c>
      <c r="B71" s="26" t="s">
        <v>129</v>
      </c>
      <c r="C71" s="48">
        <v>2.9999999999999997E-4</v>
      </c>
      <c r="D71" s="44">
        <f t="shared" si="2"/>
        <v>1.4420960444158246</v>
      </c>
    </row>
    <row r="72" spans="1:4" ht="25.5">
      <c r="A72" s="36" t="s">
        <v>80</v>
      </c>
      <c r="B72" s="26" t="s">
        <v>130</v>
      </c>
      <c r="C72" s="53">
        <v>9.9999999999999995E-7</v>
      </c>
      <c r="D72" s="44">
        <f t="shared" si="2"/>
        <v>4.8069868147194153E-3</v>
      </c>
    </row>
    <row r="73" spans="1:4">
      <c r="A73" s="36" t="s">
        <v>81</v>
      </c>
      <c r="B73" s="26" t="s">
        <v>131</v>
      </c>
      <c r="C73" s="54">
        <v>1.9400000000000001E-2</v>
      </c>
      <c r="D73" s="44">
        <f>C73*($D$19+$D$27)</f>
        <v>93.25554420555666</v>
      </c>
    </row>
    <row r="74" spans="1:4" ht="25.5">
      <c r="A74" s="36" t="s">
        <v>83</v>
      </c>
      <c r="B74" s="26" t="s">
        <v>132</v>
      </c>
      <c r="C74" s="48">
        <v>7.1000000000000004E-3</v>
      </c>
      <c r="D74" s="44">
        <f>C74*($D$19+$D$27)</f>
        <v>34.129606384507852</v>
      </c>
    </row>
    <row r="75" spans="1:4" ht="25.5">
      <c r="A75" s="36" t="s">
        <v>85</v>
      </c>
      <c r="B75" s="26" t="s">
        <v>133</v>
      </c>
      <c r="C75" s="48">
        <v>1E-4</v>
      </c>
      <c r="D75" s="44">
        <f t="shared" si="2"/>
        <v>0.48069868147194161</v>
      </c>
    </row>
    <row r="76" spans="1:4">
      <c r="A76" s="55" t="s">
        <v>105</v>
      </c>
      <c r="B76" s="56" t="s">
        <v>134</v>
      </c>
      <c r="C76" s="48">
        <v>3.49E-2</v>
      </c>
      <c r="D76" s="44">
        <f>C76*($D$19+$D$27)</f>
        <v>167.76383983370761</v>
      </c>
    </row>
    <row r="77" spans="1:4">
      <c r="A77" s="296" t="s">
        <v>87</v>
      </c>
      <c r="B77" s="297"/>
      <c r="C77" s="45">
        <f t="shared" ref="C77:D77" si="3">SUM(C70:C76)</f>
        <v>6.6001000000000004E-2</v>
      </c>
      <c r="D77" s="46">
        <f t="shared" si="3"/>
        <v>317.26593675829616</v>
      </c>
    </row>
    <row r="78" spans="1:4" ht="34.15" customHeight="1">
      <c r="A78" s="293" t="s">
        <v>135</v>
      </c>
      <c r="B78" s="293"/>
      <c r="C78" s="293"/>
      <c r="D78" s="293"/>
    </row>
    <row r="79" spans="1:4" ht="30" customHeight="1">
      <c r="A79" s="293" t="s">
        <v>136</v>
      </c>
      <c r="B79" s="293"/>
      <c r="C79" s="293"/>
      <c r="D79" s="293"/>
    </row>
    <row r="81" spans="1:4">
      <c r="A81" s="277" t="s">
        <v>137</v>
      </c>
      <c r="B81" s="277"/>
      <c r="C81" s="277"/>
      <c r="D81" s="277"/>
    </row>
    <row r="82" spans="1:4" ht="46.15" customHeight="1">
      <c r="A82" s="275" t="s">
        <v>138</v>
      </c>
      <c r="B82" s="275"/>
      <c r="C82" s="275"/>
      <c r="D82" s="275"/>
    </row>
    <row r="84" spans="1:4">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436.95510145799483</v>
      </c>
    </row>
    <row r="87" spans="1:4">
      <c r="A87" s="36" t="s">
        <v>77</v>
      </c>
      <c r="B87" s="26" t="s">
        <v>143</v>
      </c>
      <c r="C87" s="48">
        <v>8.2000000000000007E-3</v>
      </c>
      <c r="D87" s="44">
        <f t="shared" si="4"/>
        <v>39.41729188069921</v>
      </c>
    </row>
    <row r="88" spans="1:4">
      <c r="A88" s="36" t="s">
        <v>80</v>
      </c>
      <c r="B88" s="26" t="s">
        <v>144</v>
      </c>
      <c r="C88" s="48">
        <v>2.0000000000000001E-4</v>
      </c>
      <c r="D88" s="44">
        <f t="shared" si="4"/>
        <v>0.96139736294388323</v>
      </c>
    </row>
    <row r="89" spans="1:4" ht="25.5">
      <c r="A89" s="36" t="s">
        <v>81</v>
      </c>
      <c r="B89" s="26" t="s">
        <v>145</v>
      </c>
      <c r="C89" s="48">
        <v>2.9999999999999997E-4</v>
      </c>
      <c r="D89" s="44">
        <f t="shared" si="4"/>
        <v>1.4420960444158246</v>
      </c>
    </row>
    <row r="90" spans="1:4">
      <c r="A90" s="36" t="s">
        <v>83</v>
      </c>
      <c r="B90" s="26" t="s">
        <v>146</v>
      </c>
      <c r="C90" s="48">
        <v>2.8999999999999998E-3</v>
      </c>
      <c r="D90" s="44">
        <f t="shared" si="4"/>
        <v>13.940261762686305</v>
      </c>
    </row>
    <row r="91" spans="1:4" ht="25.5">
      <c r="A91" s="36" t="s">
        <v>85</v>
      </c>
      <c r="B91" s="26" t="s">
        <v>147</v>
      </c>
      <c r="C91" s="48">
        <v>1.66E-2</v>
      </c>
      <c r="D91" s="44">
        <f t="shared" si="4"/>
        <v>79.795981124342305</v>
      </c>
    </row>
    <row r="92" spans="1:4">
      <c r="A92" s="296" t="s">
        <v>87</v>
      </c>
      <c r="B92" s="297"/>
      <c r="C92" s="45">
        <f t="shared" ref="C92:D92" si="5">SUM(C86:C91)</f>
        <v>0.1191</v>
      </c>
      <c r="D92" s="46">
        <f t="shared" si="5"/>
        <v>572.5121296330824</v>
      </c>
    </row>
    <row r="93" spans="1:4" ht="27" customHeight="1">
      <c r="A93" s="293" t="s">
        <v>148</v>
      </c>
      <c r="B93" s="293"/>
      <c r="C93" s="293"/>
      <c r="D93" s="293"/>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572.5121296330824</v>
      </c>
    </row>
    <row r="103" spans="1:4">
      <c r="A103" s="36" t="s">
        <v>150</v>
      </c>
      <c r="B103" s="42" t="s">
        <v>155</v>
      </c>
      <c r="C103" s="42"/>
      <c r="D103" s="57">
        <f>C98</f>
        <v>0</v>
      </c>
    </row>
    <row r="104" spans="1:4">
      <c r="A104" s="294" t="s">
        <v>87</v>
      </c>
      <c r="B104" s="294"/>
      <c r="C104" s="294"/>
      <c r="D104" s="46">
        <f>SUM(D102:D103)</f>
        <v>572.5121296330824</v>
      </c>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4 Uniformes e EPIS'!$E$57+'TABELA 5 - Ferramentas'!$I$145</f>
        <v>125.27536231884056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222.96702898550723</v>
      </c>
    </row>
    <row r="113" spans="1:4">
      <c r="A113" s="293" t="s">
        <v>161</v>
      </c>
      <c r="B113" s="293"/>
      <c r="C113" s="293"/>
      <c r="D113" s="293"/>
    </row>
    <row r="115" spans="1:4">
      <c r="A115" s="277" t="s">
        <v>162</v>
      </c>
      <c r="B115" s="277"/>
      <c r="C115" s="277"/>
      <c r="D115" s="277"/>
    </row>
    <row r="116" spans="1:4">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410.33077789565232</v>
      </c>
    </row>
    <row r="119" spans="1:4">
      <c r="A119" s="36" t="s">
        <v>77</v>
      </c>
      <c r="B119" s="42" t="s">
        <v>166</v>
      </c>
      <c r="C119" s="191">
        <v>6.7900000000000002E-2</v>
      </c>
      <c r="D119" s="192">
        <f>$C119*(D$138+D118)</f>
        <v>585.09065620141064</v>
      </c>
    </row>
    <row r="120" spans="1:4">
      <c r="A120" s="187" t="s">
        <v>80</v>
      </c>
      <c r="B120" s="188" t="s">
        <v>167</v>
      </c>
      <c r="C120" s="193">
        <f>SUM(C121:C123)</f>
        <v>0.14250000000000002</v>
      </c>
      <c r="D120" s="192">
        <f>(D$138+D$119+D$118)*($C120/IF($C116="Lucro presumido",91.45%,85.75%))</f>
        <v>1529.2014826372481</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8">
        <f>SUM(D118:D124)</f>
        <v>2524.6229167343108</v>
      </c>
    </row>
    <row r="126" spans="1:4">
      <c r="A126" s="293" t="s">
        <v>175</v>
      </c>
      <c r="B126" s="293"/>
      <c r="C126" s="293"/>
      <c r="D126" s="293"/>
    </row>
    <row r="127" spans="1:4" ht="27.6" customHeight="1">
      <c r="A127" s="293" t="s">
        <v>176</v>
      </c>
      <c r="B127" s="293"/>
      <c r="C127" s="293"/>
      <c r="D127" s="293"/>
    </row>
    <row r="128" spans="1:4" ht="27.6" customHeight="1">
      <c r="A128" s="293" t="s">
        <v>562</v>
      </c>
      <c r="B128" s="293"/>
      <c r="C128" s="293"/>
      <c r="D128" s="293"/>
    </row>
    <row r="129" spans="1:4" ht="30" customHeight="1">
      <c r="A129" s="304" t="s">
        <v>561</v>
      </c>
      <c r="B129" s="304"/>
      <c r="C129" s="304"/>
      <c r="D129" s="304"/>
    </row>
    <row r="131" spans="1:4">
      <c r="A131" s="277" t="s">
        <v>177</v>
      </c>
      <c r="B131" s="277"/>
      <c r="C131" s="277"/>
      <c r="D131" s="277"/>
    </row>
    <row r="132" spans="1:4">
      <c r="A132" s="305" t="s">
        <v>178</v>
      </c>
      <c r="B132" s="306"/>
      <c r="C132" s="307"/>
      <c r="D132" s="33" t="s">
        <v>179</v>
      </c>
    </row>
    <row r="133" spans="1:4">
      <c r="A133" s="36" t="s">
        <v>75</v>
      </c>
      <c r="B133" s="275" t="s">
        <v>72</v>
      </c>
      <c r="C133" s="275"/>
      <c r="D133" s="44">
        <f>D19</f>
        <v>4287.3589143055797</v>
      </c>
    </row>
    <row r="134" spans="1:4">
      <c r="A134" s="36" t="s">
        <v>77</v>
      </c>
      <c r="B134" s="275" t="s">
        <v>89</v>
      </c>
      <c r="C134" s="275"/>
      <c r="D134" s="44">
        <f>D66</f>
        <v>2806.5115482305814</v>
      </c>
    </row>
    <row r="135" spans="1:4">
      <c r="A135" s="36" t="s">
        <v>80</v>
      </c>
      <c r="B135" s="275" t="s">
        <v>126</v>
      </c>
      <c r="C135" s="275"/>
      <c r="D135" s="44">
        <f>D77</f>
        <v>317.26593675829616</v>
      </c>
    </row>
    <row r="136" spans="1:4">
      <c r="A136" s="36" t="s">
        <v>81</v>
      </c>
      <c r="B136" s="275" t="s">
        <v>137</v>
      </c>
      <c r="C136" s="275"/>
      <c r="D136" s="44">
        <f>D104</f>
        <v>572.5121296330824</v>
      </c>
    </row>
    <row r="137" spans="1:4">
      <c r="A137" s="36" t="s">
        <v>83</v>
      </c>
      <c r="B137" s="275" t="s">
        <v>156</v>
      </c>
      <c r="C137" s="275"/>
      <c r="D137" s="44">
        <f>D112</f>
        <v>222.96702898550723</v>
      </c>
    </row>
    <row r="138" spans="1:4">
      <c r="A138" s="294" t="s">
        <v>180</v>
      </c>
      <c r="B138" s="294"/>
      <c r="C138" s="294"/>
      <c r="D138" s="46">
        <f>SUM(D133:D137)</f>
        <v>8206.6155579130464</v>
      </c>
    </row>
    <row r="139" spans="1:4">
      <c r="A139" s="36" t="s">
        <v>85</v>
      </c>
      <c r="B139" s="274" t="s">
        <v>162</v>
      </c>
      <c r="C139" s="274"/>
      <c r="D139" s="44">
        <f>D125</f>
        <v>2524.6229167343108</v>
      </c>
    </row>
    <row r="140" spans="1:4">
      <c r="A140" s="277" t="s">
        <v>187</v>
      </c>
      <c r="B140" s="277"/>
      <c r="C140" s="277"/>
      <c r="D140" s="62">
        <f>SUM(D138:D139)</f>
        <v>10731.238474647358</v>
      </c>
    </row>
    <row r="142" spans="1:4" ht="225" customHeight="1">
      <c r="A142" s="301" t="s">
        <v>590</v>
      </c>
      <c r="B142" s="301"/>
      <c r="C142" s="301"/>
      <c r="D142" s="301"/>
    </row>
  </sheetData>
  <mergeCells count="81">
    <mergeCell ref="A1:D1"/>
    <mergeCell ref="A3:D3"/>
    <mergeCell ref="C4:D4"/>
    <mergeCell ref="C5:D5"/>
    <mergeCell ref="C6:D6"/>
    <mergeCell ref="C7:D7"/>
    <mergeCell ref="C8:D8"/>
    <mergeCell ref="C9:D9"/>
    <mergeCell ref="A11:D11"/>
    <mergeCell ref="B12:C12"/>
    <mergeCell ref="B13:C13"/>
    <mergeCell ref="A30:D30"/>
    <mergeCell ref="B15:C15"/>
    <mergeCell ref="B17:C17"/>
    <mergeCell ref="B18:C18"/>
    <mergeCell ref="A19:C19"/>
    <mergeCell ref="A20:D20"/>
    <mergeCell ref="A22:D22"/>
    <mergeCell ref="A23:D23"/>
    <mergeCell ref="A27:B27"/>
    <mergeCell ref="A28:D28"/>
    <mergeCell ref="A29:D29"/>
    <mergeCell ref="A61:D61"/>
    <mergeCell ref="A32:D32"/>
    <mergeCell ref="A43:B43"/>
    <mergeCell ref="A44:D44"/>
    <mergeCell ref="A45:D45"/>
    <mergeCell ref="A46:D46"/>
    <mergeCell ref="A47:D47"/>
    <mergeCell ref="A48:D48"/>
    <mergeCell ref="A50:D50"/>
    <mergeCell ref="A57:C57"/>
    <mergeCell ref="A58:D58"/>
    <mergeCell ref="A59:D59"/>
    <mergeCell ref="A84:D84"/>
    <mergeCell ref="B62:C62"/>
    <mergeCell ref="B63:C63"/>
    <mergeCell ref="B64:C64"/>
    <mergeCell ref="B65:C65"/>
    <mergeCell ref="A66:C66"/>
    <mergeCell ref="A68:D68"/>
    <mergeCell ref="A77:B77"/>
    <mergeCell ref="A78:D78"/>
    <mergeCell ref="A79:D79"/>
    <mergeCell ref="A81:D81"/>
    <mergeCell ref="A82:D82"/>
    <mergeCell ref="B109:C109"/>
    <mergeCell ref="A92:B92"/>
    <mergeCell ref="A93:D93"/>
    <mergeCell ref="A95:D95"/>
    <mergeCell ref="A98:B98"/>
    <mergeCell ref="A100:D100"/>
    <mergeCell ref="B101:C101"/>
    <mergeCell ref="B102:C102"/>
    <mergeCell ref="A104:C104"/>
    <mergeCell ref="A106:D106"/>
    <mergeCell ref="B107:C107"/>
    <mergeCell ref="B108:C108"/>
    <mergeCell ref="B133:C133"/>
    <mergeCell ref="B110:C110"/>
    <mergeCell ref="B111:C111"/>
    <mergeCell ref="A112:C112"/>
    <mergeCell ref="A113:D113"/>
    <mergeCell ref="A115:D115"/>
    <mergeCell ref="A116:B116"/>
    <mergeCell ref="C116:D116"/>
    <mergeCell ref="A125:B125"/>
    <mergeCell ref="A126:D126"/>
    <mergeCell ref="A127:D127"/>
    <mergeCell ref="A131:D131"/>
    <mergeCell ref="A132:C132"/>
    <mergeCell ref="A129:D129"/>
    <mergeCell ref="A128:D128"/>
    <mergeCell ref="A140:C140"/>
    <mergeCell ref="A142:D142"/>
    <mergeCell ref="B134:C134"/>
    <mergeCell ref="B135:C135"/>
    <mergeCell ref="B136:C136"/>
    <mergeCell ref="B137:C137"/>
    <mergeCell ref="A138:C138"/>
    <mergeCell ref="B139:C139"/>
  </mergeCells>
  <dataValidations count="1">
    <dataValidation type="list" allowBlank="1" showInputMessage="1" showErrorMessage="1" sqref="C116:D116" xr:uid="{8B30A144-0886-4842-8091-33B07BDB39C7}">
      <formula1>"Lucro presumido,Lucro real"</formula1>
    </dataValidation>
  </dataValidation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8">
    <tabColor theme="9" tint="0.59999389629810485"/>
    <pageSetUpPr fitToPage="1"/>
  </sheetPr>
  <dimension ref="A1:D146"/>
  <sheetViews>
    <sheetView showGridLines="0" zoomScaleNormal="100" workbookViewId="0">
      <selection activeCell="B63" sqref="B63:C63"/>
    </sheetView>
  </sheetViews>
  <sheetFormatPr defaultColWidth="8.7109375" defaultRowHeight="12.75"/>
  <cols>
    <col min="1" max="1" width="5" style="32" bestFit="1" customWidth="1"/>
    <col min="2" max="2" width="58" style="32" customWidth="1"/>
    <col min="3" max="3" width="14.140625" style="32" bestFit="1" customWidth="1"/>
    <col min="4" max="4" width="17.140625" style="32" bestFit="1" customWidth="1"/>
    <col min="5" max="16384" width="8.7109375" style="32"/>
  </cols>
  <sheetData>
    <row r="1" spans="1:4">
      <c r="A1" s="277" t="s">
        <v>62</v>
      </c>
      <c r="B1" s="277"/>
      <c r="C1" s="277"/>
      <c r="D1" s="277"/>
    </row>
    <row r="3" spans="1:4">
      <c r="A3" s="292" t="s">
        <v>63</v>
      </c>
      <c r="B3" s="292"/>
      <c r="C3" s="292"/>
      <c r="D3" s="292"/>
    </row>
    <row r="4" spans="1:4" ht="25.5">
      <c r="A4" s="35">
        <v>1</v>
      </c>
      <c r="B4" s="182" t="s">
        <v>64</v>
      </c>
      <c r="C4" s="299" t="s">
        <v>190</v>
      </c>
      <c r="D4" s="299"/>
    </row>
    <row r="5" spans="1:4">
      <c r="A5" s="34">
        <v>2</v>
      </c>
      <c r="B5" s="26" t="s">
        <v>66</v>
      </c>
      <c r="C5" s="314"/>
      <c r="D5" s="314"/>
    </row>
    <row r="6" spans="1:4">
      <c r="A6" s="34">
        <v>3</v>
      </c>
      <c r="B6" s="26" t="s">
        <v>67</v>
      </c>
      <c r="C6" s="315">
        <v>3827.96</v>
      </c>
      <c r="D6" s="315"/>
    </row>
    <row r="7" spans="1:4" ht="25.5" customHeight="1">
      <c r="A7" s="34">
        <v>4</v>
      </c>
      <c r="B7" s="26" t="s">
        <v>68</v>
      </c>
      <c r="C7" s="287" t="s">
        <v>588</v>
      </c>
      <c r="D7" s="288"/>
    </row>
    <row r="8" spans="1:4">
      <c r="A8" s="34">
        <v>5</v>
      </c>
      <c r="B8" s="26" t="s">
        <v>69</v>
      </c>
      <c r="C8" s="289">
        <v>45047</v>
      </c>
      <c r="D8" s="290"/>
    </row>
    <row r="9" spans="1:4" ht="28.9" customHeight="1">
      <c r="A9" s="34">
        <v>6</v>
      </c>
      <c r="B9" s="26" t="s">
        <v>70</v>
      </c>
      <c r="C9" s="291" t="s">
        <v>594</v>
      </c>
      <c r="D9" s="290"/>
    </row>
    <row r="11" spans="1:4">
      <c r="A11" s="277" t="s">
        <v>72</v>
      </c>
      <c r="B11" s="277"/>
      <c r="C11" s="277"/>
      <c r="D11" s="277"/>
    </row>
    <row r="12" spans="1:4">
      <c r="A12" s="35">
        <v>1</v>
      </c>
      <c r="B12" s="292" t="s">
        <v>73</v>
      </c>
      <c r="C12" s="292"/>
      <c r="D12" s="35" t="s">
        <v>74</v>
      </c>
    </row>
    <row r="13" spans="1:4">
      <c r="A13" s="36" t="s">
        <v>75</v>
      </c>
      <c r="B13" s="274" t="s">
        <v>76</v>
      </c>
      <c r="C13" s="274"/>
      <c r="D13" s="38">
        <f>C6</f>
        <v>3827.96</v>
      </c>
    </row>
    <row r="14" spans="1:4">
      <c r="A14" s="36" t="s">
        <v>77</v>
      </c>
      <c r="B14" s="274" t="s">
        <v>191</v>
      </c>
      <c r="C14" s="274"/>
      <c r="D14" s="39" t="s">
        <v>79</v>
      </c>
    </row>
    <row r="15" spans="1:4">
      <c r="A15" s="36" t="s">
        <v>80</v>
      </c>
      <c r="B15" s="274" t="s">
        <v>185</v>
      </c>
      <c r="C15" s="274"/>
      <c r="D15" s="39"/>
    </row>
    <row r="16" spans="1:4">
      <c r="A16" s="36" t="s">
        <v>81</v>
      </c>
      <c r="B16" s="274" t="s">
        <v>82</v>
      </c>
      <c r="C16" s="274"/>
      <c r="D16" s="39" t="s">
        <v>79</v>
      </c>
    </row>
    <row r="17" spans="1:4">
      <c r="A17" s="36" t="s">
        <v>83</v>
      </c>
      <c r="B17" s="274" t="s">
        <v>84</v>
      </c>
      <c r="C17" s="274"/>
      <c r="D17" s="39" t="s">
        <v>79</v>
      </c>
    </row>
    <row r="18" spans="1:4">
      <c r="A18" s="36" t="s">
        <v>85</v>
      </c>
      <c r="B18" s="274" t="s">
        <v>86</v>
      </c>
      <c r="C18" s="274"/>
      <c r="D18" s="39" t="s">
        <v>79</v>
      </c>
    </row>
    <row r="19" spans="1:4">
      <c r="A19" s="294" t="s">
        <v>87</v>
      </c>
      <c r="B19" s="294"/>
      <c r="C19" s="294"/>
      <c r="D19" s="40">
        <f>SUM(D13:D18)</f>
        <v>3827.96</v>
      </c>
    </row>
    <row r="20" spans="1:4" ht="34.15" customHeight="1">
      <c r="A20" s="295" t="s">
        <v>88</v>
      </c>
      <c r="B20" s="295"/>
      <c r="C20" s="295"/>
      <c r="D20" s="295"/>
    </row>
    <row r="22" spans="1:4">
      <c r="A22" s="277" t="s">
        <v>89</v>
      </c>
      <c r="B22" s="277"/>
      <c r="C22" s="277"/>
      <c r="D22" s="277"/>
    </row>
    <row r="23" spans="1:4">
      <c r="A23" s="294" t="s">
        <v>604</v>
      </c>
      <c r="B23" s="294"/>
      <c r="C23" s="294"/>
      <c r="D23" s="294"/>
    </row>
    <row r="24" spans="1:4">
      <c r="A24" s="41" t="s">
        <v>90</v>
      </c>
      <c r="B24" s="41" t="s">
        <v>595</v>
      </c>
      <c r="C24" s="33" t="s">
        <v>91</v>
      </c>
      <c r="D24" s="41" t="s">
        <v>74</v>
      </c>
    </row>
    <row r="25" spans="1:4">
      <c r="A25" s="36" t="s">
        <v>75</v>
      </c>
      <c r="B25" s="42" t="s">
        <v>92</v>
      </c>
      <c r="C25" s="43">
        <v>9.0899999999999995E-2</v>
      </c>
      <c r="D25" s="44">
        <f>C25*$D$19</f>
        <v>347.96156400000001</v>
      </c>
    </row>
    <row r="26" spans="1:4">
      <c r="A26" s="36" t="s">
        <v>77</v>
      </c>
      <c r="B26" s="42" t="s">
        <v>589</v>
      </c>
      <c r="C26" s="43">
        <v>3.0300000000000001E-2</v>
      </c>
      <c r="D26" s="44">
        <f>C26*$D$19</f>
        <v>115.987188</v>
      </c>
    </row>
    <row r="27" spans="1:4">
      <c r="A27" s="294" t="s">
        <v>87</v>
      </c>
      <c r="B27" s="294"/>
      <c r="C27" s="45">
        <f t="shared" ref="C27:D27" si="0">SUM(C25:C26)</f>
        <v>0.1212</v>
      </c>
      <c r="D27" s="46">
        <f t="shared" si="0"/>
        <v>463.94875200000001</v>
      </c>
    </row>
    <row r="28" spans="1:4" ht="45.6" customHeight="1">
      <c r="A28" s="293" t="s">
        <v>93</v>
      </c>
      <c r="B28" s="293"/>
      <c r="C28" s="293"/>
      <c r="D28" s="293"/>
    </row>
    <row r="29" spans="1:4" ht="28.15" customHeight="1">
      <c r="A29" s="293" t="s">
        <v>94</v>
      </c>
      <c r="B29" s="293"/>
      <c r="C29" s="293"/>
      <c r="D29" s="293"/>
    </row>
    <row r="30" spans="1:4" ht="31.15" customHeight="1">
      <c r="A30" s="293" t="s">
        <v>192</v>
      </c>
      <c r="B30" s="293"/>
      <c r="C30" s="293"/>
      <c r="D30" s="293"/>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858.3817504000001</v>
      </c>
    </row>
    <row r="35" spans="1:4">
      <c r="A35" s="36" t="s">
        <v>77</v>
      </c>
      <c r="B35" s="42" t="s">
        <v>100</v>
      </c>
      <c r="C35" s="48">
        <v>2.5000000000000001E-2</v>
      </c>
      <c r="D35" s="44">
        <f>$C35*(D$19+D$27)</f>
        <v>107.29771880000001</v>
      </c>
    </row>
    <row r="36" spans="1:4">
      <c r="A36" s="36" t="s">
        <v>80</v>
      </c>
      <c r="B36" s="42" t="s">
        <v>101</v>
      </c>
      <c r="C36" s="48">
        <v>0.03</v>
      </c>
      <c r="D36" s="44">
        <f t="shared" ref="D36:D40" si="1">C36*($D$19+$D$27)</f>
        <v>128.75726256000002</v>
      </c>
    </row>
    <row r="37" spans="1:4">
      <c r="A37" s="36" t="s">
        <v>81</v>
      </c>
      <c r="B37" s="42" t="s">
        <v>102</v>
      </c>
      <c r="C37" s="48">
        <v>1.4999999999999999E-2</v>
      </c>
      <c r="D37" s="44">
        <f t="shared" si="1"/>
        <v>64.378631280000008</v>
      </c>
    </row>
    <row r="38" spans="1:4">
      <c r="A38" s="36" t="s">
        <v>83</v>
      </c>
      <c r="B38" s="42" t="s">
        <v>103</v>
      </c>
      <c r="C38" s="48">
        <v>0.01</v>
      </c>
      <c r="D38" s="44">
        <f t="shared" si="1"/>
        <v>42.919087520000005</v>
      </c>
    </row>
    <row r="39" spans="1:4">
      <c r="A39" s="36" t="s">
        <v>85</v>
      </c>
      <c r="B39" s="42" t="s">
        <v>104</v>
      </c>
      <c r="C39" s="48">
        <v>6.0000000000000001E-3</v>
      </c>
      <c r="D39" s="44">
        <f t="shared" si="1"/>
        <v>25.751452512000004</v>
      </c>
    </row>
    <row r="40" spans="1:4">
      <c r="A40" s="36" t="s">
        <v>105</v>
      </c>
      <c r="B40" s="42" t="s">
        <v>106</v>
      </c>
      <c r="C40" s="48">
        <v>2E-3</v>
      </c>
      <c r="D40" s="44">
        <f t="shared" si="1"/>
        <v>8.5838175040000007</v>
      </c>
    </row>
    <row r="41" spans="1:4">
      <c r="A41" s="36" t="s">
        <v>107</v>
      </c>
      <c r="B41" s="42" t="s">
        <v>108</v>
      </c>
      <c r="C41" s="48">
        <v>0.08</v>
      </c>
      <c r="D41" s="44">
        <f>C41*($D$19+$D$27)</f>
        <v>343.35270016000004</v>
      </c>
    </row>
    <row r="42" spans="1:4">
      <c r="A42" s="36" t="s">
        <v>24</v>
      </c>
      <c r="B42" s="42" t="s">
        <v>109</v>
      </c>
      <c r="C42" s="48">
        <v>0</v>
      </c>
      <c r="D42" s="44">
        <f>C42*($D$19+$D$27)</f>
        <v>0</v>
      </c>
    </row>
    <row r="43" spans="1:4">
      <c r="A43" s="313" t="s">
        <v>87</v>
      </c>
      <c r="B43" s="313"/>
      <c r="C43" s="49">
        <f>SUM(C34:C42)</f>
        <v>0.36800000000000005</v>
      </c>
      <c r="D43" s="50">
        <f>SUM(D34:D42)</f>
        <v>1579.4224207360003</v>
      </c>
    </row>
    <row r="44" spans="1:4" ht="30.6" customHeight="1">
      <c r="A44" s="293" t="s">
        <v>110</v>
      </c>
      <c r="B44" s="293"/>
      <c r="C44" s="293"/>
      <c r="D44" s="293"/>
    </row>
    <row r="45" spans="1:4" ht="30.6" customHeight="1">
      <c r="A45" s="293" t="s">
        <v>111</v>
      </c>
      <c r="B45" s="293"/>
      <c r="C45" s="293"/>
      <c r="D45" s="293"/>
    </row>
    <row r="46" spans="1:4" ht="29.45" customHeight="1">
      <c r="A46" s="293" t="s">
        <v>112</v>
      </c>
      <c r="B46" s="293"/>
      <c r="C46" s="293"/>
      <c r="D46" s="293"/>
    </row>
    <row r="47" spans="1:4" ht="12.75" customHeight="1">
      <c r="A47" s="293" t="s">
        <v>113</v>
      </c>
      <c r="B47" s="293"/>
      <c r="C47" s="293"/>
      <c r="D47" s="293"/>
    </row>
    <row r="48" spans="1:4" ht="16.899999999999999" customHeight="1">
      <c r="A48" s="293" t="s">
        <v>114</v>
      </c>
      <c r="B48" s="293"/>
      <c r="C48" s="293"/>
      <c r="D48" s="293"/>
    </row>
    <row r="50" spans="1:4" ht="12.75" customHeight="1">
      <c r="A50" s="299" t="s">
        <v>115</v>
      </c>
      <c r="B50" s="299"/>
      <c r="C50" s="299"/>
      <c r="D50" s="299"/>
    </row>
    <row r="51" spans="1:4">
      <c r="A51" s="33" t="s">
        <v>116</v>
      </c>
      <c r="B51" s="33" t="s">
        <v>117</v>
      </c>
      <c r="C51" s="33" t="s">
        <v>118</v>
      </c>
      <c r="D51" s="33" t="s">
        <v>74</v>
      </c>
    </row>
    <row r="52" spans="1:4">
      <c r="A52" s="36" t="s">
        <v>75</v>
      </c>
      <c r="B52" s="26" t="s">
        <v>554</v>
      </c>
      <c r="C52" s="51">
        <v>22</v>
      </c>
      <c r="D52" s="44">
        <f>ROUND((((3.8+5.5)*2*C52)-6%*D13),2)</f>
        <v>179.52</v>
      </c>
    </row>
    <row r="53" spans="1:4" ht="25.5">
      <c r="A53" s="36" t="s">
        <v>77</v>
      </c>
      <c r="B53" s="26" t="s">
        <v>592</v>
      </c>
      <c r="C53" s="51">
        <v>22</v>
      </c>
      <c r="D53" s="44">
        <f>C53*(24.25*0.91)</f>
        <v>485.48499999999996</v>
      </c>
    </row>
    <row r="54" spans="1:4">
      <c r="A54" s="36" t="s">
        <v>80</v>
      </c>
      <c r="B54" s="235" t="s">
        <v>591</v>
      </c>
      <c r="C54" s="51">
        <v>22</v>
      </c>
      <c r="D54" s="44">
        <f>5.75*C54</f>
        <v>126.5</v>
      </c>
    </row>
    <row r="55" spans="1:4">
      <c r="A55" s="36" t="s">
        <v>81</v>
      </c>
      <c r="B55" s="42" t="s">
        <v>120</v>
      </c>
      <c r="C55" s="51"/>
      <c r="D55" s="44"/>
    </row>
    <row r="56" spans="1:4">
      <c r="A56" s="36" t="s">
        <v>83</v>
      </c>
      <c r="B56" s="42" t="s">
        <v>121</v>
      </c>
      <c r="C56" s="51"/>
      <c r="D56" s="44"/>
    </row>
    <row r="57" spans="1:4">
      <c r="A57" s="313" t="s">
        <v>87</v>
      </c>
      <c r="B57" s="313"/>
      <c r="C57" s="313"/>
      <c r="D57" s="50">
        <f>SUM(D52:D56)</f>
        <v>791.505</v>
      </c>
    </row>
    <row r="58" spans="1:4" ht="27" customHeight="1">
      <c r="A58" s="293" t="s">
        <v>122</v>
      </c>
      <c r="B58" s="293"/>
      <c r="C58" s="293"/>
      <c r="D58" s="293"/>
    </row>
    <row r="59" spans="1:4" ht="18" customHeight="1">
      <c r="A59" s="293" t="s">
        <v>123</v>
      </c>
      <c r="B59" s="293"/>
      <c r="C59" s="293"/>
      <c r="D59" s="293"/>
    </row>
    <row r="61" spans="1:4">
      <c r="A61" s="277" t="s">
        <v>124</v>
      </c>
      <c r="B61" s="277"/>
      <c r="C61" s="277"/>
      <c r="D61" s="277"/>
    </row>
    <row r="62" spans="1:4">
      <c r="A62" s="35">
        <v>2</v>
      </c>
      <c r="B62" s="294" t="s">
        <v>125</v>
      </c>
      <c r="C62" s="294"/>
      <c r="D62" s="35" t="s">
        <v>74</v>
      </c>
    </row>
    <row r="63" spans="1:4">
      <c r="A63" s="36" t="s">
        <v>90</v>
      </c>
      <c r="B63" s="275" t="s">
        <v>595</v>
      </c>
      <c r="C63" s="275"/>
      <c r="D63" s="44">
        <f>D27</f>
        <v>463.94875200000001</v>
      </c>
    </row>
    <row r="64" spans="1:4">
      <c r="A64" s="36" t="s">
        <v>97</v>
      </c>
      <c r="B64" s="274" t="s">
        <v>98</v>
      </c>
      <c r="C64" s="274"/>
      <c r="D64" s="44">
        <f>D43</f>
        <v>1579.4224207360003</v>
      </c>
    </row>
    <row r="65" spans="1:4">
      <c r="A65" s="36" t="s">
        <v>116</v>
      </c>
      <c r="B65" s="274" t="s">
        <v>117</v>
      </c>
      <c r="C65" s="274"/>
      <c r="D65" s="44">
        <f>D57</f>
        <v>791.505</v>
      </c>
    </row>
    <row r="66" spans="1:4">
      <c r="A66" s="296" t="s">
        <v>87</v>
      </c>
      <c r="B66" s="311"/>
      <c r="C66" s="297"/>
      <c r="D66" s="46">
        <f>SUM(D63:D65)</f>
        <v>2834.8761727360002</v>
      </c>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18.026016758400001</v>
      </c>
    </row>
    <row r="71" spans="1:4">
      <c r="A71" s="36" t="s">
        <v>77</v>
      </c>
      <c r="B71" s="26" t="s">
        <v>129</v>
      </c>
      <c r="C71" s="48">
        <v>2.9999999999999997E-4</v>
      </c>
      <c r="D71" s="44">
        <f t="shared" si="2"/>
        <v>1.2875726256</v>
      </c>
    </row>
    <row r="72" spans="1:4" ht="25.5">
      <c r="A72" s="36" t="s">
        <v>80</v>
      </c>
      <c r="B72" s="26" t="s">
        <v>130</v>
      </c>
      <c r="C72" s="53">
        <v>9.9999999999999995E-7</v>
      </c>
      <c r="D72" s="44">
        <f t="shared" si="2"/>
        <v>4.2919087520000001E-3</v>
      </c>
    </row>
    <row r="73" spans="1:4">
      <c r="A73" s="36" t="s">
        <v>81</v>
      </c>
      <c r="B73" s="26" t="s">
        <v>131</v>
      </c>
      <c r="C73" s="54">
        <v>1.9400000000000001E-2</v>
      </c>
      <c r="D73" s="44">
        <f>C73*($D$19+$D$27)</f>
        <v>83.263029788800011</v>
      </c>
    </row>
    <row r="74" spans="1:4" ht="25.5">
      <c r="A74" s="36" t="s">
        <v>83</v>
      </c>
      <c r="B74" s="26" t="s">
        <v>132</v>
      </c>
      <c r="C74" s="48">
        <v>7.1000000000000004E-3</v>
      </c>
      <c r="D74" s="44">
        <f>C74*($D$19+$D$27)</f>
        <v>30.472552139200005</v>
      </c>
    </row>
    <row r="75" spans="1:4" ht="25.5">
      <c r="A75" s="36" t="s">
        <v>85</v>
      </c>
      <c r="B75" s="26" t="s">
        <v>133</v>
      </c>
      <c r="C75" s="48">
        <v>1E-4</v>
      </c>
      <c r="D75" s="44">
        <f t="shared" si="2"/>
        <v>0.42919087520000004</v>
      </c>
    </row>
    <row r="76" spans="1:4">
      <c r="A76" s="55" t="s">
        <v>105</v>
      </c>
      <c r="B76" s="56" t="s">
        <v>134</v>
      </c>
      <c r="C76" s="48">
        <v>3.49E-2</v>
      </c>
      <c r="D76" s="44">
        <f>C76*($D$19+$D$27)</f>
        <v>149.78761544480002</v>
      </c>
    </row>
    <row r="77" spans="1:4">
      <c r="A77" s="296" t="s">
        <v>87</v>
      </c>
      <c r="B77" s="297"/>
      <c r="C77" s="45">
        <f t="shared" ref="C77:D77" si="3">SUM(C70:C76)</f>
        <v>6.6001000000000004E-2</v>
      </c>
      <c r="D77" s="46">
        <f t="shared" si="3"/>
        <v>283.270269540752</v>
      </c>
    </row>
    <row r="78" spans="1:4" ht="35.450000000000003" customHeight="1">
      <c r="A78" s="293" t="s">
        <v>135</v>
      </c>
      <c r="B78" s="293"/>
      <c r="C78" s="293"/>
      <c r="D78" s="293"/>
    </row>
    <row r="79" spans="1:4" ht="22.15" customHeight="1">
      <c r="A79" s="293" t="s">
        <v>136</v>
      </c>
      <c r="B79" s="293"/>
      <c r="C79" s="293"/>
      <c r="D79" s="293"/>
    </row>
    <row r="81" spans="1:4">
      <c r="A81" s="277" t="s">
        <v>137</v>
      </c>
      <c r="B81" s="277"/>
      <c r="C81" s="277"/>
      <c r="D81" s="277"/>
    </row>
    <row r="82" spans="1:4" ht="45" customHeight="1">
      <c r="A82" s="275" t="s">
        <v>138</v>
      </c>
      <c r="B82" s="275"/>
      <c r="C82" s="275"/>
      <c r="D82" s="275"/>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390.13450555679998</v>
      </c>
    </row>
    <row r="87" spans="1:4">
      <c r="A87" s="36" t="s">
        <v>77</v>
      </c>
      <c r="B87" s="26" t="s">
        <v>143</v>
      </c>
      <c r="C87" s="48">
        <v>8.2000000000000007E-3</v>
      </c>
      <c r="D87" s="44">
        <f t="shared" si="4"/>
        <v>35.193651766400002</v>
      </c>
    </row>
    <row r="88" spans="1:4">
      <c r="A88" s="36" t="s">
        <v>80</v>
      </c>
      <c r="B88" s="26" t="s">
        <v>144</v>
      </c>
      <c r="C88" s="48">
        <v>2.0000000000000001E-4</v>
      </c>
      <c r="D88" s="44">
        <f t="shared" si="4"/>
        <v>0.85838175040000009</v>
      </c>
    </row>
    <row r="89" spans="1:4">
      <c r="A89" s="36" t="s">
        <v>81</v>
      </c>
      <c r="B89" s="26" t="s">
        <v>145</v>
      </c>
      <c r="C89" s="48">
        <v>2.9999999999999997E-4</v>
      </c>
      <c r="D89" s="44">
        <f t="shared" si="4"/>
        <v>1.2875726256</v>
      </c>
    </row>
    <row r="90" spans="1:4">
      <c r="A90" s="36" t="s">
        <v>83</v>
      </c>
      <c r="B90" s="26" t="s">
        <v>146</v>
      </c>
      <c r="C90" s="48">
        <v>2.8999999999999998E-3</v>
      </c>
      <c r="D90" s="44">
        <f t="shared" si="4"/>
        <v>12.4465353808</v>
      </c>
    </row>
    <row r="91" spans="1:4">
      <c r="A91" s="36" t="s">
        <v>85</v>
      </c>
      <c r="B91" s="26" t="s">
        <v>147</v>
      </c>
      <c r="C91" s="48">
        <v>1.66E-2</v>
      </c>
      <c r="D91" s="44">
        <f t="shared" si="4"/>
        <v>71.245685283200004</v>
      </c>
    </row>
    <row r="92" spans="1:4">
      <c r="A92" s="296" t="s">
        <v>87</v>
      </c>
      <c r="B92" s="297"/>
      <c r="C92" s="45">
        <f t="shared" ref="C92:D92" si="5">SUM(C86:C91)</f>
        <v>0.1191</v>
      </c>
      <c r="D92" s="46">
        <f t="shared" si="5"/>
        <v>511.16633236320001</v>
      </c>
    </row>
    <row r="93" spans="1:4" ht="21" customHeight="1">
      <c r="A93" s="293" t="s">
        <v>148</v>
      </c>
      <c r="B93" s="293"/>
      <c r="C93" s="293"/>
      <c r="D93" s="293"/>
    </row>
    <row r="95" spans="1:4">
      <c r="A95" s="300" t="s">
        <v>149</v>
      </c>
      <c r="B95" s="300"/>
      <c r="C95" s="300"/>
      <c r="D95" s="300"/>
    </row>
    <row r="96" spans="1:4">
      <c r="A96" s="33" t="s">
        <v>150</v>
      </c>
      <c r="B96" s="33" t="s">
        <v>151</v>
      </c>
      <c r="C96" s="33" t="s">
        <v>74</v>
      </c>
      <c r="D96" s="33"/>
    </row>
    <row r="97" spans="1:4">
      <c r="A97" s="36" t="s">
        <v>75</v>
      </c>
      <c r="B97" s="26" t="s">
        <v>152</v>
      </c>
      <c r="C97" s="57"/>
      <c r="D97" s="58"/>
    </row>
    <row r="98" spans="1:4">
      <c r="A98" s="305" t="s">
        <v>87</v>
      </c>
      <c r="B98" s="307"/>
      <c r="C98" s="44">
        <f>SUM(C97)</f>
        <v>0</v>
      </c>
      <c r="D98" s="58"/>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511.16633236320001</v>
      </c>
    </row>
    <row r="103" spans="1:4">
      <c r="A103" s="36" t="s">
        <v>150</v>
      </c>
      <c r="B103" s="42" t="s">
        <v>155</v>
      </c>
      <c r="C103" s="42"/>
      <c r="D103" s="57">
        <f>C98</f>
        <v>0</v>
      </c>
    </row>
    <row r="104" spans="1:4">
      <c r="A104" s="294" t="s">
        <v>87</v>
      </c>
      <c r="B104" s="294"/>
      <c r="C104" s="294"/>
      <c r="D104" s="46">
        <f>SUM(D102:D103)</f>
        <v>511.16633236320001</v>
      </c>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EPIS'!$E$16</f>
        <v>216.39166666666668</v>
      </c>
    </row>
    <row r="109" spans="1:4">
      <c r="A109" s="36" t="s">
        <v>77</v>
      </c>
      <c r="B109" s="274" t="s">
        <v>159</v>
      </c>
      <c r="C109" s="274"/>
      <c r="D109" s="59">
        <f>'TABELA 4 Uniformes e EPIS'!$E$48+'TABELA 5 - Ferramentas'!$I$145</f>
        <v>39.320362318840566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255.71202898550723</v>
      </c>
    </row>
    <row r="113" spans="1:4" ht="12.75" customHeight="1">
      <c r="A113" s="293" t="s">
        <v>161</v>
      </c>
      <c r="B113" s="293"/>
      <c r="C113" s="293"/>
      <c r="D113" s="293"/>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385.649240181273</v>
      </c>
    </row>
    <row r="119" spans="1:4">
      <c r="A119" s="36" t="s">
        <v>77</v>
      </c>
      <c r="B119" s="42" t="s">
        <v>166</v>
      </c>
      <c r="C119" s="191">
        <v>6.7900000000000002E-2</v>
      </c>
      <c r="D119" s="192">
        <f>$C119*(D$138+D118)</f>
        <v>549.8972515744772</v>
      </c>
    </row>
    <row r="120" spans="1:4">
      <c r="A120" s="187" t="s">
        <v>80</v>
      </c>
      <c r="B120" s="188" t="s">
        <v>167</v>
      </c>
      <c r="C120" s="193">
        <f>SUM(C121:C123)</f>
        <v>0.14250000000000002</v>
      </c>
      <c r="D120" s="192">
        <f>(D$138+D$119+D$118)*($C120/IF($C116="Lucro presumido",91.45%,85.75%))</f>
        <v>1437.2194864044579</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c r="A124" s="36" t="s">
        <v>81</v>
      </c>
      <c r="B124" s="26" t="s">
        <v>174</v>
      </c>
      <c r="C124" s="195">
        <v>0</v>
      </c>
      <c r="D124" s="196">
        <f>(D$138+D$119+D$118)*($C124/IF($C116="Lucro presumido",91.45%,85.75%))</f>
        <v>0</v>
      </c>
    </row>
    <row r="125" spans="1:4">
      <c r="A125" s="294" t="s">
        <v>87</v>
      </c>
      <c r="B125" s="294"/>
      <c r="C125" s="197">
        <f>SUM(C118:C120)+(C124)</f>
        <v>0.26040000000000002</v>
      </c>
      <c r="D125" s="198">
        <f>SUM(D118:D124)</f>
        <v>2372.7659781602079</v>
      </c>
    </row>
    <row r="126" spans="1:4" ht="18.600000000000001" customHeight="1">
      <c r="A126" s="293" t="s">
        <v>175</v>
      </c>
      <c r="B126" s="293"/>
      <c r="C126" s="293"/>
      <c r="D126" s="293"/>
    </row>
    <row r="127" spans="1:4" ht="30" customHeight="1">
      <c r="A127" s="293" t="s">
        <v>176</v>
      </c>
      <c r="B127" s="293"/>
      <c r="C127" s="293"/>
      <c r="D127" s="293"/>
    </row>
    <row r="128" spans="1:4" ht="30" customHeight="1">
      <c r="A128" s="293" t="s">
        <v>562</v>
      </c>
      <c r="B128" s="293"/>
      <c r="C128" s="293"/>
      <c r="D128" s="293"/>
    </row>
    <row r="129" spans="1:4" ht="30" customHeight="1">
      <c r="A129" s="304" t="s">
        <v>561</v>
      </c>
      <c r="B129" s="304"/>
      <c r="C129" s="304"/>
      <c r="D129" s="304"/>
    </row>
    <row r="131" spans="1:4">
      <c r="A131" s="277" t="s">
        <v>177</v>
      </c>
      <c r="B131" s="277"/>
      <c r="C131" s="277"/>
      <c r="D131" s="277"/>
    </row>
    <row r="132" spans="1:4">
      <c r="A132" s="305" t="s">
        <v>178</v>
      </c>
      <c r="B132" s="306"/>
      <c r="C132" s="307"/>
      <c r="D132" s="33" t="s">
        <v>179</v>
      </c>
    </row>
    <row r="133" spans="1:4">
      <c r="A133" s="36" t="s">
        <v>75</v>
      </c>
      <c r="B133" s="275" t="s">
        <v>72</v>
      </c>
      <c r="C133" s="275"/>
      <c r="D133" s="44">
        <f>D19</f>
        <v>3827.96</v>
      </c>
    </row>
    <row r="134" spans="1:4">
      <c r="A134" s="36" t="s">
        <v>77</v>
      </c>
      <c r="B134" s="275" t="s">
        <v>89</v>
      </c>
      <c r="C134" s="275"/>
      <c r="D134" s="44">
        <f>D66</f>
        <v>2834.8761727360002</v>
      </c>
    </row>
    <row r="135" spans="1:4">
      <c r="A135" s="36" t="s">
        <v>80</v>
      </c>
      <c r="B135" s="275" t="s">
        <v>126</v>
      </c>
      <c r="C135" s="275"/>
      <c r="D135" s="44">
        <f>D77</f>
        <v>283.270269540752</v>
      </c>
    </row>
    <row r="136" spans="1:4">
      <c r="A136" s="36" t="s">
        <v>81</v>
      </c>
      <c r="B136" s="275" t="s">
        <v>137</v>
      </c>
      <c r="C136" s="275"/>
      <c r="D136" s="44">
        <f>D104</f>
        <v>511.16633236320001</v>
      </c>
    </row>
    <row r="137" spans="1:4">
      <c r="A137" s="36" t="s">
        <v>83</v>
      </c>
      <c r="B137" s="275" t="s">
        <v>156</v>
      </c>
      <c r="C137" s="275"/>
      <c r="D137" s="44">
        <f>D112</f>
        <v>255.71202898550723</v>
      </c>
    </row>
    <row r="138" spans="1:4">
      <c r="A138" s="294" t="s">
        <v>180</v>
      </c>
      <c r="B138" s="294"/>
      <c r="C138" s="294"/>
      <c r="D138" s="46">
        <f>SUM(D133:D137)</f>
        <v>7712.9848036254598</v>
      </c>
    </row>
    <row r="139" spans="1:4">
      <c r="A139" s="36" t="s">
        <v>85</v>
      </c>
      <c r="B139" s="274" t="s">
        <v>162</v>
      </c>
      <c r="C139" s="274"/>
      <c r="D139" s="44">
        <f>D125</f>
        <v>2372.7659781602079</v>
      </c>
    </row>
    <row r="140" spans="1:4">
      <c r="A140" s="277" t="s">
        <v>187</v>
      </c>
      <c r="B140" s="277"/>
      <c r="C140" s="277"/>
      <c r="D140" s="62">
        <f>SUM(D138:D139)</f>
        <v>10085.750781785668</v>
      </c>
    </row>
    <row r="142" spans="1:4" ht="208.15" customHeight="1">
      <c r="A142" s="301" t="s">
        <v>590</v>
      </c>
      <c r="B142" s="301"/>
      <c r="C142" s="301"/>
      <c r="D142" s="301"/>
    </row>
    <row r="143" spans="1:4" ht="156.6" customHeight="1"/>
    <row r="144" spans="1:4" ht="156.6" customHeight="1"/>
    <row r="145" ht="156.6" customHeight="1"/>
    <row r="146" ht="156.6" customHeight="1"/>
  </sheetData>
  <mergeCells count="83">
    <mergeCell ref="A142:D142"/>
    <mergeCell ref="A29:D29"/>
    <mergeCell ref="B14:C14"/>
    <mergeCell ref="B15:C15"/>
    <mergeCell ref="B16:C16"/>
    <mergeCell ref="B17:C17"/>
    <mergeCell ref="B18:C18"/>
    <mergeCell ref="A19:C19"/>
    <mergeCell ref="A20:D20"/>
    <mergeCell ref="A22:D22"/>
    <mergeCell ref="A23:D23"/>
    <mergeCell ref="A27:B27"/>
    <mergeCell ref="A28:D28"/>
    <mergeCell ref="A59:D59"/>
    <mergeCell ref="A30:D30"/>
    <mergeCell ref="A32:D32"/>
    <mergeCell ref="B13:C13"/>
    <mergeCell ref="C7:D7"/>
    <mergeCell ref="C8:D8"/>
    <mergeCell ref="C9:D9"/>
    <mergeCell ref="A11:D11"/>
    <mergeCell ref="B12:C12"/>
    <mergeCell ref="A1:D1"/>
    <mergeCell ref="A3:D3"/>
    <mergeCell ref="C4:D4"/>
    <mergeCell ref="C5:D5"/>
    <mergeCell ref="C6:D6"/>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38:C138"/>
    <mergeCell ref="B139:C139"/>
    <mergeCell ref="A140:C140"/>
    <mergeCell ref="A132:C132"/>
    <mergeCell ref="B133:C133"/>
    <mergeCell ref="B134:C134"/>
    <mergeCell ref="B135:C135"/>
    <mergeCell ref="B136:C136"/>
    <mergeCell ref="B137:C137"/>
    <mergeCell ref="A129:D129"/>
    <mergeCell ref="A128:D128"/>
  </mergeCells>
  <dataValidations count="1">
    <dataValidation type="list" allowBlank="1" showInputMessage="1" showErrorMessage="1" sqref="C116:D116" xr:uid="{00000000-0002-0000-0400-000000000000}">
      <formula1>"Lucro presumido,Lucro real"</formula1>
    </dataValidation>
  </dataValidations>
  <printOptions horizontalCentered="1"/>
  <pageMargins left="0.55118110236220474" right="0.55118110236220474" top="1.2598425196850394" bottom="0.98425196850393704" header="0" footer="0"/>
  <pageSetup paperSize="9" scale="9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9">
    <tabColor theme="9" tint="0.59999389629810485"/>
    <pageSetUpPr fitToPage="1"/>
  </sheetPr>
  <dimension ref="A1:D143"/>
  <sheetViews>
    <sheetView showGridLines="0" zoomScale="115" zoomScaleNormal="115" workbookViewId="0">
      <selection activeCell="D41" sqref="D41"/>
    </sheetView>
  </sheetViews>
  <sheetFormatPr defaultColWidth="8.7109375" defaultRowHeight="12.75"/>
  <cols>
    <col min="1" max="1" width="5" style="2" bestFit="1" customWidth="1"/>
    <col min="2" max="2" width="45.7109375" style="32" bestFit="1" customWidth="1"/>
    <col min="3" max="3" width="14.140625" style="32" bestFit="1" customWidth="1"/>
    <col min="4" max="4" width="15.28515625" style="2" bestFit="1" customWidth="1"/>
    <col min="5" max="16384" width="8.7109375" style="2"/>
  </cols>
  <sheetData>
    <row r="1" spans="1:4">
      <c r="A1" s="316" t="s">
        <v>62</v>
      </c>
      <c r="B1" s="316"/>
      <c r="C1" s="316"/>
      <c r="D1" s="316"/>
    </row>
    <row r="3" spans="1:4">
      <c r="A3" s="317" t="s">
        <v>63</v>
      </c>
      <c r="B3" s="317"/>
      <c r="C3" s="317"/>
      <c r="D3" s="317"/>
    </row>
    <row r="4" spans="1:4" ht="25.5">
      <c r="A4" s="35">
        <v>1</v>
      </c>
      <c r="B4" s="182" t="s">
        <v>64</v>
      </c>
      <c r="C4" s="299" t="s">
        <v>193</v>
      </c>
      <c r="D4" s="299"/>
    </row>
    <row r="5" spans="1:4">
      <c r="A5" s="34">
        <v>2</v>
      </c>
      <c r="B5" s="26" t="s">
        <v>66</v>
      </c>
      <c r="C5" s="314"/>
      <c r="D5" s="314"/>
    </row>
    <row r="6" spans="1:4">
      <c r="A6" s="34">
        <v>3</v>
      </c>
      <c r="B6" s="26" t="s">
        <v>67</v>
      </c>
      <c r="C6" s="285">
        <v>2238.1</v>
      </c>
      <c r="D6" s="286"/>
    </row>
    <row r="7" spans="1:4" ht="25.5" customHeight="1">
      <c r="A7" s="34">
        <v>4</v>
      </c>
      <c r="B7" s="26" t="s">
        <v>68</v>
      </c>
      <c r="C7" s="287" t="s">
        <v>550</v>
      </c>
      <c r="D7" s="288"/>
    </row>
    <row r="8" spans="1:4">
      <c r="A8" s="34">
        <v>5</v>
      </c>
      <c r="B8" s="26" t="s">
        <v>69</v>
      </c>
      <c r="C8" s="289">
        <v>44927</v>
      </c>
      <c r="D8" s="290"/>
    </row>
    <row r="9" spans="1:4">
      <c r="A9" s="34">
        <v>6</v>
      </c>
      <c r="B9" s="26" t="s">
        <v>70</v>
      </c>
      <c r="C9" s="289" t="s">
        <v>551</v>
      </c>
      <c r="D9" s="290"/>
    </row>
    <row r="11" spans="1:4">
      <c r="A11" s="277" t="s">
        <v>72</v>
      </c>
      <c r="B11" s="277"/>
      <c r="C11" s="277"/>
      <c r="D11" s="277"/>
    </row>
    <row r="12" spans="1:4">
      <c r="A12" s="63">
        <v>1</v>
      </c>
      <c r="B12" s="317" t="s">
        <v>73</v>
      </c>
      <c r="C12" s="317"/>
      <c r="D12" s="35" t="s">
        <v>74</v>
      </c>
    </row>
    <row r="13" spans="1:4">
      <c r="A13" s="64" t="s">
        <v>75</v>
      </c>
      <c r="B13" s="274" t="s">
        <v>76</v>
      </c>
      <c r="C13" s="274"/>
      <c r="D13" s="38">
        <v>2504.5</v>
      </c>
    </row>
    <row r="14" spans="1:4">
      <c r="A14" s="64" t="s">
        <v>77</v>
      </c>
      <c r="B14" s="274" t="s">
        <v>191</v>
      </c>
      <c r="C14" s="274"/>
      <c r="D14" s="39" t="s">
        <v>79</v>
      </c>
    </row>
    <row r="15" spans="1:4">
      <c r="A15" s="64" t="s">
        <v>80</v>
      </c>
      <c r="B15" s="274" t="s">
        <v>185</v>
      </c>
      <c r="C15" s="274"/>
      <c r="D15" s="39"/>
    </row>
    <row r="16" spans="1:4">
      <c r="A16" s="64" t="s">
        <v>81</v>
      </c>
      <c r="B16" s="274" t="s">
        <v>82</v>
      </c>
      <c r="C16" s="274"/>
      <c r="D16" s="39" t="s">
        <v>79</v>
      </c>
    </row>
    <row r="17" spans="1:4">
      <c r="A17" s="64" t="s">
        <v>83</v>
      </c>
      <c r="B17" s="274" t="s">
        <v>84</v>
      </c>
      <c r="C17" s="274"/>
      <c r="D17" s="39" t="s">
        <v>79</v>
      </c>
    </row>
    <row r="18" spans="1:4">
      <c r="A18" s="64" t="s">
        <v>85</v>
      </c>
      <c r="B18" s="274" t="s">
        <v>86</v>
      </c>
      <c r="C18" s="274"/>
      <c r="D18" s="39" t="s">
        <v>79</v>
      </c>
    </row>
    <row r="19" spans="1:4">
      <c r="A19" s="318" t="s">
        <v>87</v>
      </c>
      <c r="B19" s="318"/>
      <c r="C19" s="318"/>
      <c r="D19" s="40">
        <f>SUM(D13:D18)</f>
        <v>2504.5</v>
      </c>
    </row>
    <row r="20" spans="1:4">
      <c r="A20" s="319" t="s">
        <v>88</v>
      </c>
      <c r="B20" s="319"/>
      <c r="C20" s="319"/>
      <c r="D20" s="319"/>
    </row>
    <row r="22" spans="1:4">
      <c r="A22" s="277" t="s">
        <v>89</v>
      </c>
      <c r="B22" s="277"/>
      <c r="C22" s="277"/>
      <c r="D22" s="277"/>
    </row>
    <row r="23" spans="1:4">
      <c r="A23" s="318" t="s">
        <v>604</v>
      </c>
      <c r="B23" s="318"/>
      <c r="C23" s="318"/>
      <c r="D23" s="318"/>
    </row>
    <row r="24" spans="1:4" ht="25.5">
      <c r="A24" s="41" t="s">
        <v>90</v>
      </c>
      <c r="B24" s="41" t="s">
        <v>595</v>
      </c>
      <c r="C24" s="33" t="s">
        <v>91</v>
      </c>
      <c r="D24" s="41" t="s">
        <v>74</v>
      </c>
    </row>
    <row r="25" spans="1:4">
      <c r="A25" s="36" t="s">
        <v>75</v>
      </c>
      <c r="B25" s="42" t="s">
        <v>92</v>
      </c>
      <c r="C25" s="43">
        <v>9.0899999999999995E-2</v>
      </c>
      <c r="D25" s="44">
        <f>C25*$D$19</f>
        <v>227.65904999999998</v>
      </c>
    </row>
    <row r="26" spans="1:4">
      <c r="A26" s="36" t="s">
        <v>77</v>
      </c>
      <c r="B26" s="42" t="s">
        <v>589</v>
      </c>
      <c r="C26" s="43">
        <v>3.0300000000000001E-2</v>
      </c>
      <c r="D26" s="44">
        <f>C26*$D$19</f>
        <v>75.886350000000007</v>
      </c>
    </row>
    <row r="27" spans="1:4">
      <c r="A27" s="294" t="s">
        <v>87</v>
      </c>
      <c r="B27" s="294"/>
      <c r="C27" s="45">
        <f t="shared" ref="C27:D27" si="0">SUM(C25:C26)</f>
        <v>0.1212</v>
      </c>
      <c r="D27" s="46">
        <f t="shared" si="0"/>
        <v>303.54539999999997</v>
      </c>
    </row>
    <row r="28" spans="1:4" ht="39" customHeight="1">
      <c r="A28" s="293" t="s">
        <v>93</v>
      </c>
      <c r="B28" s="293"/>
      <c r="C28" s="293"/>
      <c r="D28" s="293"/>
    </row>
    <row r="29" spans="1:4" ht="29.45" customHeight="1">
      <c r="A29" s="293" t="s">
        <v>94</v>
      </c>
      <c r="B29" s="293"/>
      <c r="C29" s="293"/>
      <c r="D29" s="293"/>
    </row>
    <row r="30" spans="1:4" ht="35.450000000000003" customHeight="1">
      <c r="A30" s="293" t="s">
        <v>192</v>
      </c>
      <c r="B30" s="293"/>
      <c r="C30" s="293"/>
      <c r="D30" s="293"/>
    </row>
    <row r="31" spans="1:4">
      <c r="A31" s="32"/>
      <c r="D31" s="32"/>
    </row>
    <row r="32" spans="1:4" ht="12.75" customHeight="1">
      <c r="A32" s="312" t="s">
        <v>96</v>
      </c>
      <c r="B32" s="312"/>
      <c r="C32" s="312"/>
      <c r="D32" s="312"/>
    </row>
    <row r="33" spans="1:4">
      <c r="A33" s="47" t="s">
        <v>97</v>
      </c>
      <c r="B33" s="47" t="s">
        <v>98</v>
      </c>
      <c r="C33" s="47" t="s">
        <v>91</v>
      </c>
      <c r="D33" s="47" t="s">
        <v>74</v>
      </c>
    </row>
    <row r="34" spans="1:4">
      <c r="A34" s="36" t="s">
        <v>75</v>
      </c>
      <c r="B34" s="42" t="s">
        <v>99</v>
      </c>
      <c r="C34" s="48">
        <v>0.2</v>
      </c>
      <c r="D34" s="44">
        <f>C34*($D$19+$D$27)</f>
        <v>561.60908000000006</v>
      </c>
    </row>
    <row r="35" spans="1:4">
      <c r="A35" s="36" t="s">
        <v>77</v>
      </c>
      <c r="B35" s="42" t="s">
        <v>100</v>
      </c>
      <c r="C35" s="48">
        <v>2.5000000000000001E-2</v>
      </c>
      <c r="D35" s="44">
        <f>$C35*(D$19+D$27)</f>
        <v>70.201135000000008</v>
      </c>
    </row>
    <row r="36" spans="1:4">
      <c r="A36" s="36" t="s">
        <v>80</v>
      </c>
      <c r="B36" s="42" t="s">
        <v>101</v>
      </c>
      <c r="C36" s="48">
        <v>0.03</v>
      </c>
      <c r="D36" s="44">
        <f t="shared" ref="D36:D40" si="1">C36*($D$19+$D$27)</f>
        <v>84.241361999999995</v>
      </c>
    </row>
    <row r="37" spans="1:4">
      <c r="A37" s="36" t="s">
        <v>81</v>
      </c>
      <c r="B37" s="42" t="s">
        <v>102</v>
      </c>
      <c r="C37" s="48">
        <v>1.4999999999999999E-2</v>
      </c>
      <c r="D37" s="44">
        <f t="shared" si="1"/>
        <v>42.120680999999998</v>
      </c>
    </row>
    <row r="38" spans="1:4">
      <c r="A38" s="36" t="s">
        <v>83</v>
      </c>
      <c r="B38" s="42" t="s">
        <v>103</v>
      </c>
      <c r="C38" s="48">
        <v>0.01</v>
      </c>
      <c r="D38" s="44">
        <f t="shared" si="1"/>
        <v>28.080454</v>
      </c>
    </row>
    <row r="39" spans="1:4">
      <c r="A39" s="36" t="s">
        <v>85</v>
      </c>
      <c r="B39" s="42" t="s">
        <v>104</v>
      </c>
      <c r="C39" s="48">
        <v>6.0000000000000001E-3</v>
      </c>
      <c r="D39" s="44">
        <f t="shared" si="1"/>
        <v>16.848272399999999</v>
      </c>
    </row>
    <row r="40" spans="1:4">
      <c r="A40" s="36" t="s">
        <v>105</v>
      </c>
      <c r="B40" s="42" t="s">
        <v>106</v>
      </c>
      <c r="C40" s="48">
        <v>2E-3</v>
      </c>
      <c r="D40" s="44">
        <f t="shared" si="1"/>
        <v>5.6160908000000003</v>
      </c>
    </row>
    <row r="41" spans="1:4">
      <c r="A41" s="36" t="s">
        <v>107</v>
      </c>
      <c r="B41" s="42" t="s">
        <v>108</v>
      </c>
      <c r="C41" s="48">
        <v>0.08</v>
      </c>
      <c r="D41" s="44">
        <f>C41*($D$19+$D$27)</f>
        <v>224.643632</v>
      </c>
    </row>
    <row r="42" spans="1:4">
      <c r="A42" s="36" t="s">
        <v>24</v>
      </c>
      <c r="B42" s="42" t="s">
        <v>109</v>
      </c>
      <c r="C42" s="48">
        <v>0</v>
      </c>
      <c r="D42" s="44">
        <f>C42*($D$19+$D$27)</f>
        <v>0</v>
      </c>
    </row>
    <row r="43" spans="1:4">
      <c r="A43" s="313" t="s">
        <v>87</v>
      </c>
      <c r="B43" s="313"/>
      <c r="C43" s="49">
        <f>SUM(C34:C42)</f>
        <v>0.36800000000000005</v>
      </c>
      <c r="D43" s="50">
        <f>SUM(D34:D42)</f>
        <v>1033.3607072000002</v>
      </c>
    </row>
    <row r="44" spans="1:4" ht="33" customHeight="1">
      <c r="A44" s="293" t="s">
        <v>110</v>
      </c>
      <c r="B44" s="293"/>
      <c r="C44" s="293"/>
      <c r="D44" s="293"/>
    </row>
    <row r="45" spans="1:4" ht="28.15" customHeight="1">
      <c r="A45" s="293" t="s">
        <v>111</v>
      </c>
      <c r="B45" s="293"/>
      <c r="C45" s="293"/>
      <c r="D45" s="293"/>
    </row>
    <row r="46" spans="1:4" ht="48" customHeight="1">
      <c r="A46" s="293" t="s">
        <v>112</v>
      </c>
      <c r="B46" s="293"/>
      <c r="C46" s="293"/>
      <c r="D46" s="293"/>
    </row>
    <row r="47" spans="1:4" ht="12.75" customHeight="1">
      <c r="A47" s="293" t="s">
        <v>113</v>
      </c>
      <c r="B47" s="293"/>
      <c r="C47" s="293"/>
      <c r="D47" s="293"/>
    </row>
    <row r="48" spans="1:4" ht="27.6" customHeight="1">
      <c r="A48" s="293" t="s">
        <v>114</v>
      </c>
      <c r="B48" s="293"/>
      <c r="C48" s="293"/>
      <c r="D48" s="293"/>
    </row>
    <row r="49" spans="1:4">
      <c r="A49" s="32"/>
      <c r="D49" s="32"/>
    </row>
    <row r="50" spans="1:4" ht="12.75" customHeight="1">
      <c r="A50" s="299" t="s">
        <v>115</v>
      </c>
      <c r="B50" s="299"/>
      <c r="C50" s="299"/>
      <c r="D50" s="299"/>
    </row>
    <row r="51" spans="1:4">
      <c r="A51" s="33" t="s">
        <v>116</v>
      </c>
      <c r="B51" s="33" t="s">
        <v>117</v>
      </c>
      <c r="C51" s="33" t="s">
        <v>118</v>
      </c>
      <c r="D51" s="33" t="s">
        <v>74</v>
      </c>
    </row>
    <row r="52" spans="1:4" ht="25.5">
      <c r="A52" s="36" t="s">
        <v>75</v>
      </c>
      <c r="B52" s="26" t="s">
        <v>554</v>
      </c>
      <c r="C52" s="51">
        <v>22</v>
      </c>
      <c r="D52" s="44">
        <f>ROUND((((3.8+5.5)*2*C52)-6%*D13),2)</f>
        <v>258.93</v>
      </c>
    </row>
    <row r="53" spans="1:4">
      <c r="A53" s="36" t="s">
        <v>77</v>
      </c>
      <c r="B53" s="42" t="s">
        <v>555</v>
      </c>
      <c r="C53" s="51">
        <v>22</v>
      </c>
      <c r="D53" s="44">
        <f>C53*40.5</f>
        <v>891</v>
      </c>
    </row>
    <row r="54" spans="1:4">
      <c r="A54" s="36" t="s">
        <v>80</v>
      </c>
      <c r="B54" s="42" t="s">
        <v>552</v>
      </c>
      <c r="C54" s="51"/>
      <c r="D54" s="44">
        <v>175.76</v>
      </c>
    </row>
    <row r="55" spans="1:4">
      <c r="A55" s="36" t="s">
        <v>81</v>
      </c>
      <c r="B55" s="42" t="s">
        <v>553</v>
      </c>
      <c r="C55" s="51"/>
      <c r="D55" s="44">
        <v>11.92</v>
      </c>
    </row>
    <row r="56" spans="1:4">
      <c r="A56" s="36" t="s">
        <v>83</v>
      </c>
      <c r="B56" s="42" t="s">
        <v>121</v>
      </c>
      <c r="C56" s="51"/>
      <c r="D56" s="44">
        <v>2.75</v>
      </c>
    </row>
    <row r="57" spans="1:4">
      <c r="A57" s="313" t="s">
        <v>87</v>
      </c>
      <c r="B57" s="313"/>
      <c r="C57" s="313"/>
      <c r="D57" s="50">
        <f>SUM(D52:D56)</f>
        <v>1340.3600000000001</v>
      </c>
    </row>
    <row r="58" spans="1:4" ht="29.45" customHeight="1">
      <c r="A58" s="293" t="s">
        <v>122</v>
      </c>
      <c r="B58" s="293"/>
      <c r="C58" s="293"/>
      <c r="D58" s="293"/>
    </row>
    <row r="59" spans="1:4" ht="29.45" customHeight="1">
      <c r="A59" s="293" t="s">
        <v>123</v>
      </c>
      <c r="B59" s="293"/>
      <c r="C59" s="293"/>
      <c r="D59" s="293"/>
    </row>
    <row r="60" spans="1:4">
      <c r="A60" s="32"/>
      <c r="D60" s="32"/>
    </row>
    <row r="61" spans="1:4">
      <c r="A61" s="277" t="s">
        <v>124</v>
      </c>
      <c r="B61" s="277"/>
      <c r="C61" s="277"/>
      <c r="D61" s="277"/>
    </row>
    <row r="62" spans="1:4">
      <c r="A62" s="35">
        <v>2</v>
      </c>
      <c r="B62" s="294" t="s">
        <v>125</v>
      </c>
      <c r="C62" s="294"/>
      <c r="D62" s="35" t="s">
        <v>74</v>
      </c>
    </row>
    <row r="63" spans="1:4" ht="12.75" customHeight="1">
      <c r="A63" s="36" t="s">
        <v>90</v>
      </c>
      <c r="B63" s="275" t="s">
        <v>595</v>
      </c>
      <c r="C63" s="275"/>
      <c r="D63" s="44">
        <f>D27</f>
        <v>303.54539999999997</v>
      </c>
    </row>
    <row r="64" spans="1:4">
      <c r="A64" s="36" t="s">
        <v>97</v>
      </c>
      <c r="B64" s="274" t="s">
        <v>98</v>
      </c>
      <c r="C64" s="274"/>
      <c r="D64" s="44">
        <f>D43</f>
        <v>1033.3607072000002</v>
      </c>
    </row>
    <row r="65" spans="1:4">
      <c r="A65" s="36" t="s">
        <v>116</v>
      </c>
      <c r="B65" s="274" t="s">
        <v>117</v>
      </c>
      <c r="C65" s="274"/>
      <c r="D65" s="44">
        <f>D57</f>
        <v>1340.3600000000001</v>
      </c>
    </row>
    <row r="66" spans="1:4">
      <c r="A66" s="296" t="s">
        <v>87</v>
      </c>
      <c r="B66" s="311"/>
      <c r="C66" s="297"/>
      <c r="D66" s="46">
        <f>SUM(D63:D65)</f>
        <v>2677.2661072000001</v>
      </c>
    </row>
    <row r="67" spans="1:4">
      <c r="A67" s="32"/>
      <c r="D67" s="32"/>
    </row>
    <row r="68" spans="1:4">
      <c r="A68" s="277" t="s">
        <v>126</v>
      </c>
      <c r="B68" s="277"/>
      <c r="C68" s="277"/>
      <c r="D68" s="277"/>
    </row>
    <row r="69" spans="1:4">
      <c r="A69" s="35">
        <v>3</v>
      </c>
      <c r="B69" s="35" t="s">
        <v>127</v>
      </c>
      <c r="C69" s="35" t="s">
        <v>91</v>
      </c>
      <c r="D69" s="35" t="s">
        <v>74</v>
      </c>
    </row>
    <row r="70" spans="1:4">
      <c r="A70" s="36" t="s">
        <v>75</v>
      </c>
      <c r="B70" s="26" t="s">
        <v>128</v>
      </c>
      <c r="C70" s="48">
        <v>4.1999999999999997E-3</v>
      </c>
      <c r="D70" s="44">
        <f t="shared" ref="D70:D75" si="2">C70*($D$19+$D$27)</f>
        <v>11.793790679999999</v>
      </c>
    </row>
    <row r="71" spans="1:4">
      <c r="A71" s="36" t="s">
        <v>77</v>
      </c>
      <c r="B71" s="26" t="s">
        <v>129</v>
      </c>
      <c r="C71" s="48">
        <v>2.9999999999999997E-4</v>
      </c>
      <c r="D71" s="44">
        <f t="shared" si="2"/>
        <v>0.84241361999999986</v>
      </c>
    </row>
    <row r="72" spans="1:4" ht="25.5">
      <c r="A72" s="36" t="s">
        <v>80</v>
      </c>
      <c r="B72" s="26" t="s">
        <v>130</v>
      </c>
      <c r="C72" s="53">
        <v>9.9999999999999995E-7</v>
      </c>
      <c r="D72" s="44">
        <f t="shared" si="2"/>
        <v>2.8080454E-3</v>
      </c>
    </row>
    <row r="73" spans="1:4">
      <c r="A73" s="36" t="s">
        <v>81</v>
      </c>
      <c r="B73" s="26" t="s">
        <v>131</v>
      </c>
      <c r="C73" s="54">
        <v>1.9400000000000001E-2</v>
      </c>
      <c r="D73" s="44">
        <f>C73*($D$19+$D$27)</f>
        <v>54.476080760000002</v>
      </c>
    </row>
    <row r="74" spans="1:4" ht="25.5">
      <c r="A74" s="36" t="s">
        <v>83</v>
      </c>
      <c r="B74" s="26" t="s">
        <v>132</v>
      </c>
      <c r="C74" s="48">
        <v>7.1000000000000004E-3</v>
      </c>
      <c r="D74" s="44">
        <f>C74*($D$19+$D$27)</f>
        <v>19.937122340000002</v>
      </c>
    </row>
    <row r="75" spans="1:4" ht="25.5">
      <c r="A75" s="36" t="s">
        <v>85</v>
      </c>
      <c r="B75" s="26" t="s">
        <v>133</v>
      </c>
      <c r="C75" s="48">
        <v>1E-4</v>
      </c>
      <c r="D75" s="44">
        <f t="shared" si="2"/>
        <v>0.28080453999999999</v>
      </c>
    </row>
    <row r="76" spans="1:4">
      <c r="A76" s="55" t="s">
        <v>105</v>
      </c>
      <c r="B76" s="56" t="s">
        <v>134</v>
      </c>
      <c r="C76" s="48">
        <v>3.49E-2</v>
      </c>
      <c r="D76" s="44">
        <f>C76*($D$19+$D$27)</f>
        <v>98.000784460000006</v>
      </c>
    </row>
    <row r="77" spans="1:4">
      <c r="A77" s="296" t="s">
        <v>87</v>
      </c>
      <c r="B77" s="297"/>
      <c r="C77" s="45">
        <f t="shared" ref="C77:D77" si="3">SUM(C70:C76)</f>
        <v>6.6001000000000004E-2</v>
      </c>
      <c r="D77" s="46">
        <f t="shared" si="3"/>
        <v>185.33380444540001</v>
      </c>
    </row>
    <row r="78" spans="1:4" ht="23.45" customHeight="1">
      <c r="A78" s="293" t="s">
        <v>135</v>
      </c>
      <c r="B78" s="293"/>
      <c r="C78" s="293"/>
      <c r="D78" s="293"/>
    </row>
    <row r="79" spans="1:4" ht="33.6" customHeight="1">
      <c r="A79" s="293" t="s">
        <v>136</v>
      </c>
      <c r="B79" s="293"/>
      <c r="C79" s="293"/>
      <c r="D79" s="293"/>
    </row>
    <row r="80" spans="1:4">
      <c r="A80" s="32"/>
      <c r="D80" s="32"/>
    </row>
    <row r="81" spans="1:4">
      <c r="A81" s="277" t="s">
        <v>137</v>
      </c>
      <c r="B81" s="277"/>
      <c r="C81" s="277"/>
      <c r="D81" s="277"/>
    </row>
    <row r="82" spans="1:4" ht="45" customHeight="1">
      <c r="A82" s="275" t="s">
        <v>138</v>
      </c>
      <c r="B82" s="275"/>
      <c r="C82" s="275"/>
      <c r="D82" s="275"/>
    </row>
    <row r="83" spans="1:4">
      <c r="A83" s="32"/>
      <c r="D83" s="32"/>
    </row>
    <row r="84" spans="1:4" ht="12.75" customHeight="1">
      <c r="A84" s="299" t="s">
        <v>139</v>
      </c>
      <c r="B84" s="299"/>
      <c r="C84" s="299"/>
      <c r="D84" s="299"/>
    </row>
    <row r="85" spans="1:4">
      <c r="A85" s="33" t="s">
        <v>140</v>
      </c>
      <c r="B85" s="33" t="s">
        <v>141</v>
      </c>
      <c r="C85" s="33" t="s">
        <v>91</v>
      </c>
      <c r="D85" s="33" t="s">
        <v>74</v>
      </c>
    </row>
    <row r="86" spans="1:4">
      <c r="A86" s="36" t="s">
        <v>75</v>
      </c>
      <c r="B86" s="26" t="s">
        <v>142</v>
      </c>
      <c r="C86" s="204">
        <v>9.0899999999999995E-2</v>
      </c>
      <c r="D86" s="44">
        <f t="shared" ref="D86:D91" si="4">C86*($D$19+$D$27)</f>
        <v>255.25132685999998</v>
      </c>
    </row>
    <row r="87" spans="1:4">
      <c r="A87" s="36" t="s">
        <v>77</v>
      </c>
      <c r="B87" s="26" t="s">
        <v>143</v>
      </c>
      <c r="C87" s="48">
        <v>8.2000000000000007E-3</v>
      </c>
      <c r="D87" s="44">
        <f t="shared" si="4"/>
        <v>23.025972280000001</v>
      </c>
    </row>
    <row r="88" spans="1:4">
      <c r="A88" s="36" t="s">
        <v>80</v>
      </c>
      <c r="B88" s="26" t="s">
        <v>144</v>
      </c>
      <c r="C88" s="48">
        <v>2.0000000000000001E-4</v>
      </c>
      <c r="D88" s="44">
        <f t="shared" si="4"/>
        <v>0.56160907999999998</v>
      </c>
    </row>
    <row r="89" spans="1:4" ht="25.5">
      <c r="A89" s="36" t="s">
        <v>81</v>
      </c>
      <c r="B89" s="26" t="s">
        <v>145</v>
      </c>
      <c r="C89" s="48">
        <v>2.9999999999999997E-4</v>
      </c>
      <c r="D89" s="44">
        <f t="shared" si="4"/>
        <v>0.84241361999999986</v>
      </c>
    </row>
    <row r="90" spans="1:4">
      <c r="A90" s="36" t="s">
        <v>83</v>
      </c>
      <c r="B90" s="26" t="s">
        <v>146</v>
      </c>
      <c r="C90" s="48">
        <v>2.8999999999999998E-3</v>
      </c>
      <c r="D90" s="44">
        <f t="shared" si="4"/>
        <v>8.1433316599999994</v>
      </c>
    </row>
    <row r="91" spans="1:4" ht="25.5">
      <c r="A91" s="36" t="s">
        <v>85</v>
      </c>
      <c r="B91" s="26" t="s">
        <v>147</v>
      </c>
      <c r="C91" s="48">
        <v>1.66E-2</v>
      </c>
      <c r="D91" s="44">
        <f t="shared" si="4"/>
        <v>46.613553639999999</v>
      </c>
    </row>
    <row r="92" spans="1:4">
      <c r="A92" s="296" t="s">
        <v>87</v>
      </c>
      <c r="B92" s="297"/>
      <c r="C92" s="45">
        <f t="shared" ref="C92:D92" si="5">SUM(C86:C91)</f>
        <v>0.1191</v>
      </c>
      <c r="D92" s="46">
        <f t="shared" si="5"/>
        <v>334.43820713999997</v>
      </c>
    </row>
    <row r="93" spans="1:4" ht="12.75" customHeight="1">
      <c r="A93" s="293" t="s">
        <v>148</v>
      </c>
      <c r="B93" s="293"/>
      <c r="C93" s="293"/>
      <c r="D93" s="293"/>
    </row>
    <row r="94" spans="1:4">
      <c r="A94" s="32"/>
      <c r="D94" s="32"/>
    </row>
    <row r="95" spans="1:4">
      <c r="A95" s="300" t="s">
        <v>149</v>
      </c>
      <c r="B95" s="300"/>
      <c r="C95" s="300"/>
      <c r="D95" s="300"/>
    </row>
    <row r="96" spans="1:4">
      <c r="A96" s="33" t="s">
        <v>150</v>
      </c>
      <c r="B96" s="33" t="s">
        <v>151</v>
      </c>
      <c r="C96" s="33" t="s">
        <v>74</v>
      </c>
      <c r="D96" s="33"/>
    </row>
    <row r="97" spans="1:4" ht="25.5">
      <c r="A97" s="36" t="s">
        <v>75</v>
      </c>
      <c r="B97" s="26" t="s">
        <v>152</v>
      </c>
      <c r="C97" s="57"/>
      <c r="D97" s="58"/>
    </row>
    <row r="98" spans="1:4">
      <c r="A98" s="305" t="s">
        <v>87</v>
      </c>
      <c r="B98" s="307"/>
      <c r="C98" s="44">
        <f>SUM(C97)</f>
        <v>0</v>
      </c>
      <c r="D98" s="58"/>
    </row>
    <row r="99" spans="1:4">
      <c r="A99" s="32"/>
      <c r="D99" s="32"/>
    </row>
    <row r="100" spans="1:4">
      <c r="A100" s="277" t="s">
        <v>153</v>
      </c>
      <c r="B100" s="277"/>
      <c r="C100" s="277"/>
      <c r="D100" s="277"/>
    </row>
    <row r="101" spans="1:4">
      <c r="A101" s="35">
        <v>4</v>
      </c>
      <c r="B101" s="294" t="s">
        <v>154</v>
      </c>
      <c r="C101" s="294"/>
      <c r="D101" s="35" t="s">
        <v>74</v>
      </c>
    </row>
    <row r="102" spans="1:4">
      <c r="A102" s="36" t="s">
        <v>140</v>
      </c>
      <c r="B102" s="274" t="s">
        <v>141</v>
      </c>
      <c r="C102" s="274"/>
      <c r="D102" s="44">
        <f>D92</f>
        <v>334.43820713999997</v>
      </c>
    </row>
    <row r="103" spans="1:4">
      <c r="A103" s="36" t="s">
        <v>150</v>
      </c>
      <c r="B103" s="42" t="s">
        <v>155</v>
      </c>
      <c r="C103" s="42"/>
      <c r="D103" s="57">
        <f>C98</f>
        <v>0</v>
      </c>
    </row>
    <row r="104" spans="1:4">
      <c r="A104" s="294" t="s">
        <v>87</v>
      </c>
      <c r="B104" s="294"/>
      <c r="C104" s="294"/>
      <c r="D104" s="46">
        <f>SUM(D102:D103)</f>
        <v>334.43820713999997</v>
      </c>
    </row>
    <row r="105" spans="1:4">
      <c r="A105" s="32"/>
      <c r="D105" s="32"/>
    </row>
    <row r="106" spans="1:4">
      <c r="A106" s="277" t="s">
        <v>156</v>
      </c>
      <c r="B106" s="277"/>
      <c r="C106" s="277"/>
      <c r="D106" s="277"/>
    </row>
    <row r="107" spans="1:4">
      <c r="A107" s="33">
        <v>5</v>
      </c>
      <c r="B107" s="300" t="s">
        <v>157</v>
      </c>
      <c r="C107" s="300"/>
      <c r="D107" s="33" t="s">
        <v>74</v>
      </c>
    </row>
    <row r="108" spans="1:4">
      <c r="A108" s="36" t="s">
        <v>75</v>
      </c>
      <c r="B108" s="274" t="s">
        <v>158</v>
      </c>
      <c r="C108" s="274"/>
      <c r="D108" s="59">
        <f>'TABELA 4 Uniformes e EPIS'!$E$29</f>
        <v>97.691666666666663</v>
      </c>
    </row>
    <row r="109" spans="1:4">
      <c r="A109" s="36" t="s">
        <v>77</v>
      </c>
      <c r="B109" s="274" t="s">
        <v>159</v>
      </c>
      <c r="C109" s="274"/>
      <c r="D109" s="59">
        <f>'TABELA 4 Uniformes e EPIS'!$E$48+'TABELA 5 - Ferramentas'!$I$145</f>
        <v>39.320362318840566</v>
      </c>
    </row>
    <row r="110" spans="1:4">
      <c r="A110" s="36" t="s">
        <v>80</v>
      </c>
      <c r="B110" s="274" t="s">
        <v>160</v>
      </c>
      <c r="C110" s="274"/>
      <c r="D110" s="44">
        <v>0</v>
      </c>
    </row>
    <row r="111" spans="1:4">
      <c r="A111" s="36" t="s">
        <v>81</v>
      </c>
      <c r="B111" s="308" t="s">
        <v>86</v>
      </c>
      <c r="C111" s="309"/>
      <c r="D111" s="44">
        <v>0</v>
      </c>
    </row>
    <row r="112" spans="1:4">
      <c r="A112" s="294" t="s">
        <v>87</v>
      </c>
      <c r="B112" s="294"/>
      <c r="C112" s="294"/>
      <c r="D112" s="46">
        <f>SUM(D108:D111)</f>
        <v>137.01202898550724</v>
      </c>
    </row>
    <row r="113" spans="1:4" ht="12.75" customHeight="1">
      <c r="A113" s="293" t="s">
        <v>161</v>
      </c>
      <c r="B113" s="293"/>
      <c r="C113" s="293"/>
      <c r="D113" s="293"/>
    </row>
    <row r="114" spans="1:4">
      <c r="A114" s="32"/>
      <c r="D114" s="32"/>
    </row>
    <row r="115" spans="1:4">
      <c r="A115" s="277" t="s">
        <v>162</v>
      </c>
      <c r="B115" s="277"/>
      <c r="C115" s="277"/>
      <c r="D115" s="277"/>
    </row>
    <row r="116" spans="1:4" ht="12.75" customHeight="1">
      <c r="A116" s="302" t="s">
        <v>163</v>
      </c>
      <c r="B116" s="302"/>
      <c r="C116" s="310" t="s">
        <v>545</v>
      </c>
      <c r="D116" s="310"/>
    </row>
    <row r="117" spans="1:4">
      <c r="A117" s="35">
        <v>6</v>
      </c>
      <c r="B117" s="35" t="s">
        <v>164</v>
      </c>
      <c r="C117" s="35" t="s">
        <v>91</v>
      </c>
      <c r="D117" s="35" t="s">
        <v>74</v>
      </c>
    </row>
    <row r="118" spans="1:4">
      <c r="A118" s="36" t="s">
        <v>75</v>
      </c>
      <c r="B118" s="42" t="s">
        <v>165</v>
      </c>
      <c r="C118" s="191">
        <v>0.05</v>
      </c>
      <c r="D118" s="192">
        <f>$C118*D$138</f>
        <v>291.92750738854539</v>
      </c>
    </row>
    <row r="119" spans="1:4">
      <c r="A119" s="36" t="s">
        <v>77</v>
      </c>
      <c r="B119" s="42" t="s">
        <v>166</v>
      </c>
      <c r="C119" s="191">
        <v>6.7900000000000002E-2</v>
      </c>
      <c r="D119" s="192">
        <f>$C119*(D$138+D118)</f>
        <v>416.25943278532691</v>
      </c>
    </row>
    <row r="120" spans="1:4">
      <c r="A120" s="187" t="s">
        <v>80</v>
      </c>
      <c r="B120" s="188" t="s">
        <v>167</v>
      </c>
      <c r="C120" s="193">
        <f>SUM(C121:C123)</f>
        <v>0.14250000000000002</v>
      </c>
      <c r="D120" s="192">
        <f>(D$138+D$119+D$118)*($C120/IF($C116="Lucro presumido",91.45%,85.75%))</f>
        <v>1087.9417318158964</v>
      </c>
    </row>
    <row r="121" spans="1:4">
      <c r="A121" s="36" t="s">
        <v>168</v>
      </c>
      <c r="B121" s="42" t="s">
        <v>169</v>
      </c>
      <c r="C121" s="193">
        <f>IF(C116="Lucro presumido",0.65%,1.65%)</f>
        <v>1.6500000000000001E-2</v>
      </c>
      <c r="D121" s="194" t="s">
        <v>79</v>
      </c>
    </row>
    <row r="122" spans="1:4">
      <c r="A122" s="36" t="s">
        <v>170</v>
      </c>
      <c r="B122" s="42" t="s">
        <v>171</v>
      </c>
      <c r="C122" s="193">
        <f>IF(C116="Lucro presumido",3%,7.6%)</f>
        <v>7.5999999999999998E-2</v>
      </c>
      <c r="D122" s="194" t="s">
        <v>79</v>
      </c>
    </row>
    <row r="123" spans="1:4">
      <c r="A123" s="36" t="s">
        <v>172</v>
      </c>
      <c r="B123" s="42" t="s">
        <v>173</v>
      </c>
      <c r="C123" s="193">
        <v>0.05</v>
      </c>
      <c r="D123" s="194" t="s">
        <v>79</v>
      </c>
    </row>
    <row r="124" spans="1:4" ht="25.5">
      <c r="A124" s="36" t="s">
        <v>81</v>
      </c>
      <c r="B124" s="26" t="s">
        <v>174</v>
      </c>
      <c r="C124" s="195">
        <v>0</v>
      </c>
      <c r="D124" s="196">
        <f>(D$138+D$119+D$118)*($C124/IF($C116="Lucro presumido",91.45%,85.75%))</f>
        <v>0</v>
      </c>
    </row>
    <row r="125" spans="1:4">
      <c r="A125" s="294" t="s">
        <v>87</v>
      </c>
      <c r="B125" s="294"/>
      <c r="C125" s="197">
        <f>SUM(C118:C120)+(C124)</f>
        <v>0.26040000000000002</v>
      </c>
      <c r="D125" s="198">
        <f>SUM(D118:D124)</f>
        <v>1796.1286719897687</v>
      </c>
    </row>
    <row r="126" spans="1:4" ht="12.75" customHeight="1">
      <c r="A126" s="293" t="s">
        <v>175</v>
      </c>
      <c r="B126" s="293"/>
      <c r="C126" s="293"/>
      <c r="D126" s="293"/>
    </row>
    <row r="127" spans="1:4" ht="35.450000000000003" customHeight="1">
      <c r="A127" s="293" t="s">
        <v>176</v>
      </c>
      <c r="B127" s="293"/>
      <c r="C127" s="293"/>
      <c r="D127" s="293"/>
    </row>
    <row r="128" spans="1:4" ht="35.450000000000003" customHeight="1">
      <c r="A128" s="293" t="s">
        <v>562</v>
      </c>
      <c r="B128" s="293"/>
      <c r="C128" s="293"/>
      <c r="D128" s="293"/>
    </row>
    <row r="129" spans="1:4" ht="35.450000000000003" customHeight="1">
      <c r="A129" s="304" t="s">
        <v>561</v>
      </c>
      <c r="B129" s="304"/>
      <c r="C129" s="304"/>
      <c r="D129" s="304"/>
    </row>
    <row r="130" spans="1:4">
      <c r="A130" s="32"/>
      <c r="D130" s="32"/>
    </row>
    <row r="131" spans="1:4">
      <c r="A131" s="277" t="s">
        <v>177</v>
      </c>
      <c r="B131" s="277"/>
      <c r="C131" s="277"/>
      <c r="D131" s="277"/>
    </row>
    <row r="132" spans="1:4">
      <c r="A132" s="305" t="s">
        <v>178</v>
      </c>
      <c r="B132" s="306"/>
      <c r="C132" s="307"/>
      <c r="D132" s="33" t="s">
        <v>179</v>
      </c>
    </row>
    <row r="133" spans="1:4">
      <c r="A133" s="36" t="s">
        <v>75</v>
      </c>
      <c r="B133" s="275" t="s">
        <v>72</v>
      </c>
      <c r="C133" s="275"/>
      <c r="D133" s="44">
        <f>D19</f>
        <v>2504.5</v>
      </c>
    </row>
    <row r="134" spans="1:4" ht="12.75" customHeight="1">
      <c r="A134" s="36" t="s">
        <v>77</v>
      </c>
      <c r="B134" s="275" t="s">
        <v>89</v>
      </c>
      <c r="C134" s="275"/>
      <c r="D134" s="44">
        <f>D66</f>
        <v>2677.2661072000001</v>
      </c>
    </row>
    <row r="135" spans="1:4">
      <c r="A135" s="36" t="s">
        <v>80</v>
      </c>
      <c r="B135" s="275" t="s">
        <v>126</v>
      </c>
      <c r="C135" s="275"/>
      <c r="D135" s="44">
        <f>D77</f>
        <v>185.33380444540001</v>
      </c>
    </row>
    <row r="136" spans="1:4" ht="12.75" customHeight="1">
      <c r="A136" s="36" t="s">
        <v>81</v>
      </c>
      <c r="B136" s="275" t="s">
        <v>137</v>
      </c>
      <c r="C136" s="275"/>
      <c r="D136" s="44">
        <f>D104</f>
        <v>334.43820713999997</v>
      </c>
    </row>
    <row r="137" spans="1:4">
      <c r="A137" s="36" t="s">
        <v>83</v>
      </c>
      <c r="B137" s="275" t="s">
        <v>156</v>
      </c>
      <c r="C137" s="275"/>
      <c r="D137" s="44">
        <f>D112</f>
        <v>137.01202898550724</v>
      </c>
    </row>
    <row r="138" spans="1:4">
      <c r="A138" s="294" t="s">
        <v>180</v>
      </c>
      <c r="B138" s="294"/>
      <c r="C138" s="294"/>
      <c r="D138" s="46">
        <f>SUM(D133:D137)</f>
        <v>5838.5501477709076</v>
      </c>
    </row>
    <row r="139" spans="1:4">
      <c r="A139" s="36" t="s">
        <v>85</v>
      </c>
      <c r="B139" s="274" t="s">
        <v>162</v>
      </c>
      <c r="C139" s="274"/>
      <c r="D139" s="44">
        <f>D125</f>
        <v>1796.1286719897687</v>
      </c>
    </row>
    <row r="140" spans="1:4">
      <c r="A140" s="277" t="s">
        <v>187</v>
      </c>
      <c r="B140" s="277"/>
      <c r="C140" s="277"/>
      <c r="D140" s="62">
        <f>SUM(D138:D139)</f>
        <v>7634.6788197606766</v>
      </c>
    </row>
    <row r="141" spans="1:4">
      <c r="A141" s="32"/>
      <c r="D141" s="32"/>
    </row>
    <row r="142" spans="1:4" ht="232.15" customHeight="1">
      <c r="A142" s="301" t="s">
        <v>556</v>
      </c>
      <c r="B142" s="301"/>
      <c r="C142" s="301"/>
      <c r="D142" s="301"/>
    </row>
    <row r="143" spans="1:4">
      <c r="A143" s="301"/>
      <c r="B143" s="301"/>
      <c r="C143" s="301"/>
      <c r="D143" s="301"/>
    </row>
  </sheetData>
  <mergeCells count="84">
    <mergeCell ref="A29:D29"/>
    <mergeCell ref="B14:C14"/>
    <mergeCell ref="B15:C15"/>
    <mergeCell ref="B16:C16"/>
    <mergeCell ref="B17:C17"/>
    <mergeCell ref="B18:C18"/>
    <mergeCell ref="A19:C19"/>
    <mergeCell ref="A20:D20"/>
    <mergeCell ref="A22:D22"/>
    <mergeCell ref="A23:D23"/>
    <mergeCell ref="A27:B27"/>
    <mergeCell ref="A28:D28"/>
    <mergeCell ref="B13:C13"/>
    <mergeCell ref="C7:D7"/>
    <mergeCell ref="C8:D8"/>
    <mergeCell ref="C9:D9"/>
    <mergeCell ref="A11:D11"/>
    <mergeCell ref="B12:C12"/>
    <mergeCell ref="A1:D1"/>
    <mergeCell ref="A3:D3"/>
    <mergeCell ref="C4:D4"/>
    <mergeCell ref="C5:D5"/>
    <mergeCell ref="C6:D6"/>
    <mergeCell ref="A59:D59"/>
    <mergeCell ref="A30:D30"/>
    <mergeCell ref="A32:D32"/>
    <mergeCell ref="A43:B43"/>
    <mergeCell ref="A44:D44"/>
    <mergeCell ref="A45:D45"/>
    <mergeCell ref="A46:D46"/>
    <mergeCell ref="A47:D47"/>
    <mergeCell ref="A48:D48"/>
    <mergeCell ref="A50:D50"/>
    <mergeCell ref="A57:C57"/>
    <mergeCell ref="A58:D58"/>
    <mergeCell ref="A82:D82"/>
    <mergeCell ref="A61:D61"/>
    <mergeCell ref="B62:C62"/>
    <mergeCell ref="B63:C63"/>
    <mergeCell ref="B64:C64"/>
    <mergeCell ref="B65:C65"/>
    <mergeCell ref="A66:C66"/>
    <mergeCell ref="A68:D68"/>
    <mergeCell ref="A77:B77"/>
    <mergeCell ref="A78:D78"/>
    <mergeCell ref="A79:D79"/>
    <mergeCell ref="A81:D81"/>
    <mergeCell ref="B108:C108"/>
    <mergeCell ref="A84:D84"/>
    <mergeCell ref="A92:B92"/>
    <mergeCell ref="A93:D93"/>
    <mergeCell ref="A95:D95"/>
    <mergeCell ref="A98:B98"/>
    <mergeCell ref="A100:D100"/>
    <mergeCell ref="B101:C101"/>
    <mergeCell ref="B102:C102"/>
    <mergeCell ref="A104:C104"/>
    <mergeCell ref="A106:D106"/>
    <mergeCell ref="B107:C107"/>
    <mergeCell ref="A115:D115"/>
    <mergeCell ref="A116:B116"/>
    <mergeCell ref="C116:D116"/>
    <mergeCell ref="A125:B125"/>
    <mergeCell ref="A126:D126"/>
    <mergeCell ref="B109:C109"/>
    <mergeCell ref="B110:C110"/>
    <mergeCell ref="B111:C111"/>
    <mergeCell ref="A112:C112"/>
    <mergeCell ref="A113:D113"/>
    <mergeCell ref="A131:D131"/>
    <mergeCell ref="A127:D127"/>
    <mergeCell ref="A143:D143"/>
    <mergeCell ref="A132:C132"/>
    <mergeCell ref="B133:C133"/>
    <mergeCell ref="B134:C134"/>
    <mergeCell ref="B135:C135"/>
    <mergeCell ref="B136:C136"/>
    <mergeCell ref="B137:C137"/>
    <mergeCell ref="A142:D142"/>
    <mergeCell ref="A138:C138"/>
    <mergeCell ref="B139:C139"/>
    <mergeCell ref="A140:C140"/>
    <mergeCell ref="A129:D129"/>
    <mergeCell ref="A128:D128"/>
  </mergeCells>
  <dataValidations count="1">
    <dataValidation type="list" allowBlank="1" showInputMessage="1" showErrorMessage="1" sqref="C116:D116" xr:uid="{00000000-0002-0000-0500-000000000000}">
      <formula1>"Lucro presumido,Lucro real"</formula1>
    </dataValidation>
  </dataValidations>
  <printOptions horizontalCentered="1"/>
  <pageMargins left="0.55118110236220474" right="0.55118110236220474" top="1.2598425196850394" bottom="0.98425196850393704" header="0" footer="0"/>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F6830AE2290A48B3B18C31DBF8A463" ma:contentTypeVersion="5" ma:contentTypeDescription="Crie um novo documento." ma:contentTypeScope="" ma:versionID="a7d15fd6d130d284d19780025f46bac4">
  <xsd:schema xmlns:xsd="http://www.w3.org/2001/XMLSchema" xmlns:xs="http://www.w3.org/2001/XMLSchema" xmlns:p="http://schemas.microsoft.com/office/2006/metadata/properties" xmlns:ns2="feb3f17f-5bec-4c73-b35b-0b02181abcd2" xmlns:ns3="36a8869d-eb0b-44f8-9179-19e80659835e" targetNamespace="http://schemas.microsoft.com/office/2006/metadata/properties" ma:root="true" ma:fieldsID="b302a3b5ee1b49de44ba86ae822ac941" ns2:_="" ns3:_="">
    <xsd:import namespace="feb3f17f-5bec-4c73-b35b-0b02181abcd2"/>
    <xsd:import namespace="36a8869d-eb0b-44f8-9179-19e80659835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b3f17f-5bec-4c73-b35b-0b02181abc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8869d-eb0b-44f8-9179-19e80659835e"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E2E241-E501-4092-956D-EDB369803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b3f17f-5bec-4c73-b35b-0b02181abcd2"/>
    <ds:schemaRef ds:uri="36a8869d-eb0b-44f8-9179-19e8065983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12BF53-39BC-4952-8049-9FCB011E3D37}">
  <ds:schemaRefs>
    <ds:schemaRef ds:uri="http://schemas.microsoft.com/sharepoint/v3/contenttype/forms"/>
  </ds:schemaRefs>
</ds:datastoreItem>
</file>

<file path=customXml/itemProps3.xml><?xml version="1.0" encoding="utf-8"?>
<ds:datastoreItem xmlns:ds="http://schemas.openxmlformats.org/officeDocument/2006/customXml" ds:itemID="{8D140501-EAED-427F-A4AA-53510CF069F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14</vt:i4>
      </vt:variant>
    </vt:vector>
  </HeadingPairs>
  <TitlesOfParts>
    <vt:vector size="40" baseType="lpstr">
      <vt:lpstr>1 Formação de Preço </vt:lpstr>
      <vt:lpstr>2 Resumo Post de Trab</vt:lpstr>
      <vt:lpstr>3.1 Bomb Hidra 5X2hs</vt:lpstr>
      <vt:lpstr>Bomb hidr diurno 12-36</vt:lpstr>
      <vt:lpstr>3.2 Eletricista</vt:lpstr>
      <vt:lpstr>Eletricista plantonista diurno</vt:lpstr>
      <vt:lpstr>Eletricista plantonista noturno</vt:lpstr>
      <vt:lpstr>3.3 Encarregado de Man</vt:lpstr>
      <vt:lpstr>3.4 Estoquista Ferram</vt:lpstr>
      <vt:lpstr>3.5 Jardineiro</vt:lpstr>
      <vt:lpstr>3.6  Lavador</vt:lpstr>
      <vt:lpstr>3.7 Marceneiro</vt:lpstr>
      <vt:lpstr>3.8 Pedreiro</vt:lpstr>
      <vt:lpstr>3.9 Pintor-Gesseiro</vt:lpstr>
      <vt:lpstr>3.10 Serralheiro</vt:lpstr>
      <vt:lpstr>3.11 Engenheiro</vt:lpstr>
      <vt:lpstr>3.12 Técnico telefonia</vt:lpstr>
      <vt:lpstr>3.13 Ofi Mec Refrig</vt:lpstr>
      <vt:lpstr>3.14 Ajud de Man e Rep</vt:lpstr>
      <vt:lpstr>3.15 Téc Edificações</vt:lpstr>
      <vt:lpstr>TABELA 4 Uniformes e EPIS</vt:lpstr>
      <vt:lpstr>TABELA 5 - Ferramentas</vt:lpstr>
      <vt:lpstr>TABELA 6 Serv Especializados</vt:lpstr>
      <vt:lpstr>TABELA 7 - Mat. e Peças</vt:lpstr>
      <vt:lpstr>TABELA 8 - Serviços Eventuais</vt:lpstr>
      <vt:lpstr>TABELA 9 - Planilha BDI</vt:lpstr>
      <vt:lpstr>'1 Formação de Preço '!_Hlk74142935</vt:lpstr>
      <vt:lpstr>'1 Formação de Preço '!_Hlk74148335</vt:lpstr>
      <vt:lpstr>'1 Formação de Preço '!_Hlk74164378</vt:lpstr>
      <vt:lpstr>'1 Formação de Preço '!_Hlk74222037</vt:lpstr>
      <vt:lpstr>ADM</vt:lpstr>
      <vt:lpstr>'1 Formação de Preço '!Area_de_impressao</vt:lpstr>
      <vt:lpstr>'2 Resumo Post de Trab'!Area_de_impressao</vt:lpstr>
      <vt:lpstr>'3.1 Bomb Hidra 5X2hs'!Area_de_impressao</vt:lpstr>
      <vt:lpstr>'3.2 Eletricista'!Area_de_impressao</vt:lpstr>
      <vt:lpstr>'TABELA 4 Uniformes e EPIS'!Area_de_impressao</vt:lpstr>
      <vt:lpstr>'TABELA 5 - Ferramentas'!Area_de_impressao</vt:lpstr>
      <vt:lpstr>'TABELA 6 Serv Especializados'!Area_de_impressao</vt:lpstr>
      <vt:lpstr>LUCROS</vt:lpstr>
      <vt:lpstr>'TABELA 4 Uniformes e EPIS'!Print_Area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Fontoura Campos da Silva</dc:creator>
  <cp:keywords/>
  <dc:description/>
  <cp:lastModifiedBy>Walter Rodrigues Ferreira</cp:lastModifiedBy>
  <cp:revision/>
  <dcterms:created xsi:type="dcterms:W3CDTF">2019-04-29T17:44:08Z</dcterms:created>
  <dcterms:modified xsi:type="dcterms:W3CDTF">2024-01-11T16:30:57Z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0x01010051F6830AE2290A48B3B18C31DBF8A463</vt:lpwstr>
  </property>
</Properties>
</file>