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maria.teixeira\Downloads\PCCAs\ODS\"/>
    </mc:Choice>
  </mc:AlternateContent>
  <xr:revisionPtr revIDLastSave="0" documentId="8_{871D194A-C3BC-4D1A-8DC5-EB2EC6BF986A}" xr6:coauthVersionLast="47" xr6:coauthVersionMax="47" xr10:uidLastSave="{00000000-0000-0000-0000-000000000000}"/>
  <bookViews>
    <workbookView xWindow="810" yWindow="-120" windowWidth="28110" windowHeight="16440" activeTab="2"/>
  </bookViews>
  <sheets>
    <sheet name="PAC" sheetId="1" r:id="rId1"/>
    <sheet name="CAC" sheetId="2" r:id="rId2"/>
    <sheet name="CAC_-_Acompanhamento" sheetId="3" r:id="rId3"/>
    <sheet name="Orientações_-_uso_das_planilhas" sheetId="4" r:id="rId4"/>
    <sheet name="Tabela_temporalidade" sheetId="5" r:id="rId5"/>
    <sheet name="Planilha1" sheetId="6" r:id="rId6"/>
  </sheets>
  <definedNames>
    <definedName name="_xlnm._FilterDatabase">"""""""""""""""""""""""""""""""""""""""""""""""""""""""""""""""cac!#REF!"""""""""""""""""""""""""""""""""""""""""""""""""""""""""""""""</definedName>
    <definedName name="_xlnm._FilterDatabase_2">"""""""""""""""""""""""""""""""""""""""""""""""""""""""""""""""pac!#REF!"""""""""""""""""""""""""""""""""""""""""""""""""""""""""""""""</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26" i="3" l="1"/>
  <c r="A226" i="3"/>
  <c r="B225" i="3"/>
  <c r="A225" i="3"/>
  <c r="B224" i="3"/>
  <c r="A224" i="3"/>
  <c r="B223" i="3"/>
  <c r="A223" i="3"/>
  <c r="B222" i="3"/>
  <c r="A222" i="3"/>
  <c r="B221" i="3"/>
  <c r="A221" i="3"/>
  <c r="B220" i="3"/>
  <c r="A220" i="3"/>
  <c r="B219" i="3"/>
  <c r="A219" i="3"/>
  <c r="B218" i="3"/>
  <c r="A218" i="3"/>
  <c r="B217" i="3"/>
  <c r="A217" i="3"/>
  <c r="B216" i="3"/>
  <c r="A216" i="3"/>
  <c r="B215" i="3"/>
  <c r="A215" i="3"/>
  <c r="B214" i="3"/>
  <c r="A214" i="3"/>
  <c r="B213" i="3"/>
  <c r="A213" i="3"/>
  <c r="B212" i="3"/>
  <c r="A212" i="3"/>
  <c r="B211" i="3"/>
  <c r="A211" i="3"/>
  <c r="B210" i="3"/>
  <c r="A210" i="3"/>
  <c r="B209" i="3"/>
  <c r="A209" i="3"/>
  <c r="B208" i="3"/>
  <c r="A208" i="3"/>
  <c r="B207" i="3"/>
  <c r="A207" i="3"/>
  <c r="B206" i="3"/>
  <c r="A206" i="3"/>
  <c r="B205" i="3"/>
  <c r="A205" i="3"/>
  <c r="B204" i="3"/>
  <c r="A204" i="3"/>
  <c r="B203" i="3"/>
  <c r="A203" i="3"/>
  <c r="B202" i="3"/>
  <c r="A202" i="3"/>
  <c r="B201" i="3"/>
  <c r="A201" i="3"/>
  <c r="B200" i="3"/>
  <c r="A200" i="3"/>
  <c r="B199" i="3"/>
  <c r="A199" i="3"/>
  <c r="B198" i="3"/>
  <c r="A198" i="3"/>
  <c r="B197" i="3"/>
  <c r="A197" i="3"/>
  <c r="B196" i="3"/>
  <c r="A196" i="3"/>
  <c r="B195" i="3"/>
  <c r="A195" i="3"/>
  <c r="B194" i="3"/>
  <c r="A194" i="3"/>
  <c r="B193" i="3"/>
  <c r="A193" i="3"/>
  <c r="B192" i="3"/>
  <c r="A192" i="3"/>
  <c r="B191" i="3"/>
  <c r="A191" i="3"/>
  <c r="B190" i="3"/>
  <c r="A190" i="3"/>
  <c r="B189" i="3"/>
  <c r="A189" i="3"/>
  <c r="B188" i="3"/>
  <c r="A188" i="3"/>
  <c r="B187" i="3"/>
  <c r="A187" i="3"/>
  <c r="B186" i="3"/>
  <c r="A186" i="3"/>
  <c r="B185" i="3"/>
  <c r="A185" i="3"/>
  <c r="B184" i="3"/>
  <c r="A184" i="3"/>
  <c r="B183" i="3"/>
  <c r="A183" i="3"/>
  <c r="B182" i="3"/>
  <c r="A182" i="3"/>
  <c r="B181" i="3"/>
  <c r="A181" i="3"/>
  <c r="B180" i="3"/>
  <c r="A180" i="3"/>
  <c r="B179" i="3"/>
  <c r="A179" i="3"/>
  <c r="B178" i="3"/>
  <c r="A178" i="3"/>
  <c r="B177" i="3"/>
  <c r="A177" i="3"/>
  <c r="B176" i="3"/>
  <c r="A176" i="3"/>
  <c r="B175" i="3"/>
  <c r="A175" i="3"/>
  <c r="B174" i="3"/>
  <c r="A174" i="3"/>
  <c r="B173" i="3"/>
  <c r="A173" i="3"/>
  <c r="B172" i="3"/>
  <c r="A172" i="3"/>
  <c r="B171" i="3"/>
  <c r="A171" i="3"/>
  <c r="B170" i="3"/>
  <c r="A170" i="3"/>
  <c r="B169" i="3"/>
  <c r="A169" i="3"/>
  <c r="B168" i="3"/>
  <c r="A168" i="3"/>
  <c r="B167" i="3"/>
  <c r="A167" i="3"/>
  <c r="B166" i="3"/>
  <c r="A166" i="3"/>
  <c r="B165" i="3"/>
  <c r="A165" i="3"/>
  <c r="B164" i="3"/>
  <c r="A164" i="3"/>
  <c r="B163" i="3"/>
  <c r="A163" i="3"/>
  <c r="B162" i="3"/>
  <c r="A162" i="3"/>
  <c r="B161" i="3"/>
  <c r="A161" i="3"/>
  <c r="B160" i="3"/>
  <c r="A160" i="3"/>
  <c r="B159" i="3"/>
  <c r="A159" i="3"/>
  <c r="B158" i="3"/>
  <c r="A158" i="3"/>
  <c r="B157" i="3"/>
  <c r="A157" i="3"/>
  <c r="B156" i="3"/>
  <c r="A156" i="3"/>
  <c r="B155" i="3"/>
  <c r="A155" i="3"/>
  <c r="B154" i="3"/>
  <c r="A154" i="3"/>
  <c r="B153" i="3"/>
  <c r="A153" i="3"/>
  <c r="B152" i="3"/>
  <c r="A152" i="3"/>
  <c r="B151" i="3"/>
  <c r="A151" i="3"/>
  <c r="B150" i="3"/>
  <c r="A150" i="3"/>
  <c r="B149" i="3"/>
  <c r="A149" i="3"/>
  <c r="B148" i="3"/>
  <c r="A148" i="3"/>
  <c r="B147" i="3"/>
  <c r="A147" i="3"/>
  <c r="B146" i="3"/>
  <c r="A146" i="3"/>
  <c r="B145" i="3"/>
  <c r="A145" i="3"/>
  <c r="B144" i="3"/>
  <c r="A144" i="3"/>
  <c r="B143" i="3"/>
  <c r="A143" i="3"/>
  <c r="B142" i="3"/>
  <c r="A142" i="3"/>
  <c r="B141" i="3"/>
  <c r="A141" i="3"/>
  <c r="B140" i="3"/>
  <c r="A140" i="3"/>
  <c r="B139" i="3"/>
  <c r="A139" i="3"/>
  <c r="B138" i="3"/>
  <c r="A138" i="3"/>
  <c r="B137" i="3"/>
  <c r="A137" i="3"/>
  <c r="B136" i="3"/>
  <c r="A136" i="3"/>
  <c r="B135" i="3"/>
  <c r="A135" i="3"/>
  <c r="B134" i="3"/>
  <c r="A134" i="3"/>
  <c r="B133" i="3"/>
  <c r="A133" i="3"/>
  <c r="B132" i="3"/>
  <c r="A132" i="3"/>
  <c r="B131" i="3"/>
  <c r="A131" i="3"/>
  <c r="B130" i="3"/>
  <c r="A130" i="3"/>
  <c r="B129" i="3"/>
  <c r="A129" i="3"/>
  <c r="B128" i="3"/>
  <c r="A128" i="3"/>
  <c r="B127" i="3"/>
  <c r="A127" i="3"/>
  <c r="B126" i="3"/>
  <c r="A126" i="3"/>
  <c r="B125" i="3"/>
  <c r="A125" i="3"/>
  <c r="B124" i="3"/>
  <c r="A124" i="3"/>
  <c r="B123" i="3"/>
  <c r="A123" i="3"/>
  <c r="B122" i="3"/>
  <c r="A122" i="3"/>
  <c r="B121" i="3"/>
  <c r="A121" i="3"/>
  <c r="A120" i="3"/>
  <c r="A119" i="3"/>
  <c r="A118" i="3"/>
  <c r="A117" i="3"/>
  <c r="A116" i="3"/>
  <c r="A115" i="3"/>
  <c r="A114" i="3"/>
  <c r="A113" i="3"/>
  <c r="A112" i="3"/>
  <c r="A111" i="3"/>
  <c r="A110" i="3"/>
  <c r="A109" i="3"/>
  <c r="A108" i="3"/>
  <c r="A107" i="3"/>
  <c r="A106" i="3"/>
  <c r="A105" i="3"/>
  <c r="B104" i="3"/>
  <c r="A104" i="3"/>
  <c r="B103" i="3"/>
  <c r="A103" i="3"/>
  <c r="B102" i="3"/>
  <c r="A102" i="3"/>
  <c r="B101" i="3"/>
  <c r="A101" i="3"/>
  <c r="B100" i="3"/>
  <c r="A100" i="3"/>
  <c r="B99" i="3"/>
  <c r="A99" i="3"/>
  <c r="B98" i="3"/>
  <c r="A98" i="3"/>
  <c r="A97" i="3"/>
  <c r="A96" i="3"/>
  <c r="A95" i="3"/>
  <c r="A94" i="3"/>
  <c r="A93" i="3"/>
  <c r="A92" i="3"/>
  <c r="A91" i="3"/>
  <c r="A90" i="3"/>
  <c r="A89" i="3"/>
  <c r="A88" i="3"/>
  <c r="A87" i="3"/>
  <c r="A86" i="3"/>
  <c r="B85" i="3"/>
  <c r="A85" i="3"/>
  <c r="B84" i="3"/>
  <c r="A84" i="3"/>
  <c r="B83" i="3"/>
  <c r="A83" i="3"/>
  <c r="B82" i="3"/>
  <c r="A82" i="3"/>
  <c r="B81" i="3"/>
  <c r="A81" i="3"/>
  <c r="B80" i="3"/>
  <c r="A80" i="3"/>
  <c r="B79" i="3"/>
  <c r="A79" i="3"/>
  <c r="B78" i="3"/>
  <c r="A78" i="3"/>
  <c r="B77" i="3"/>
  <c r="A77" i="3"/>
  <c r="B76" i="3"/>
  <c r="A76" i="3"/>
  <c r="B75" i="3"/>
  <c r="A75" i="3"/>
  <c r="B74" i="3"/>
  <c r="A74" i="3"/>
  <c r="B73" i="3"/>
  <c r="A73" i="3"/>
  <c r="B72" i="3"/>
  <c r="A72" i="3"/>
  <c r="B71" i="3"/>
  <c r="A71" i="3"/>
  <c r="B70" i="3"/>
  <c r="A70" i="3"/>
  <c r="B69" i="3"/>
  <c r="A69" i="3"/>
  <c r="B68" i="3"/>
  <c r="A68" i="3"/>
  <c r="B67" i="3"/>
  <c r="A67" i="3"/>
  <c r="B66" i="3"/>
  <c r="A66" i="3"/>
  <c r="B65" i="3"/>
  <c r="A65" i="3"/>
  <c r="B64" i="3"/>
  <c r="A64" i="3"/>
  <c r="B63" i="3"/>
  <c r="A63" i="3"/>
  <c r="B62" i="3"/>
  <c r="A62" i="3"/>
  <c r="B61" i="3"/>
  <c r="A61" i="3"/>
  <c r="B60" i="3"/>
  <c r="A60" i="3"/>
  <c r="B59" i="3"/>
  <c r="A59" i="3"/>
  <c r="B58" i="3"/>
  <c r="A58" i="3"/>
  <c r="B57" i="3"/>
  <c r="A57" i="3"/>
  <c r="B56" i="3"/>
  <c r="A56" i="3"/>
  <c r="B55" i="3"/>
  <c r="A55" i="3"/>
  <c r="B54" i="3"/>
  <c r="A54" i="3"/>
  <c r="B53" i="3"/>
  <c r="A53" i="3"/>
  <c r="B52" i="3"/>
  <c r="A52" i="3"/>
  <c r="B51" i="3"/>
  <c r="A51" i="3"/>
  <c r="B50" i="3"/>
  <c r="A50" i="3"/>
  <c r="B49" i="3"/>
  <c r="A49" i="3"/>
  <c r="B48" i="3"/>
  <c r="A48" i="3"/>
  <c r="B47" i="3"/>
  <c r="A47" i="3"/>
  <c r="B46" i="3"/>
  <c r="A46" i="3"/>
  <c r="B45" i="3"/>
  <c r="A45" i="3"/>
  <c r="B44" i="3"/>
  <c r="A44" i="3"/>
  <c r="B43" i="3"/>
  <c r="A43" i="3"/>
  <c r="B42" i="3"/>
  <c r="A42" i="3"/>
  <c r="B41" i="3"/>
  <c r="A41" i="3"/>
  <c r="B40" i="3"/>
  <c r="A40" i="3"/>
  <c r="B39" i="3"/>
  <c r="A39" i="3"/>
  <c r="B38" i="3"/>
  <c r="A38" i="3"/>
  <c r="B37" i="3"/>
  <c r="A37" i="3"/>
  <c r="B36" i="3"/>
  <c r="A36" i="3"/>
  <c r="B35" i="3"/>
  <c r="A35" i="3"/>
  <c r="B34" i="3"/>
  <c r="A34" i="3"/>
  <c r="B33" i="3"/>
  <c r="A33" i="3"/>
  <c r="B32" i="3"/>
  <c r="A32" i="3"/>
  <c r="B31" i="3"/>
  <c r="A31" i="3"/>
  <c r="B30" i="3"/>
  <c r="A30" i="3"/>
  <c r="B29" i="3"/>
  <c r="A29" i="3"/>
  <c r="B28" i="3"/>
  <c r="A28" i="3"/>
  <c r="B27" i="3"/>
  <c r="A27" i="3"/>
  <c r="B26" i="3"/>
  <c r="A26" i="3"/>
  <c r="B25" i="3"/>
  <c r="A25" i="3"/>
  <c r="B24" i="3"/>
  <c r="A24" i="3"/>
  <c r="B23" i="3"/>
  <c r="A23" i="3"/>
  <c r="B22" i="3"/>
  <c r="A22" i="3"/>
  <c r="B21" i="3"/>
  <c r="A21" i="3"/>
  <c r="B20" i="3"/>
  <c r="A20" i="3"/>
  <c r="B19" i="3"/>
  <c r="A19" i="3"/>
  <c r="B18" i="3"/>
  <c r="A18" i="3"/>
  <c r="B17" i="3"/>
  <c r="A17" i="3"/>
  <c r="B16" i="3"/>
  <c r="A16" i="3"/>
  <c r="B15" i="3"/>
  <c r="A15" i="3"/>
  <c r="B14" i="3"/>
  <c r="A14" i="3"/>
  <c r="B13" i="3"/>
  <c r="A13" i="3"/>
  <c r="B12" i="3"/>
  <c r="A12" i="3"/>
  <c r="B11" i="3"/>
  <c r="A11" i="3"/>
  <c r="B10" i="3"/>
  <c r="A10" i="3"/>
  <c r="B9" i="3"/>
  <c r="A9" i="3"/>
  <c r="B8" i="3"/>
  <c r="A8" i="3"/>
  <c r="B7" i="3"/>
  <c r="A7" i="3"/>
  <c r="B6" i="3"/>
  <c r="A6" i="3"/>
  <c r="B5" i="3"/>
  <c r="A5" i="3"/>
  <c r="B4" i="3"/>
  <c r="A4" i="3"/>
  <c r="B3" i="3"/>
  <c r="A3" i="3"/>
  <c r="B2" i="3"/>
  <c r="A2" i="3"/>
  <c r="J252" i="2"/>
  <c r="G252" i="2"/>
  <c r="F252" i="2"/>
  <c r="E252" i="2"/>
  <c r="D252" i="2"/>
  <c r="B252" i="2"/>
  <c r="C226" i="3" s="1"/>
  <c r="J251" i="2"/>
  <c r="G251" i="2"/>
  <c r="F251" i="2"/>
  <c r="E251" i="2"/>
  <c r="D251" i="2"/>
  <c r="B251" i="2"/>
  <c r="C225" i="3" s="1"/>
  <c r="J250" i="2"/>
  <c r="G250" i="2"/>
  <c r="F250" i="2"/>
  <c r="E250" i="2"/>
  <c r="D250" i="2"/>
  <c r="B250" i="2"/>
  <c r="C224" i="3" s="1"/>
  <c r="J249" i="2"/>
  <c r="G249" i="2"/>
  <c r="F249" i="2"/>
  <c r="E249" i="2"/>
  <c r="D249" i="2"/>
  <c r="B249" i="2"/>
  <c r="C223" i="3" s="1"/>
  <c r="J248" i="2"/>
  <c r="G248" i="2"/>
  <c r="F248" i="2"/>
  <c r="E248" i="2"/>
  <c r="D248" i="2"/>
  <c r="B248" i="2"/>
  <c r="C222" i="3" s="1"/>
  <c r="J247" i="2"/>
  <c r="G247" i="2"/>
  <c r="F247" i="2"/>
  <c r="E247" i="2"/>
  <c r="D247" i="2"/>
  <c r="B247" i="2"/>
  <c r="C221" i="3" s="1"/>
  <c r="J246" i="2"/>
  <c r="G246" i="2"/>
  <c r="F246" i="2"/>
  <c r="E246" i="2"/>
  <c r="D246" i="2"/>
  <c r="B246" i="2"/>
  <c r="C220" i="3" s="1"/>
  <c r="J245" i="2"/>
  <c r="G245" i="2"/>
  <c r="F245" i="2"/>
  <c r="E245" i="2"/>
  <c r="D245" i="2"/>
  <c r="B245" i="2"/>
  <c r="C219" i="3" s="1"/>
  <c r="J244" i="2"/>
  <c r="G244" i="2"/>
  <c r="F244" i="2"/>
  <c r="E244" i="2"/>
  <c r="D244" i="2"/>
  <c r="B244" i="2"/>
  <c r="J243" i="2"/>
  <c r="G243" i="2"/>
  <c r="F243" i="2"/>
  <c r="E243" i="2"/>
  <c r="D243" i="2"/>
  <c r="B243" i="2"/>
  <c r="C218" i="3" s="1"/>
  <c r="J242" i="2"/>
  <c r="G242" i="2"/>
  <c r="F242" i="2"/>
  <c r="E242" i="2"/>
  <c r="D242" i="2"/>
  <c r="B242" i="2"/>
  <c r="C217" i="3" s="1"/>
  <c r="J241" i="2"/>
  <c r="G241" i="2"/>
  <c r="F241" i="2"/>
  <c r="E241" i="2"/>
  <c r="D241" i="2"/>
  <c r="B241" i="2"/>
  <c r="C216" i="3" s="1"/>
  <c r="J240" i="2"/>
  <c r="G240" i="2"/>
  <c r="F240" i="2"/>
  <c r="E240" i="2"/>
  <c r="D240" i="2"/>
  <c r="B240" i="2"/>
  <c r="C215" i="3" s="1"/>
  <c r="J239" i="2"/>
  <c r="G239" i="2"/>
  <c r="F239" i="2"/>
  <c r="E239" i="2"/>
  <c r="D239" i="2"/>
  <c r="U239" i="2" s="1"/>
  <c r="B239" i="2"/>
  <c r="C214" i="3" s="1"/>
  <c r="J238" i="2"/>
  <c r="G238" i="2"/>
  <c r="F238" i="2"/>
  <c r="E238" i="2"/>
  <c r="D238" i="2"/>
  <c r="B238" i="2"/>
  <c r="C213" i="3" s="1"/>
  <c r="J237" i="2"/>
  <c r="G237" i="2"/>
  <c r="F237" i="2"/>
  <c r="E237" i="2"/>
  <c r="D237" i="2"/>
  <c r="B237" i="2"/>
  <c r="C212" i="3" s="1"/>
  <c r="J236" i="2"/>
  <c r="G236" i="2"/>
  <c r="F236" i="2"/>
  <c r="E236" i="2"/>
  <c r="D236" i="2"/>
  <c r="B236" i="2"/>
  <c r="C211" i="3" s="1"/>
  <c r="J235" i="2"/>
  <c r="G235" i="2"/>
  <c r="F235" i="2"/>
  <c r="E235" i="2"/>
  <c r="D235" i="2"/>
  <c r="B235" i="2"/>
  <c r="C210" i="3" s="1"/>
  <c r="J234" i="2"/>
  <c r="G234" i="2"/>
  <c r="F234" i="2"/>
  <c r="E234" i="2"/>
  <c r="D234" i="2"/>
  <c r="B234" i="2"/>
  <c r="C209" i="3" s="1"/>
  <c r="J233" i="2"/>
  <c r="G233" i="2"/>
  <c r="F233" i="2"/>
  <c r="E233" i="2"/>
  <c r="D233" i="2"/>
  <c r="B233" i="2"/>
  <c r="C208" i="3" s="1"/>
  <c r="J232" i="2"/>
  <c r="G232" i="2"/>
  <c r="F232" i="2"/>
  <c r="E232" i="2"/>
  <c r="D232" i="2"/>
  <c r="B232" i="2"/>
  <c r="C207" i="3" s="1"/>
  <c r="J231" i="2"/>
  <c r="G231" i="2"/>
  <c r="F231" i="2"/>
  <c r="E231" i="2"/>
  <c r="D231" i="2"/>
  <c r="B231" i="2"/>
  <c r="C206" i="3" s="1"/>
  <c r="J230" i="2"/>
  <c r="G230" i="2"/>
  <c r="F230" i="2"/>
  <c r="E230" i="2"/>
  <c r="D230" i="2"/>
  <c r="B230" i="2"/>
  <c r="C205" i="3" s="1"/>
  <c r="J229" i="2"/>
  <c r="G229" i="2"/>
  <c r="F229" i="2"/>
  <c r="E229" i="2"/>
  <c r="D229" i="2"/>
  <c r="B229" i="2"/>
  <c r="C204" i="3" s="1"/>
  <c r="J228" i="2"/>
  <c r="G228" i="2"/>
  <c r="F228" i="2"/>
  <c r="E228" i="2"/>
  <c r="D228" i="2"/>
  <c r="B228" i="2"/>
  <c r="C203" i="3" s="1"/>
  <c r="J227" i="2"/>
  <c r="G227" i="2"/>
  <c r="F227" i="2"/>
  <c r="E227" i="2"/>
  <c r="D227" i="2"/>
  <c r="B227" i="2"/>
  <c r="C202" i="3" s="1"/>
  <c r="J226" i="2"/>
  <c r="G226" i="2"/>
  <c r="F226" i="2"/>
  <c r="E226" i="2"/>
  <c r="D226" i="2"/>
  <c r="B226" i="2"/>
  <c r="C201" i="3" s="1"/>
  <c r="J225" i="2"/>
  <c r="P225" i="2" s="1"/>
  <c r="G225" i="2"/>
  <c r="F225" i="2"/>
  <c r="E225" i="2"/>
  <c r="D225" i="2"/>
  <c r="B225" i="2"/>
  <c r="C200" i="3" s="1"/>
  <c r="J224" i="2"/>
  <c r="G224" i="2"/>
  <c r="F224" i="2"/>
  <c r="E224" i="2"/>
  <c r="D224" i="2"/>
  <c r="B224" i="2"/>
  <c r="C199" i="3" s="1"/>
  <c r="J223" i="2"/>
  <c r="G223" i="2"/>
  <c r="F223" i="2"/>
  <c r="E223" i="2"/>
  <c r="D223" i="2"/>
  <c r="U223" i="2" s="1"/>
  <c r="B223" i="2"/>
  <c r="C198" i="3" s="1"/>
  <c r="J222" i="2"/>
  <c r="G222" i="2"/>
  <c r="F222" i="2"/>
  <c r="E222" i="2"/>
  <c r="D222" i="2"/>
  <c r="B222" i="2"/>
  <c r="C197" i="3" s="1"/>
  <c r="J221" i="2"/>
  <c r="G221" i="2"/>
  <c r="O221" i="2" s="1"/>
  <c r="F221" i="2"/>
  <c r="E221" i="2"/>
  <c r="D221" i="2"/>
  <c r="B221" i="2"/>
  <c r="C196" i="3" s="1"/>
  <c r="J220" i="2"/>
  <c r="G220" i="2"/>
  <c r="F220" i="2"/>
  <c r="E220" i="2"/>
  <c r="D220" i="2"/>
  <c r="B220" i="2"/>
  <c r="C195" i="3" s="1"/>
  <c r="J219" i="2"/>
  <c r="G219" i="2"/>
  <c r="F219" i="2"/>
  <c r="E219" i="2"/>
  <c r="D219" i="2"/>
  <c r="B219" i="2"/>
  <c r="C194" i="3" s="1"/>
  <c r="J218" i="2"/>
  <c r="G218" i="2"/>
  <c r="F218" i="2"/>
  <c r="E218" i="2"/>
  <c r="D218" i="2"/>
  <c r="B218" i="2"/>
  <c r="C193" i="3" s="1"/>
  <c r="J217" i="2"/>
  <c r="P217" i="2" s="1"/>
  <c r="G217" i="2"/>
  <c r="F217" i="2"/>
  <c r="E217" i="2"/>
  <c r="D217" i="2"/>
  <c r="B217" i="2"/>
  <c r="C192" i="3" s="1"/>
  <c r="J216" i="2"/>
  <c r="G216" i="2"/>
  <c r="F216" i="2"/>
  <c r="E216" i="2"/>
  <c r="D216" i="2"/>
  <c r="B216" i="2"/>
  <c r="C191" i="3" s="1"/>
  <c r="J215" i="2"/>
  <c r="G215" i="2"/>
  <c r="F215" i="2"/>
  <c r="E215" i="2"/>
  <c r="D215" i="2"/>
  <c r="U215" i="2" s="1"/>
  <c r="B215" i="2"/>
  <c r="C190" i="3" s="1"/>
  <c r="J214" i="2"/>
  <c r="G214" i="2"/>
  <c r="F214" i="2"/>
  <c r="E214" i="2"/>
  <c r="D214" i="2"/>
  <c r="B214" i="2"/>
  <c r="C189" i="3" s="1"/>
  <c r="J213" i="2"/>
  <c r="G213" i="2"/>
  <c r="F213" i="2"/>
  <c r="E213" i="2"/>
  <c r="D213" i="2"/>
  <c r="B213" i="2"/>
  <c r="C188" i="3" s="1"/>
  <c r="J212" i="2"/>
  <c r="G212" i="2"/>
  <c r="F212" i="2"/>
  <c r="E212" i="2"/>
  <c r="D212" i="2"/>
  <c r="B212" i="2"/>
  <c r="C187" i="3" s="1"/>
  <c r="J211" i="2"/>
  <c r="G211" i="2"/>
  <c r="F211" i="2"/>
  <c r="E211" i="2"/>
  <c r="D211" i="2"/>
  <c r="B211" i="2"/>
  <c r="C186" i="3" s="1"/>
  <c r="J210" i="2"/>
  <c r="G210" i="2"/>
  <c r="F210" i="2"/>
  <c r="E210" i="2"/>
  <c r="D210" i="2"/>
  <c r="B210" i="2"/>
  <c r="C185" i="3" s="1"/>
  <c r="J209" i="2"/>
  <c r="G209" i="2"/>
  <c r="F209" i="2"/>
  <c r="E209" i="2"/>
  <c r="D209" i="2"/>
  <c r="B209" i="2"/>
  <c r="C184" i="3" s="1"/>
  <c r="J208" i="2"/>
  <c r="G208" i="2"/>
  <c r="F208" i="2"/>
  <c r="E208" i="2"/>
  <c r="D208" i="2"/>
  <c r="B208" i="2"/>
  <c r="C183" i="3" s="1"/>
  <c r="J207" i="2"/>
  <c r="G207" i="2"/>
  <c r="F207" i="2"/>
  <c r="E207" i="2"/>
  <c r="D207" i="2"/>
  <c r="U207" i="2" s="1"/>
  <c r="B207" i="2"/>
  <c r="C182" i="3" s="1"/>
  <c r="J206" i="2"/>
  <c r="G206" i="2"/>
  <c r="F206" i="2"/>
  <c r="E206" i="2"/>
  <c r="D206" i="2"/>
  <c r="B206" i="2"/>
  <c r="C181" i="3" s="1"/>
  <c r="J205" i="2"/>
  <c r="G205" i="2"/>
  <c r="F205" i="2"/>
  <c r="E205" i="2"/>
  <c r="D205" i="2"/>
  <c r="B205" i="2"/>
  <c r="C180" i="3" s="1"/>
  <c r="J204" i="2"/>
  <c r="G204" i="2"/>
  <c r="F204" i="2"/>
  <c r="E204" i="2"/>
  <c r="D204" i="2"/>
  <c r="B204" i="2"/>
  <c r="C179" i="3" s="1"/>
  <c r="J203" i="2"/>
  <c r="G203" i="2"/>
  <c r="F203" i="2"/>
  <c r="E203" i="2"/>
  <c r="D203" i="2"/>
  <c r="B203" i="2"/>
  <c r="C178" i="3" s="1"/>
  <c r="J202" i="2"/>
  <c r="G202" i="2"/>
  <c r="F202" i="2"/>
  <c r="E202" i="2"/>
  <c r="D202" i="2"/>
  <c r="B202" i="2"/>
  <c r="C177" i="3" s="1"/>
  <c r="J201" i="2"/>
  <c r="P201" i="2" s="1"/>
  <c r="G201" i="2"/>
  <c r="F201" i="2"/>
  <c r="E201" i="2"/>
  <c r="D201" i="2"/>
  <c r="B201" i="2"/>
  <c r="C176" i="3" s="1"/>
  <c r="J200" i="2"/>
  <c r="G200" i="2"/>
  <c r="F200" i="2"/>
  <c r="E200" i="2"/>
  <c r="D200" i="2"/>
  <c r="B200" i="2"/>
  <c r="C175" i="3" s="1"/>
  <c r="J199" i="2"/>
  <c r="F199" i="2"/>
  <c r="E199" i="2"/>
  <c r="D199" i="2"/>
  <c r="B199" i="2"/>
  <c r="C174" i="3" s="1"/>
  <c r="J198" i="2"/>
  <c r="G198" i="2"/>
  <c r="F198" i="2"/>
  <c r="E198" i="2"/>
  <c r="D198" i="2"/>
  <c r="B198" i="2"/>
  <c r="C173" i="3" s="1"/>
  <c r="J197" i="2"/>
  <c r="G197" i="2"/>
  <c r="F197" i="2"/>
  <c r="E197" i="2"/>
  <c r="D197" i="2"/>
  <c r="B197" i="2"/>
  <c r="C172" i="3" s="1"/>
  <c r="J196" i="2"/>
  <c r="G196" i="2"/>
  <c r="F196" i="2"/>
  <c r="E196" i="2"/>
  <c r="D196" i="2"/>
  <c r="B196" i="2"/>
  <c r="C171" i="3" s="1"/>
  <c r="J195" i="2"/>
  <c r="G195" i="2"/>
  <c r="F195" i="2"/>
  <c r="E195" i="2"/>
  <c r="D195" i="2"/>
  <c r="B195" i="2"/>
  <c r="C170" i="3" s="1"/>
  <c r="J194" i="2"/>
  <c r="G194" i="2"/>
  <c r="F194" i="2"/>
  <c r="E194" i="2"/>
  <c r="D194" i="2"/>
  <c r="B194" i="2"/>
  <c r="C169" i="3" s="1"/>
  <c r="J193" i="2"/>
  <c r="G193" i="2"/>
  <c r="F193" i="2"/>
  <c r="E193" i="2"/>
  <c r="D193" i="2"/>
  <c r="B193" i="2"/>
  <c r="C168" i="3" s="1"/>
  <c r="J192" i="2"/>
  <c r="G192" i="2"/>
  <c r="F192" i="2"/>
  <c r="E192" i="2"/>
  <c r="D192" i="2"/>
  <c r="B192" i="2"/>
  <c r="C167" i="3" s="1"/>
  <c r="J191" i="2"/>
  <c r="G191" i="2"/>
  <c r="F191" i="2"/>
  <c r="E191" i="2"/>
  <c r="D191" i="2"/>
  <c r="B191" i="2"/>
  <c r="C166" i="3" s="1"/>
  <c r="J190" i="2"/>
  <c r="G190" i="2"/>
  <c r="F190" i="2"/>
  <c r="E190" i="2"/>
  <c r="D190" i="2"/>
  <c r="B190" i="2"/>
  <c r="C165" i="3" s="1"/>
  <c r="J189" i="2"/>
  <c r="G189" i="2"/>
  <c r="F189" i="2"/>
  <c r="E189" i="2"/>
  <c r="D189" i="2"/>
  <c r="B189" i="2"/>
  <c r="C164" i="3" s="1"/>
  <c r="J188" i="2"/>
  <c r="G188" i="2"/>
  <c r="F188" i="2"/>
  <c r="E188" i="2"/>
  <c r="D188" i="2"/>
  <c r="B188" i="2"/>
  <c r="C163" i="3" s="1"/>
  <c r="J187" i="2"/>
  <c r="G187" i="2"/>
  <c r="F187" i="2"/>
  <c r="E187" i="2"/>
  <c r="D187" i="2"/>
  <c r="B187" i="2"/>
  <c r="C162" i="3" s="1"/>
  <c r="J186" i="2"/>
  <c r="G186" i="2"/>
  <c r="F186" i="2"/>
  <c r="E186" i="2"/>
  <c r="D186" i="2"/>
  <c r="B186" i="2"/>
  <c r="C161" i="3" s="1"/>
  <c r="J185" i="2"/>
  <c r="G185" i="2"/>
  <c r="F185" i="2"/>
  <c r="E185" i="2"/>
  <c r="D185" i="2"/>
  <c r="B185" i="2"/>
  <c r="C160" i="3" s="1"/>
  <c r="J184" i="2"/>
  <c r="G184" i="2"/>
  <c r="F184" i="2"/>
  <c r="E184" i="2"/>
  <c r="D184" i="2"/>
  <c r="U184" i="2" s="1"/>
  <c r="B184" i="2"/>
  <c r="C159" i="3" s="1"/>
  <c r="J183" i="2"/>
  <c r="G183" i="2"/>
  <c r="F183" i="2"/>
  <c r="E183" i="2"/>
  <c r="D183" i="2"/>
  <c r="B183" i="2"/>
  <c r="C158" i="3" s="1"/>
  <c r="J182" i="2"/>
  <c r="G182" i="2"/>
  <c r="F182" i="2"/>
  <c r="E182" i="2"/>
  <c r="D182" i="2"/>
  <c r="B182" i="2"/>
  <c r="C157" i="3" s="1"/>
  <c r="J181" i="2"/>
  <c r="G181" i="2"/>
  <c r="F181" i="2"/>
  <c r="E181" i="2"/>
  <c r="D181" i="2"/>
  <c r="B181" i="2"/>
  <c r="C156" i="3" s="1"/>
  <c r="J180" i="2"/>
  <c r="G180" i="2"/>
  <c r="F180" i="2"/>
  <c r="E180" i="2"/>
  <c r="D180" i="2"/>
  <c r="B180" i="2"/>
  <c r="C155" i="3" s="1"/>
  <c r="J179" i="2"/>
  <c r="G179" i="2"/>
  <c r="F179" i="2"/>
  <c r="E179" i="2"/>
  <c r="D179" i="2"/>
  <c r="B179" i="2"/>
  <c r="C154" i="3" s="1"/>
  <c r="J178" i="2"/>
  <c r="P178" i="2" s="1"/>
  <c r="G178" i="2"/>
  <c r="F178" i="2"/>
  <c r="E178" i="2"/>
  <c r="D178" i="2"/>
  <c r="B178" i="2"/>
  <c r="C153" i="3" s="1"/>
  <c r="J177" i="2"/>
  <c r="G177" i="2"/>
  <c r="K177" i="2" s="1"/>
  <c r="F177" i="2"/>
  <c r="E177" i="2"/>
  <c r="D177" i="2"/>
  <c r="B177" i="2"/>
  <c r="C152" i="3" s="1"/>
  <c r="J176" i="2"/>
  <c r="G176" i="2"/>
  <c r="F176" i="2"/>
  <c r="E176" i="2"/>
  <c r="D176" i="2"/>
  <c r="B176" i="2"/>
  <c r="C151" i="3" s="1"/>
  <c r="J175" i="2"/>
  <c r="G175" i="2"/>
  <c r="F175" i="2"/>
  <c r="E175" i="2"/>
  <c r="D175" i="2"/>
  <c r="B175" i="2"/>
  <c r="C150" i="3" s="1"/>
  <c r="J174" i="2"/>
  <c r="G174" i="2"/>
  <c r="F174" i="2"/>
  <c r="E174" i="2"/>
  <c r="D174" i="2"/>
  <c r="B174" i="2"/>
  <c r="C149" i="3" s="1"/>
  <c r="J173" i="2"/>
  <c r="G173" i="2"/>
  <c r="F173" i="2"/>
  <c r="E173" i="2"/>
  <c r="D173" i="2"/>
  <c r="B173" i="2"/>
  <c r="C148" i="3" s="1"/>
  <c r="J172" i="2"/>
  <c r="G172" i="2"/>
  <c r="F172" i="2"/>
  <c r="E172" i="2"/>
  <c r="D172" i="2"/>
  <c r="B172" i="2"/>
  <c r="C147" i="3" s="1"/>
  <c r="J171" i="2"/>
  <c r="P171" i="2" s="1"/>
  <c r="V171" i="2" s="1"/>
  <c r="W171" i="2" s="1"/>
  <c r="G171" i="2"/>
  <c r="F171" i="2"/>
  <c r="E171" i="2"/>
  <c r="D171" i="2"/>
  <c r="B171" i="2"/>
  <c r="C146" i="3" s="1"/>
  <c r="J170" i="2"/>
  <c r="G170" i="2"/>
  <c r="F170" i="2"/>
  <c r="E170" i="2"/>
  <c r="D170" i="2"/>
  <c r="B170" i="2"/>
  <c r="C145" i="3" s="1"/>
  <c r="J169" i="2"/>
  <c r="G169" i="2"/>
  <c r="F169" i="2"/>
  <c r="E169" i="2"/>
  <c r="D169" i="2"/>
  <c r="U169" i="2" s="1"/>
  <c r="B169" i="2"/>
  <c r="C144" i="3" s="1"/>
  <c r="J168" i="2"/>
  <c r="G168" i="2"/>
  <c r="F168" i="2"/>
  <c r="E168" i="2"/>
  <c r="D168" i="2"/>
  <c r="B168" i="2"/>
  <c r="C143" i="3" s="1"/>
  <c r="J167" i="2"/>
  <c r="G167" i="2"/>
  <c r="F167" i="2"/>
  <c r="E167" i="2"/>
  <c r="D167" i="2"/>
  <c r="B167" i="2"/>
  <c r="C142" i="3" s="1"/>
  <c r="J166" i="2"/>
  <c r="G166" i="2"/>
  <c r="F166" i="2"/>
  <c r="E166" i="2"/>
  <c r="D166" i="2"/>
  <c r="B166" i="2"/>
  <c r="C141" i="3" s="1"/>
  <c r="J165" i="2"/>
  <c r="G165" i="2"/>
  <c r="F165" i="2"/>
  <c r="E165" i="2"/>
  <c r="D165" i="2"/>
  <c r="B165" i="2"/>
  <c r="C140" i="3" s="1"/>
  <c r="J164" i="2"/>
  <c r="G164" i="2"/>
  <c r="F164" i="2"/>
  <c r="E164" i="2"/>
  <c r="D164" i="2"/>
  <c r="B164" i="2"/>
  <c r="C139" i="3" s="1"/>
  <c r="J163" i="2"/>
  <c r="P163" i="2" s="1"/>
  <c r="G163" i="2"/>
  <c r="F163" i="2"/>
  <c r="E163" i="2"/>
  <c r="D163" i="2"/>
  <c r="B163" i="2"/>
  <c r="C138" i="3" s="1"/>
  <c r="J162" i="2"/>
  <c r="P162" i="2" s="1"/>
  <c r="G162" i="2"/>
  <c r="F162" i="2"/>
  <c r="E162" i="2"/>
  <c r="D162" i="2"/>
  <c r="B162" i="2"/>
  <c r="C137" i="3" s="1"/>
  <c r="J161" i="2"/>
  <c r="G161" i="2"/>
  <c r="F161" i="2"/>
  <c r="E161" i="2"/>
  <c r="D161" i="2"/>
  <c r="U161" i="2" s="1"/>
  <c r="B161" i="2"/>
  <c r="C136" i="3" s="1"/>
  <c r="J160" i="2"/>
  <c r="G160" i="2"/>
  <c r="F160" i="2"/>
  <c r="E160" i="2"/>
  <c r="D160" i="2"/>
  <c r="U160" i="2" s="1"/>
  <c r="B160" i="2"/>
  <c r="C135" i="3" s="1"/>
  <c r="J159" i="2"/>
  <c r="G159" i="2"/>
  <c r="F159" i="2"/>
  <c r="E159" i="2"/>
  <c r="D159" i="2"/>
  <c r="B159" i="2"/>
  <c r="C134" i="3" s="1"/>
  <c r="J158" i="2"/>
  <c r="G158" i="2"/>
  <c r="F158" i="2"/>
  <c r="E158" i="2"/>
  <c r="D158" i="2"/>
  <c r="B158" i="2"/>
  <c r="C133" i="3" s="1"/>
  <c r="J157" i="2"/>
  <c r="G157" i="2"/>
  <c r="F157" i="2"/>
  <c r="E157" i="2"/>
  <c r="D157" i="2"/>
  <c r="B157" i="2"/>
  <c r="C132" i="3" s="1"/>
  <c r="J156" i="2"/>
  <c r="G156" i="2"/>
  <c r="F156" i="2"/>
  <c r="E156" i="2"/>
  <c r="D156" i="2"/>
  <c r="B156" i="2"/>
  <c r="C131" i="3" s="1"/>
  <c r="J155" i="2"/>
  <c r="P155" i="2" s="1"/>
  <c r="G155" i="2"/>
  <c r="F155" i="2"/>
  <c r="E155" i="2"/>
  <c r="D155" i="2"/>
  <c r="B155" i="2"/>
  <c r="C130" i="3" s="1"/>
  <c r="J154" i="2"/>
  <c r="G154" i="2"/>
  <c r="F154" i="2"/>
  <c r="E154" i="2"/>
  <c r="D154" i="2"/>
  <c r="B154" i="2"/>
  <c r="C129" i="3" s="1"/>
  <c r="J153" i="2"/>
  <c r="G153" i="2"/>
  <c r="F153" i="2"/>
  <c r="E153" i="2"/>
  <c r="D153" i="2"/>
  <c r="B153" i="2"/>
  <c r="C128" i="3" s="1"/>
  <c r="J152" i="2"/>
  <c r="G152" i="2"/>
  <c r="F152" i="2"/>
  <c r="E152" i="2"/>
  <c r="D152" i="2"/>
  <c r="B152" i="2"/>
  <c r="C127" i="3" s="1"/>
  <c r="J151" i="2"/>
  <c r="G151" i="2"/>
  <c r="F151" i="2"/>
  <c r="E151" i="2"/>
  <c r="D151" i="2"/>
  <c r="B151" i="2"/>
  <c r="C126" i="3" s="1"/>
  <c r="J150" i="2"/>
  <c r="G150" i="2"/>
  <c r="F150" i="2"/>
  <c r="E150" i="2"/>
  <c r="D150" i="2"/>
  <c r="B150" i="2"/>
  <c r="C125" i="3" s="1"/>
  <c r="J149" i="2"/>
  <c r="G149" i="2"/>
  <c r="F149" i="2"/>
  <c r="E149" i="2"/>
  <c r="D149" i="2"/>
  <c r="B149" i="2"/>
  <c r="C124" i="3" s="1"/>
  <c r="J148" i="2"/>
  <c r="G148" i="2"/>
  <c r="F148" i="2"/>
  <c r="E148" i="2"/>
  <c r="D148" i="2"/>
  <c r="B148" i="2"/>
  <c r="J147" i="2"/>
  <c r="G147" i="2"/>
  <c r="F147" i="2"/>
  <c r="E147" i="2"/>
  <c r="D147" i="2"/>
  <c r="B147" i="2"/>
  <c r="C123" i="3" s="1"/>
  <c r="J146" i="2"/>
  <c r="P146" i="2" s="1"/>
  <c r="V146" i="2" s="1"/>
  <c r="W146" i="2" s="1"/>
  <c r="G146" i="2"/>
  <c r="F146" i="2"/>
  <c r="E146" i="2"/>
  <c r="D146" i="2"/>
  <c r="B146" i="2"/>
  <c r="C122" i="3" s="1"/>
  <c r="J145" i="2"/>
  <c r="G145" i="2"/>
  <c r="T145" i="2" s="1"/>
  <c r="F145" i="2"/>
  <c r="E145" i="2"/>
  <c r="D145" i="2"/>
  <c r="U145" i="2" s="1"/>
  <c r="B145" i="2"/>
  <c r="C121" i="3" s="1"/>
  <c r="J144" i="2"/>
  <c r="G144" i="2"/>
  <c r="F144" i="2"/>
  <c r="E144" i="2"/>
  <c r="D144" i="2"/>
  <c r="U144" i="2" s="1"/>
  <c r="V144" i="2" s="1"/>
  <c r="B144" i="2"/>
  <c r="C120" i="3" s="1"/>
  <c r="J143" i="2"/>
  <c r="G143" i="2"/>
  <c r="F143" i="2"/>
  <c r="E143" i="2"/>
  <c r="D143" i="2"/>
  <c r="B143" i="2"/>
  <c r="C119" i="3" s="1"/>
  <c r="J142" i="2"/>
  <c r="F142" i="2"/>
  <c r="E142" i="2"/>
  <c r="D142" i="2"/>
  <c r="B142" i="2"/>
  <c r="C118" i="3" s="1"/>
  <c r="J141" i="2"/>
  <c r="G141" i="2"/>
  <c r="F141" i="2"/>
  <c r="E141" i="2"/>
  <c r="D141" i="2"/>
  <c r="B141" i="2"/>
  <c r="C117" i="3" s="1"/>
  <c r="J140" i="2"/>
  <c r="G140" i="2"/>
  <c r="F140" i="2"/>
  <c r="E140" i="2"/>
  <c r="D140" i="2"/>
  <c r="B140" i="2"/>
  <c r="C116" i="3" s="1"/>
  <c r="J139" i="2"/>
  <c r="G139" i="2"/>
  <c r="F139" i="2"/>
  <c r="E139" i="2"/>
  <c r="D139" i="2"/>
  <c r="B139" i="2"/>
  <c r="C115" i="3" s="1"/>
  <c r="J138" i="2"/>
  <c r="G138" i="2"/>
  <c r="F138" i="2"/>
  <c r="E138" i="2"/>
  <c r="D138" i="2"/>
  <c r="B138" i="2"/>
  <c r="C114" i="3" s="1"/>
  <c r="J137" i="2"/>
  <c r="G137" i="2"/>
  <c r="F137" i="2"/>
  <c r="E137" i="2"/>
  <c r="D137" i="2"/>
  <c r="B137" i="2"/>
  <c r="C113" i="3" s="1"/>
  <c r="J136" i="2"/>
  <c r="G136" i="2"/>
  <c r="F136" i="2"/>
  <c r="E136" i="2"/>
  <c r="D136" i="2"/>
  <c r="B136" i="2"/>
  <c r="C112" i="3" s="1"/>
  <c r="J135" i="2"/>
  <c r="G135" i="2"/>
  <c r="F135" i="2"/>
  <c r="E135" i="2"/>
  <c r="D135" i="2"/>
  <c r="B135" i="2"/>
  <c r="C111" i="3" s="1"/>
  <c r="J134" i="2"/>
  <c r="P134" i="2" s="1"/>
  <c r="G134" i="2"/>
  <c r="F134" i="2"/>
  <c r="E134" i="2"/>
  <c r="D134" i="2"/>
  <c r="B134" i="2"/>
  <c r="C110" i="3" s="1"/>
  <c r="J133" i="2"/>
  <c r="G133" i="2"/>
  <c r="F133" i="2"/>
  <c r="E133" i="2"/>
  <c r="D133" i="2"/>
  <c r="B133" i="2"/>
  <c r="C109" i="3" s="1"/>
  <c r="J132" i="2"/>
  <c r="G132" i="2"/>
  <c r="F132" i="2"/>
  <c r="E132" i="2"/>
  <c r="D132" i="2"/>
  <c r="U132" i="2" s="1"/>
  <c r="B132" i="2"/>
  <c r="C108" i="3" s="1"/>
  <c r="J131" i="2"/>
  <c r="F131" i="2"/>
  <c r="E131" i="2"/>
  <c r="D131" i="2"/>
  <c r="B131" i="2"/>
  <c r="C107" i="3" s="1"/>
  <c r="J130" i="2"/>
  <c r="F130" i="2"/>
  <c r="E130" i="2"/>
  <c r="D130" i="2"/>
  <c r="B130" i="2"/>
  <c r="C106" i="3" s="1"/>
  <c r="J129" i="2"/>
  <c r="G129" i="2"/>
  <c r="F129" i="2"/>
  <c r="E129" i="2"/>
  <c r="D129" i="2"/>
  <c r="B129" i="2"/>
  <c r="C105" i="3" s="1"/>
  <c r="J128" i="2"/>
  <c r="G128" i="2"/>
  <c r="F128" i="2"/>
  <c r="E128" i="2"/>
  <c r="D128" i="2"/>
  <c r="B128" i="2"/>
  <c r="C104" i="3" s="1"/>
  <c r="J127" i="2"/>
  <c r="G127" i="2"/>
  <c r="F127" i="2"/>
  <c r="E127" i="2"/>
  <c r="D127" i="2"/>
  <c r="B127" i="2"/>
  <c r="C103" i="3" s="1"/>
  <c r="J126" i="2"/>
  <c r="G126" i="2"/>
  <c r="F126" i="2"/>
  <c r="E126" i="2"/>
  <c r="D126" i="2"/>
  <c r="B126" i="2"/>
  <c r="C102" i="3" s="1"/>
  <c r="J125" i="2"/>
  <c r="G125" i="2"/>
  <c r="F125" i="2"/>
  <c r="E125" i="2"/>
  <c r="D125" i="2"/>
  <c r="B125" i="2"/>
  <c r="C101" i="3" s="1"/>
  <c r="J124" i="2"/>
  <c r="G124" i="2"/>
  <c r="F124" i="2"/>
  <c r="E124" i="2"/>
  <c r="D124" i="2"/>
  <c r="B124" i="2"/>
  <c r="C100" i="3" s="1"/>
  <c r="J123" i="2"/>
  <c r="F123" i="2"/>
  <c r="E123" i="2"/>
  <c r="D123" i="2"/>
  <c r="U123" i="2" s="1"/>
  <c r="B123" i="2"/>
  <c r="C99" i="3" s="1"/>
  <c r="J122" i="2"/>
  <c r="F122" i="2"/>
  <c r="E122" i="2"/>
  <c r="D122" i="2"/>
  <c r="B122" i="2"/>
  <c r="C98" i="3" s="1"/>
  <c r="J121" i="2"/>
  <c r="G121" i="2"/>
  <c r="F121" i="2"/>
  <c r="E121" i="2"/>
  <c r="D121" i="2"/>
  <c r="B121" i="2"/>
  <c r="C97" i="3" s="1"/>
  <c r="J120" i="2"/>
  <c r="P120" i="2" s="1"/>
  <c r="G120" i="2"/>
  <c r="F120" i="2"/>
  <c r="E120" i="2"/>
  <c r="D120" i="2"/>
  <c r="B120" i="2"/>
  <c r="C96" i="3" s="1"/>
  <c r="J119" i="2"/>
  <c r="F119" i="2"/>
  <c r="E119" i="2"/>
  <c r="D119" i="2"/>
  <c r="B119" i="2"/>
  <c r="C95" i="3" s="1"/>
  <c r="J118" i="2"/>
  <c r="G118" i="2"/>
  <c r="F118" i="2"/>
  <c r="E118" i="2"/>
  <c r="D118" i="2"/>
  <c r="B118" i="2"/>
  <c r="C94" i="3" s="1"/>
  <c r="J117" i="2"/>
  <c r="G117" i="2"/>
  <c r="F117" i="2"/>
  <c r="E117" i="2"/>
  <c r="D117" i="2"/>
  <c r="B117" i="2"/>
  <c r="C93" i="3" s="1"/>
  <c r="J116" i="2"/>
  <c r="G116" i="2"/>
  <c r="F116" i="2"/>
  <c r="E116" i="2"/>
  <c r="D116" i="2"/>
  <c r="B116" i="2"/>
  <c r="C92" i="3" s="1"/>
  <c r="J115" i="2"/>
  <c r="G115" i="2"/>
  <c r="F115" i="2"/>
  <c r="E115" i="2"/>
  <c r="D115" i="2"/>
  <c r="B115" i="2"/>
  <c r="C91" i="3" s="1"/>
  <c r="J114" i="2"/>
  <c r="P114" i="2" s="1"/>
  <c r="G114" i="2"/>
  <c r="F114" i="2"/>
  <c r="E114" i="2"/>
  <c r="D114" i="2"/>
  <c r="B114" i="2"/>
  <c r="C90" i="3" s="1"/>
  <c r="J113" i="2"/>
  <c r="P113" i="2" s="1"/>
  <c r="G113" i="2"/>
  <c r="F113" i="2"/>
  <c r="E113" i="2"/>
  <c r="D113" i="2"/>
  <c r="B113" i="2"/>
  <c r="C89" i="3" s="1"/>
  <c r="J112" i="2"/>
  <c r="G112" i="2"/>
  <c r="L112" i="2" s="1"/>
  <c r="F112" i="2"/>
  <c r="E112" i="2"/>
  <c r="D112" i="2"/>
  <c r="U112" i="2" s="1"/>
  <c r="B112" i="2"/>
  <c r="C88" i="3" s="1"/>
  <c r="J111" i="2"/>
  <c r="G111" i="2"/>
  <c r="F111" i="2"/>
  <c r="E111" i="2"/>
  <c r="D111" i="2"/>
  <c r="B111" i="2"/>
  <c r="C87" i="3" s="1"/>
  <c r="J110" i="2"/>
  <c r="G110" i="2"/>
  <c r="F110" i="2"/>
  <c r="E110" i="2"/>
  <c r="D110" i="2"/>
  <c r="B110" i="2"/>
  <c r="C86" i="3" s="1"/>
  <c r="J109" i="2"/>
  <c r="G109" i="2"/>
  <c r="F109" i="2"/>
  <c r="E109" i="2"/>
  <c r="D109" i="2"/>
  <c r="B109" i="2"/>
  <c r="C85" i="3" s="1"/>
  <c r="J108" i="2"/>
  <c r="G108" i="2"/>
  <c r="F108" i="2"/>
  <c r="E108" i="2"/>
  <c r="D108" i="2"/>
  <c r="B108" i="2"/>
  <c r="C84" i="3" s="1"/>
  <c r="J107" i="2"/>
  <c r="G107" i="2"/>
  <c r="F107" i="2"/>
  <c r="E107" i="2"/>
  <c r="D107" i="2"/>
  <c r="B107" i="2"/>
  <c r="J106" i="2"/>
  <c r="G106" i="2"/>
  <c r="F106" i="2"/>
  <c r="E106" i="2"/>
  <c r="D106" i="2"/>
  <c r="B106" i="2"/>
  <c r="J105" i="2"/>
  <c r="P105" i="2" s="1"/>
  <c r="G105" i="2"/>
  <c r="F105" i="2"/>
  <c r="E105" i="2"/>
  <c r="D105" i="2"/>
  <c r="B105" i="2"/>
  <c r="C83" i="3" s="1"/>
  <c r="J104" i="2"/>
  <c r="F104" i="2"/>
  <c r="E104" i="2"/>
  <c r="D104" i="2"/>
  <c r="B104" i="2"/>
  <c r="C82" i="3" s="1"/>
  <c r="J103" i="2"/>
  <c r="F103" i="2"/>
  <c r="E103" i="2"/>
  <c r="D103" i="2"/>
  <c r="B103" i="2"/>
  <c r="C81" i="3" s="1"/>
  <c r="J102" i="2"/>
  <c r="F102" i="2"/>
  <c r="E102" i="2"/>
  <c r="D102" i="2"/>
  <c r="B102" i="2"/>
  <c r="C80" i="3" s="1"/>
  <c r="J101" i="2"/>
  <c r="G101" i="2"/>
  <c r="F101" i="2"/>
  <c r="E101" i="2"/>
  <c r="D101" i="2"/>
  <c r="B101" i="2"/>
  <c r="C79" i="3" s="1"/>
  <c r="J100" i="2"/>
  <c r="G100" i="2"/>
  <c r="F100" i="2"/>
  <c r="E100" i="2"/>
  <c r="D100" i="2"/>
  <c r="B100" i="2"/>
  <c r="J99" i="2"/>
  <c r="G99" i="2"/>
  <c r="F99" i="2"/>
  <c r="E99" i="2"/>
  <c r="D99" i="2"/>
  <c r="B99" i="2"/>
  <c r="C78" i="3" s="1"/>
  <c r="J98" i="2"/>
  <c r="G98" i="2"/>
  <c r="F98" i="2"/>
  <c r="E98" i="2"/>
  <c r="D98" i="2"/>
  <c r="B98" i="2"/>
  <c r="C77" i="3" s="1"/>
  <c r="J97" i="2"/>
  <c r="G97" i="2"/>
  <c r="F97" i="2"/>
  <c r="E97" i="2"/>
  <c r="D97" i="2"/>
  <c r="B97" i="2"/>
  <c r="C76" i="3" s="1"/>
  <c r="J96" i="2"/>
  <c r="G96" i="2"/>
  <c r="F96" i="2"/>
  <c r="E96" i="2"/>
  <c r="D96" i="2"/>
  <c r="B96" i="2"/>
  <c r="C75" i="3" s="1"/>
  <c r="J95" i="2"/>
  <c r="F95" i="2"/>
  <c r="E95" i="2"/>
  <c r="D95" i="2"/>
  <c r="B95" i="2"/>
  <c r="C74" i="3" s="1"/>
  <c r="J94" i="2"/>
  <c r="F94" i="2"/>
  <c r="E94" i="2"/>
  <c r="D94" i="2"/>
  <c r="B94" i="2"/>
  <c r="C73" i="3" s="1"/>
  <c r="J93" i="2"/>
  <c r="F93" i="2"/>
  <c r="E93" i="2"/>
  <c r="D93" i="2"/>
  <c r="B93" i="2"/>
  <c r="C72" i="3" s="1"/>
  <c r="J92" i="2"/>
  <c r="G92" i="2"/>
  <c r="F92" i="2"/>
  <c r="E92" i="2"/>
  <c r="D92" i="2"/>
  <c r="B92" i="2"/>
  <c r="J91" i="2"/>
  <c r="G91" i="2"/>
  <c r="F91" i="2"/>
  <c r="E91" i="2"/>
  <c r="D91" i="2"/>
  <c r="B91" i="2"/>
  <c r="J90" i="2"/>
  <c r="G90" i="2"/>
  <c r="F90" i="2"/>
  <c r="E90" i="2"/>
  <c r="D90" i="2"/>
  <c r="B90" i="2"/>
  <c r="J89" i="2"/>
  <c r="G89" i="2"/>
  <c r="F89" i="2"/>
  <c r="E89" i="2"/>
  <c r="D89" i="2"/>
  <c r="B89" i="2"/>
  <c r="J88" i="2"/>
  <c r="G88" i="2"/>
  <c r="F88" i="2"/>
  <c r="E88" i="2"/>
  <c r="D88" i="2"/>
  <c r="B88" i="2"/>
  <c r="J87" i="2"/>
  <c r="G87" i="2"/>
  <c r="F87" i="2"/>
  <c r="E87" i="2"/>
  <c r="D87" i="2"/>
  <c r="U87" i="2" s="1"/>
  <c r="B87" i="2"/>
  <c r="J86" i="2"/>
  <c r="G86" i="2"/>
  <c r="F86" i="2"/>
  <c r="E86" i="2"/>
  <c r="D86" i="2"/>
  <c r="B86" i="2"/>
  <c r="J85" i="2"/>
  <c r="G85" i="2"/>
  <c r="F85" i="2"/>
  <c r="E85" i="2"/>
  <c r="D85" i="2"/>
  <c r="B85" i="2"/>
  <c r="C71" i="3" s="1"/>
  <c r="J84" i="2"/>
  <c r="G84" i="2"/>
  <c r="F84" i="2"/>
  <c r="E84" i="2"/>
  <c r="D84" i="2"/>
  <c r="B84" i="2"/>
  <c r="C70" i="3" s="1"/>
  <c r="J83" i="2"/>
  <c r="G83" i="2"/>
  <c r="F83" i="2"/>
  <c r="E83" i="2"/>
  <c r="D83" i="2"/>
  <c r="B83" i="2"/>
  <c r="C69" i="3" s="1"/>
  <c r="J82" i="2"/>
  <c r="G82" i="2"/>
  <c r="F82" i="2"/>
  <c r="E82" i="2"/>
  <c r="D82" i="2"/>
  <c r="B82" i="2"/>
  <c r="C68" i="3" s="1"/>
  <c r="J81" i="2"/>
  <c r="G81" i="2"/>
  <c r="F81" i="2"/>
  <c r="E81" i="2"/>
  <c r="D81" i="2"/>
  <c r="B81" i="2"/>
  <c r="C67" i="3" s="1"/>
  <c r="J80" i="2"/>
  <c r="F80" i="2"/>
  <c r="E80" i="2"/>
  <c r="D80" i="2"/>
  <c r="B80" i="2"/>
  <c r="C66" i="3" s="1"/>
  <c r="J79" i="2"/>
  <c r="G79" i="2"/>
  <c r="F79" i="2"/>
  <c r="E79" i="2"/>
  <c r="D79" i="2"/>
  <c r="B79" i="2"/>
  <c r="C65" i="3" s="1"/>
  <c r="J78" i="2"/>
  <c r="G78" i="2"/>
  <c r="F78" i="2"/>
  <c r="E78" i="2"/>
  <c r="D78" i="2"/>
  <c r="B78" i="2"/>
  <c r="J77" i="2"/>
  <c r="G77" i="2"/>
  <c r="F77" i="2"/>
  <c r="E77" i="2"/>
  <c r="D77" i="2"/>
  <c r="B77" i="2"/>
  <c r="J76" i="2"/>
  <c r="G76" i="2"/>
  <c r="F76" i="2"/>
  <c r="E76" i="2"/>
  <c r="D76" i="2"/>
  <c r="B76" i="2"/>
  <c r="J75" i="2"/>
  <c r="G75" i="2"/>
  <c r="N75" i="2" s="1"/>
  <c r="F75" i="2"/>
  <c r="E75" i="2"/>
  <c r="D75" i="2"/>
  <c r="B75" i="2"/>
  <c r="J74" i="2"/>
  <c r="G74" i="2"/>
  <c r="F74" i="2"/>
  <c r="E74" i="2"/>
  <c r="D74" i="2"/>
  <c r="B74" i="2"/>
  <c r="J73" i="2"/>
  <c r="G73" i="2"/>
  <c r="S73" i="2" s="1"/>
  <c r="F73" i="2"/>
  <c r="E73" i="2"/>
  <c r="D73" i="2"/>
  <c r="B73" i="2"/>
  <c r="C64" i="3" s="1"/>
  <c r="J72" i="2"/>
  <c r="G72" i="2"/>
  <c r="Z72" i="2" s="1"/>
  <c r="F72" i="2"/>
  <c r="E72" i="2"/>
  <c r="D72" i="2"/>
  <c r="B72" i="2"/>
  <c r="C63" i="3" s="1"/>
  <c r="J71" i="2"/>
  <c r="G71" i="2"/>
  <c r="F71" i="2"/>
  <c r="E71" i="2"/>
  <c r="D71" i="2"/>
  <c r="B71" i="2"/>
  <c r="C62" i="3" s="1"/>
  <c r="J70" i="2"/>
  <c r="G70" i="2"/>
  <c r="F70" i="2"/>
  <c r="E70" i="2"/>
  <c r="D70" i="2"/>
  <c r="B70" i="2"/>
  <c r="C61" i="3" s="1"/>
  <c r="J69" i="2"/>
  <c r="G69" i="2"/>
  <c r="F69" i="2"/>
  <c r="E69" i="2"/>
  <c r="D69" i="2"/>
  <c r="B69" i="2"/>
  <c r="C60" i="3" s="1"/>
  <c r="J68" i="2"/>
  <c r="G68" i="2"/>
  <c r="F68" i="2"/>
  <c r="E68" i="2"/>
  <c r="D68" i="2"/>
  <c r="B68" i="2"/>
  <c r="C59" i="3" s="1"/>
  <c r="J67" i="2"/>
  <c r="F67" i="2"/>
  <c r="E67" i="2"/>
  <c r="D67" i="2"/>
  <c r="B67" i="2"/>
  <c r="C58" i="3" s="1"/>
  <c r="J66" i="2"/>
  <c r="F66" i="2"/>
  <c r="E66" i="2"/>
  <c r="D66" i="2"/>
  <c r="B66" i="2"/>
  <c r="C57" i="3" s="1"/>
  <c r="J65" i="2"/>
  <c r="G65" i="2"/>
  <c r="F65" i="2"/>
  <c r="E65" i="2"/>
  <c r="D65" i="2"/>
  <c r="B65" i="2"/>
  <c r="C56" i="3" s="1"/>
  <c r="J64" i="2"/>
  <c r="G64" i="2"/>
  <c r="F64" i="2"/>
  <c r="E64" i="2"/>
  <c r="D64" i="2"/>
  <c r="B64" i="2"/>
  <c r="C55" i="3" s="1"/>
  <c r="J63" i="2"/>
  <c r="F63" i="2"/>
  <c r="E63" i="2"/>
  <c r="D63" i="2"/>
  <c r="B63" i="2"/>
  <c r="C54" i="3" s="1"/>
  <c r="J62" i="2"/>
  <c r="F62" i="2"/>
  <c r="E62" i="2"/>
  <c r="D62" i="2"/>
  <c r="B62" i="2"/>
  <c r="C53" i="3" s="1"/>
  <c r="J61" i="2"/>
  <c r="G61" i="2"/>
  <c r="P61" i="2" s="1"/>
  <c r="F61" i="2"/>
  <c r="E61" i="2"/>
  <c r="D61" i="2"/>
  <c r="B61" i="2"/>
  <c r="C52" i="3" s="1"/>
  <c r="J60" i="2"/>
  <c r="F60" i="2"/>
  <c r="E60" i="2"/>
  <c r="D60" i="2"/>
  <c r="B60" i="2"/>
  <c r="C51" i="3" s="1"/>
  <c r="J59" i="2"/>
  <c r="F59" i="2"/>
  <c r="E59" i="2"/>
  <c r="D59" i="2"/>
  <c r="B59" i="2"/>
  <c r="C50" i="3" s="1"/>
  <c r="J58" i="2"/>
  <c r="F58" i="2"/>
  <c r="E58" i="2"/>
  <c r="D58" i="2"/>
  <c r="U58" i="2" s="1"/>
  <c r="B58" i="2"/>
  <c r="C49" i="3" s="1"/>
  <c r="J57" i="2"/>
  <c r="G57" i="2"/>
  <c r="F57" i="2"/>
  <c r="E57" i="2"/>
  <c r="D57" i="2"/>
  <c r="B57" i="2"/>
  <c r="C48" i="3" s="1"/>
  <c r="J56" i="2"/>
  <c r="G56" i="2"/>
  <c r="F56" i="2"/>
  <c r="E56" i="2"/>
  <c r="D56" i="2"/>
  <c r="B56" i="2"/>
  <c r="C47" i="3" s="1"/>
  <c r="J55" i="2"/>
  <c r="F55" i="2"/>
  <c r="E55" i="2"/>
  <c r="D55" i="2"/>
  <c r="B55" i="2"/>
  <c r="C46" i="3" s="1"/>
  <c r="J54" i="2"/>
  <c r="F54" i="2"/>
  <c r="E54" i="2"/>
  <c r="D54" i="2"/>
  <c r="B54" i="2"/>
  <c r="C45" i="3" s="1"/>
  <c r="J53" i="2"/>
  <c r="F53" i="2"/>
  <c r="E53" i="2"/>
  <c r="D53" i="2"/>
  <c r="B53" i="2"/>
  <c r="C44" i="3" s="1"/>
  <c r="J52" i="2"/>
  <c r="F52" i="2"/>
  <c r="E52" i="2"/>
  <c r="D52" i="2"/>
  <c r="B52" i="2"/>
  <c r="C43" i="3" s="1"/>
  <c r="J51" i="2"/>
  <c r="G51" i="2"/>
  <c r="F51" i="2"/>
  <c r="E51" i="2"/>
  <c r="D51" i="2"/>
  <c r="B51" i="2"/>
  <c r="C42" i="3" s="1"/>
  <c r="J50" i="2"/>
  <c r="G50" i="2"/>
  <c r="F50" i="2"/>
  <c r="E50" i="2"/>
  <c r="D50" i="2"/>
  <c r="B50" i="2"/>
  <c r="C41" i="3" s="1"/>
  <c r="J49" i="2"/>
  <c r="G49" i="2"/>
  <c r="F49" i="2"/>
  <c r="E49" i="2"/>
  <c r="D49" i="2"/>
  <c r="B49" i="2"/>
  <c r="C40" i="3" s="1"/>
  <c r="J48" i="2"/>
  <c r="G48" i="2"/>
  <c r="F48" i="2"/>
  <c r="E48" i="2"/>
  <c r="D48" i="2"/>
  <c r="B48" i="2"/>
  <c r="J47" i="2"/>
  <c r="P47" i="2" s="1"/>
  <c r="G47" i="2"/>
  <c r="F47" i="2"/>
  <c r="E47" i="2"/>
  <c r="D47" i="2"/>
  <c r="B47" i="2"/>
  <c r="J46" i="2"/>
  <c r="G46" i="2"/>
  <c r="F46" i="2"/>
  <c r="E46" i="2"/>
  <c r="D46" i="2"/>
  <c r="B46" i="2"/>
  <c r="J45" i="2"/>
  <c r="G45" i="2"/>
  <c r="AB45" i="2" s="1"/>
  <c r="F45" i="2"/>
  <c r="E45" i="2"/>
  <c r="D45" i="2"/>
  <c r="B45" i="2"/>
  <c r="J44" i="2"/>
  <c r="G44" i="2"/>
  <c r="F44" i="2"/>
  <c r="E44" i="2"/>
  <c r="D44" i="2"/>
  <c r="U44" i="2" s="1"/>
  <c r="B44" i="2"/>
  <c r="J43" i="2"/>
  <c r="G43" i="2"/>
  <c r="F43" i="2"/>
  <c r="E43" i="2"/>
  <c r="D43" i="2"/>
  <c r="B43" i="2"/>
  <c r="C39" i="3" s="1"/>
  <c r="J42" i="2"/>
  <c r="F42" i="2"/>
  <c r="E42" i="2"/>
  <c r="D42" i="2"/>
  <c r="B42" i="2"/>
  <c r="C38" i="3" s="1"/>
  <c r="J41" i="2"/>
  <c r="F41" i="2"/>
  <c r="E41" i="2"/>
  <c r="D41" i="2"/>
  <c r="B41" i="2"/>
  <c r="C37" i="3" s="1"/>
  <c r="J40" i="2"/>
  <c r="F40" i="2"/>
  <c r="E40" i="2"/>
  <c r="D40" i="2"/>
  <c r="B40" i="2"/>
  <c r="C36" i="3" s="1"/>
  <c r="J39" i="2"/>
  <c r="F39" i="2"/>
  <c r="E39" i="2"/>
  <c r="D39" i="2"/>
  <c r="B39" i="2"/>
  <c r="C35" i="3" s="1"/>
  <c r="J38" i="2"/>
  <c r="G38" i="2"/>
  <c r="F38" i="2"/>
  <c r="E38" i="2"/>
  <c r="D38" i="2"/>
  <c r="B38" i="2"/>
  <c r="C34" i="3" s="1"/>
  <c r="J37" i="2"/>
  <c r="G37" i="2"/>
  <c r="F37" i="2"/>
  <c r="E37" i="2"/>
  <c r="D37" i="2"/>
  <c r="B37" i="2"/>
  <c r="C33" i="3" s="1"/>
  <c r="J36" i="2"/>
  <c r="G36" i="2"/>
  <c r="F36" i="2"/>
  <c r="E36" i="2"/>
  <c r="D36" i="2"/>
  <c r="B36" i="2"/>
  <c r="C32" i="3" s="1"/>
  <c r="J35" i="2"/>
  <c r="G35" i="2"/>
  <c r="F35" i="2"/>
  <c r="E35" i="2"/>
  <c r="D35" i="2"/>
  <c r="B35" i="2"/>
  <c r="C31" i="3" s="1"/>
  <c r="J34" i="2"/>
  <c r="G34" i="2"/>
  <c r="F34" i="2"/>
  <c r="E34" i="2"/>
  <c r="D34" i="2"/>
  <c r="B34" i="2"/>
  <c r="C30" i="3" s="1"/>
  <c r="J33" i="2"/>
  <c r="G33" i="2"/>
  <c r="F33" i="2"/>
  <c r="E33" i="2"/>
  <c r="D33" i="2"/>
  <c r="B33" i="2"/>
  <c r="C29" i="3" s="1"/>
  <c r="J32" i="2"/>
  <c r="G32" i="2"/>
  <c r="F32" i="2"/>
  <c r="E32" i="2"/>
  <c r="D32" i="2"/>
  <c r="B32" i="2"/>
  <c r="C28" i="3" s="1"/>
  <c r="J31" i="2"/>
  <c r="G31" i="2"/>
  <c r="F31" i="2"/>
  <c r="E31" i="2"/>
  <c r="D31" i="2"/>
  <c r="U31" i="2" s="1"/>
  <c r="B31" i="2"/>
  <c r="C27" i="3" s="1"/>
  <c r="J30" i="2"/>
  <c r="G30" i="2"/>
  <c r="F30" i="2"/>
  <c r="E30" i="2"/>
  <c r="D30" i="2"/>
  <c r="U30" i="2" s="1"/>
  <c r="B30" i="2"/>
  <c r="C26" i="3" s="1"/>
  <c r="J29" i="2"/>
  <c r="G29" i="2"/>
  <c r="F29" i="2"/>
  <c r="E29" i="2"/>
  <c r="D29" i="2"/>
  <c r="B29" i="2"/>
  <c r="C25" i="3" s="1"/>
  <c r="J28" i="2"/>
  <c r="G28" i="2"/>
  <c r="F28" i="2"/>
  <c r="E28" i="2"/>
  <c r="D28" i="2"/>
  <c r="B28" i="2"/>
  <c r="C24" i="3" s="1"/>
  <c r="J27" i="2"/>
  <c r="G27" i="2"/>
  <c r="F27" i="2"/>
  <c r="E27" i="2"/>
  <c r="D27" i="2"/>
  <c r="B27" i="2"/>
  <c r="C23" i="3" s="1"/>
  <c r="J26" i="2"/>
  <c r="G26" i="2"/>
  <c r="F26" i="2"/>
  <c r="E26" i="2"/>
  <c r="D26" i="2"/>
  <c r="B26" i="2"/>
  <c r="C22" i="3" s="1"/>
  <c r="J25" i="2"/>
  <c r="P25" i="2" s="1"/>
  <c r="G25" i="2"/>
  <c r="F25" i="2"/>
  <c r="E25" i="2"/>
  <c r="D25" i="2"/>
  <c r="B25" i="2"/>
  <c r="C21" i="3" s="1"/>
  <c r="J24" i="2"/>
  <c r="P24" i="2" s="1"/>
  <c r="G24" i="2"/>
  <c r="F24" i="2"/>
  <c r="E24" i="2"/>
  <c r="D24" i="2"/>
  <c r="B24" i="2"/>
  <c r="C20" i="3" s="1"/>
  <c r="J23" i="2"/>
  <c r="G23" i="2"/>
  <c r="T23" i="2" s="1"/>
  <c r="F23" i="2"/>
  <c r="E23" i="2"/>
  <c r="D23" i="2"/>
  <c r="B23" i="2"/>
  <c r="C19" i="3" s="1"/>
  <c r="J22" i="2"/>
  <c r="G22" i="2"/>
  <c r="F22" i="2"/>
  <c r="E22" i="2"/>
  <c r="D22" i="2"/>
  <c r="W22" i="2" s="1"/>
  <c r="B22" i="2"/>
  <c r="C18" i="3" s="1"/>
  <c r="J21" i="2"/>
  <c r="G21" i="2"/>
  <c r="F21" i="2"/>
  <c r="E21" i="2"/>
  <c r="D21" i="2"/>
  <c r="B21" i="2"/>
  <c r="C17" i="3" s="1"/>
  <c r="J20" i="2"/>
  <c r="G20" i="2"/>
  <c r="F20" i="2"/>
  <c r="E20" i="2"/>
  <c r="D20" i="2"/>
  <c r="B20" i="2"/>
  <c r="C16" i="3" s="1"/>
  <c r="J19" i="2"/>
  <c r="G19" i="2"/>
  <c r="F19" i="2"/>
  <c r="E19" i="2"/>
  <c r="D19" i="2"/>
  <c r="B19" i="2"/>
  <c r="C15" i="3" s="1"/>
  <c r="J18" i="2"/>
  <c r="G18" i="2"/>
  <c r="F18" i="2"/>
  <c r="E18" i="2"/>
  <c r="D18" i="2"/>
  <c r="B18" i="2"/>
  <c r="C14" i="3" s="1"/>
  <c r="J17" i="2"/>
  <c r="P17" i="2" s="1"/>
  <c r="G17" i="2"/>
  <c r="F17" i="2"/>
  <c r="E17" i="2"/>
  <c r="D17" i="2"/>
  <c r="B17" i="2"/>
  <c r="C13" i="3" s="1"/>
  <c r="J16" i="2"/>
  <c r="P16" i="2" s="1"/>
  <c r="G16" i="2"/>
  <c r="F16" i="2"/>
  <c r="E16" i="2"/>
  <c r="D16" i="2"/>
  <c r="B16" i="2"/>
  <c r="C12" i="3" s="1"/>
  <c r="J15" i="2"/>
  <c r="G15" i="2"/>
  <c r="T15" i="2" s="1"/>
  <c r="F15" i="2"/>
  <c r="E15" i="2"/>
  <c r="D15" i="2"/>
  <c r="B15" i="2"/>
  <c r="C11" i="3" s="1"/>
  <c r="J14" i="2"/>
  <c r="G14" i="2"/>
  <c r="F14" i="2"/>
  <c r="E14" i="2"/>
  <c r="D14" i="2"/>
  <c r="B14" i="2"/>
  <c r="C10" i="3" s="1"/>
  <c r="J13" i="2"/>
  <c r="G13" i="2"/>
  <c r="F13" i="2"/>
  <c r="E13" i="2"/>
  <c r="D13" i="2"/>
  <c r="B13" i="2"/>
  <c r="C9" i="3" s="1"/>
  <c r="J12" i="2"/>
  <c r="G12" i="2"/>
  <c r="F12" i="2"/>
  <c r="E12" i="2"/>
  <c r="D12" i="2"/>
  <c r="B12" i="2"/>
  <c r="C8" i="3" s="1"/>
  <c r="J11" i="2"/>
  <c r="G11" i="2"/>
  <c r="F11" i="2"/>
  <c r="E11" i="2"/>
  <c r="D11" i="2"/>
  <c r="B11" i="2"/>
  <c r="C7" i="3" s="1"/>
  <c r="J10" i="2"/>
  <c r="G10" i="2"/>
  <c r="F10" i="2"/>
  <c r="E10" i="2"/>
  <c r="D10" i="2"/>
  <c r="B10" i="2"/>
  <c r="C6" i="3" s="1"/>
  <c r="J9" i="2"/>
  <c r="F9" i="2"/>
  <c r="E9" i="2"/>
  <c r="D9" i="2"/>
  <c r="B9" i="2"/>
  <c r="C5" i="3" s="1"/>
  <c r="J8" i="2"/>
  <c r="F8" i="2"/>
  <c r="E8" i="2"/>
  <c r="D8" i="2"/>
  <c r="B8" i="2"/>
  <c r="C4" i="3" s="1"/>
  <c r="J7" i="2"/>
  <c r="F7" i="2"/>
  <c r="E7" i="2"/>
  <c r="D7" i="2"/>
  <c r="B7" i="2"/>
  <c r="C3" i="3" s="1"/>
  <c r="J6" i="2"/>
  <c r="F6" i="2"/>
  <c r="F253" i="2" s="1"/>
  <c r="E6" i="2"/>
  <c r="D6" i="2"/>
  <c r="B6" i="2"/>
  <c r="C2" i="3" s="1"/>
  <c r="O226" i="3"/>
  <c r="M224" i="3"/>
  <c r="O222" i="3"/>
  <c r="O220" i="3"/>
  <c r="O215" i="3"/>
  <c r="M212" i="3"/>
  <c r="O211" i="3"/>
  <c r="O208" i="3"/>
  <c r="O202" i="3"/>
  <c r="O198" i="3"/>
  <c r="O197" i="3"/>
  <c r="O191" i="3"/>
  <c r="O189" i="3"/>
  <c r="O186" i="3"/>
  <c r="O184" i="3"/>
  <c r="O182" i="3"/>
  <c r="O179" i="3"/>
  <c r="O177" i="3"/>
  <c r="O174" i="3"/>
  <c r="O170" i="3"/>
  <c r="O169" i="3"/>
  <c r="O167" i="3"/>
  <c r="O164" i="3"/>
  <c r="O163" i="3"/>
  <c r="O156" i="3"/>
  <c r="O151" i="3"/>
  <c r="O137" i="3"/>
  <c r="O118" i="3"/>
  <c r="O58" i="3"/>
  <c r="O43" i="3"/>
  <c r="AB252" i="2"/>
  <c r="G226" i="3" s="1"/>
  <c r="U252" i="2"/>
  <c r="T252" i="2"/>
  <c r="S252" i="2"/>
  <c r="R252" i="2"/>
  <c r="Q252" i="2"/>
  <c r="P252" i="2"/>
  <c r="O252" i="2"/>
  <c r="V252" i="2" s="1"/>
  <c r="W252" i="2" s="1"/>
  <c r="N252" i="2"/>
  <c r="M252" i="2"/>
  <c r="L252" i="2"/>
  <c r="K252" i="2"/>
  <c r="AB251" i="2"/>
  <c r="G225" i="3" s="1"/>
  <c r="O225" i="3" s="1"/>
  <c r="U251" i="2"/>
  <c r="T251" i="2"/>
  <c r="S251" i="2"/>
  <c r="R251" i="2"/>
  <c r="Q251" i="2"/>
  <c r="P251" i="2"/>
  <c r="O251" i="2"/>
  <c r="N251" i="2"/>
  <c r="M251" i="2"/>
  <c r="L251" i="2"/>
  <c r="K251" i="2"/>
  <c r="AA250" i="2"/>
  <c r="Z250" i="2"/>
  <c r="Y250" i="2"/>
  <c r="X250" i="2"/>
  <c r="F224" i="3" s="1"/>
  <c r="N224" i="3" s="1"/>
  <c r="W250" i="2"/>
  <c r="E224" i="3" s="1"/>
  <c r="U250" i="2"/>
  <c r="T250" i="2"/>
  <c r="S250" i="2"/>
  <c r="R250" i="2"/>
  <c r="Q250" i="2"/>
  <c r="P250" i="2"/>
  <c r="O250" i="2"/>
  <c r="N250" i="2"/>
  <c r="M250" i="2"/>
  <c r="L250" i="2"/>
  <c r="K250" i="2"/>
  <c r="AB249" i="2"/>
  <c r="G223" i="3" s="1"/>
  <c r="O223" i="3" s="1"/>
  <c r="U249" i="2"/>
  <c r="T249" i="2"/>
  <c r="S249" i="2"/>
  <c r="V249" i="2" s="1"/>
  <c r="W249" i="2" s="1"/>
  <c r="R249" i="2"/>
  <c r="Q249" i="2"/>
  <c r="P249" i="2"/>
  <c r="O249" i="2"/>
  <c r="N249" i="2"/>
  <c r="M249" i="2"/>
  <c r="L249" i="2"/>
  <c r="K249" i="2"/>
  <c r="AB248" i="2"/>
  <c r="G222" i="3" s="1"/>
  <c r="U248" i="2"/>
  <c r="T248" i="2"/>
  <c r="S248" i="2"/>
  <c r="R248" i="2"/>
  <c r="Q248" i="2"/>
  <c r="P248" i="2"/>
  <c r="O248" i="2"/>
  <c r="N248" i="2"/>
  <c r="V248" i="2" s="1"/>
  <c r="W248" i="2" s="1"/>
  <c r="M248" i="2"/>
  <c r="L248" i="2"/>
  <c r="K248" i="2"/>
  <c r="AB247" i="2"/>
  <c r="G221" i="3" s="1"/>
  <c r="O221" i="3" s="1"/>
  <c r="W247" i="2"/>
  <c r="V247" i="2"/>
  <c r="U247" i="2"/>
  <c r="T247" i="2"/>
  <c r="S247" i="2"/>
  <c r="R247" i="2"/>
  <c r="Q247" i="2"/>
  <c r="P247" i="2"/>
  <c r="O247" i="2"/>
  <c r="N247" i="2"/>
  <c r="M247" i="2"/>
  <c r="L247" i="2"/>
  <c r="K247" i="2"/>
  <c r="AB246" i="2"/>
  <c r="G220" i="3" s="1"/>
  <c r="U246" i="2"/>
  <c r="T246" i="2"/>
  <c r="S246" i="2"/>
  <c r="R246" i="2"/>
  <c r="Q246" i="2"/>
  <c r="P246" i="2"/>
  <c r="O246" i="2"/>
  <c r="N246" i="2"/>
  <c r="M246" i="2"/>
  <c r="L246" i="2"/>
  <c r="K246" i="2"/>
  <c r="AB245" i="2"/>
  <c r="G219" i="3" s="1"/>
  <c r="O219" i="3" s="1"/>
  <c r="U245" i="2"/>
  <c r="T245" i="2"/>
  <c r="S245" i="2"/>
  <c r="R245" i="2"/>
  <c r="Q245" i="2"/>
  <c r="P245" i="2"/>
  <c r="O245" i="2"/>
  <c r="N245" i="2"/>
  <c r="M245" i="2"/>
  <c r="L245" i="2"/>
  <c r="K245" i="2"/>
  <c r="AC244" i="2"/>
  <c r="AB244" i="2"/>
  <c r="AA244" i="2"/>
  <c r="Z244" i="2"/>
  <c r="Y244" i="2"/>
  <c r="X244" i="2"/>
  <c r="W244" i="2"/>
  <c r="V244" i="2"/>
  <c r="U244" i="2"/>
  <c r="T244" i="2"/>
  <c r="S244" i="2"/>
  <c r="R244" i="2"/>
  <c r="Q244" i="2"/>
  <c r="P244" i="2"/>
  <c r="O244" i="2"/>
  <c r="N244" i="2"/>
  <c r="M244" i="2"/>
  <c r="L244" i="2"/>
  <c r="K244" i="2"/>
  <c r="AB243" i="2"/>
  <c r="G218" i="3" s="1"/>
  <c r="O218" i="3" s="1"/>
  <c r="U243" i="2"/>
  <c r="T243" i="2"/>
  <c r="S243" i="2"/>
  <c r="R243" i="2"/>
  <c r="Q243" i="2"/>
  <c r="P243" i="2"/>
  <c r="O243" i="2"/>
  <c r="N243" i="2"/>
  <c r="M243" i="2"/>
  <c r="L243" i="2"/>
  <c r="K243" i="2"/>
  <c r="AB242" i="2"/>
  <c r="G217" i="3" s="1"/>
  <c r="O217" i="3" s="1"/>
  <c r="U242" i="2"/>
  <c r="T242" i="2"/>
  <c r="S242" i="2"/>
  <c r="R242" i="2"/>
  <c r="Q242" i="2"/>
  <c r="P242" i="2"/>
  <c r="O242" i="2"/>
  <c r="N242" i="2"/>
  <c r="M242" i="2"/>
  <c r="L242" i="2"/>
  <c r="K242" i="2"/>
  <c r="AB241" i="2"/>
  <c r="G216" i="3" s="1"/>
  <c r="O216" i="3" s="1"/>
  <c r="U241" i="2"/>
  <c r="T241" i="2"/>
  <c r="V241" i="2" s="1"/>
  <c r="W241" i="2" s="1"/>
  <c r="S241" i="2"/>
  <c r="R241" i="2"/>
  <c r="Q241" i="2"/>
  <c r="P241" i="2"/>
  <c r="O241" i="2"/>
  <c r="N241" i="2"/>
  <c r="M241" i="2"/>
  <c r="L241" i="2"/>
  <c r="K241" i="2"/>
  <c r="AB240" i="2"/>
  <c r="G215" i="3" s="1"/>
  <c r="V240" i="2"/>
  <c r="W240" i="2" s="1"/>
  <c r="U240" i="2"/>
  <c r="T240" i="2"/>
  <c r="S240" i="2"/>
  <c r="R240" i="2"/>
  <c r="Q240" i="2"/>
  <c r="P240" i="2"/>
  <c r="O240" i="2"/>
  <c r="N240" i="2"/>
  <c r="M240" i="2"/>
  <c r="L240" i="2"/>
  <c r="K240" i="2"/>
  <c r="AB239" i="2"/>
  <c r="G214" i="3" s="1"/>
  <c r="O214" i="3" s="1"/>
  <c r="T239" i="2"/>
  <c r="S239" i="2"/>
  <c r="R239" i="2"/>
  <c r="Q239" i="2"/>
  <c r="P239" i="2"/>
  <c r="O239" i="2"/>
  <c r="N239" i="2"/>
  <c r="M239" i="2"/>
  <c r="L239" i="2"/>
  <c r="K239" i="2"/>
  <c r="AB238" i="2"/>
  <c r="G213" i="3" s="1"/>
  <c r="O213" i="3" s="1"/>
  <c r="U238" i="2"/>
  <c r="T238" i="2"/>
  <c r="S238" i="2"/>
  <c r="R238" i="2"/>
  <c r="Q238" i="2"/>
  <c r="P238" i="2"/>
  <c r="O238" i="2"/>
  <c r="N238" i="2"/>
  <c r="M238" i="2"/>
  <c r="L238" i="2"/>
  <c r="V238" i="2" s="1"/>
  <c r="W238" i="2" s="1"/>
  <c r="K238" i="2"/>
  <c r="AA237" i="2"/>
  <c r="Z237" i="2"/>
  <c r="Y237" i="2"/>
  <c r="X237" i="2"/>
  <c r="F212" i="3" s="1"/>
  <c r="N212" i="3" s="1"/>
  <c r="W237" i="2"/>
  <c r="E212" i="3" s="1"/>
  <c r="U237" i="2"/>
  <c r="T237" i="2"/>
  <c r="S237" i="2"/>
  <c r="R237" i="2"/>
  <c r="Q237" i="2"/>
  <c r="P237" i="2"/>
  <c r="O237" i="2"/>
  <c r="N237" i="2"/>
  <c r="M237" i="2"/>
  <c r="L237" i="2"/>
  <c r="K237" i="2"/>
  <c r="AB236" i="2"/>
  <c r="G211" i="3" s="1"/>
  <c r="V236" i="2"/>
  <c r="W236" i="2" s="1"/>
  <c r="U236" i="2"/>
  <c r="T236" i="2"/>
  <c r="S236" i="2"/>
  <c r="R236" i="2"/>
  <c r="Q236" i="2"/>
  <c r="P236" i="2"/>
  <c r="O236" i="2"/>
  <c r="N236" i="2"/>
  <c r="M236" i="2"/>
  <c r="L236" i="2"/>
  <c r="K236" i="2"/>
  <c r="AB235" i="2"/>
  <c r="G210" i="3" s="1"/>
  <c r="O210" i="3" s="1"/>
  <c r="U235" i="2"/>
  <c r="T235" i="2"/>
  <c r="S235" i="2"/>
  <c r="R235" i="2"/>
  <c r="Q235" i="2"/>
  <c r="P235" i="2"/>
  <c r="O235" i="2"/>
  <c r="N235" i="2"/>
  <c r="V235" i="2" s="1"/>
  <c r="W235" i="2" s="1"/>
  <c r="M235" i="2"/>
  <c r="L235" i="2"/>
  <c r="K235" i="2"/>
  <c r="AB234" i="2"/>
  <c r="G209" i="3" s="1"/>
  <c r="O209" i="3" s="1"/>
  <c r="U234" i="2"/>
  <c r="T234" i="2"/>
  <c r="S234" i="2"/>
  <c r="R234" i="2"/>
  <c r="Q234" i="2"/>
  <c r="P234" i="2"/>
  <c r="O234" i="2"/>
  <c r="N234" i="2"/>
  <c r="M234" i="2"/>
  <c r="L234" i="2"/>
  <c r="K234" i="2"/>
  <c r="AB233" i="2"/>
  <c r="G208" i="3" s="1"/>
  <c r="U233" i="2"/>
  <c r="T233" i="2"/>
  <c r="S233" i="2"/>
  <c r="R233" i="2"/>
  <c r="Q233" i="2"/>
  <c r="P233" i="2"/>
  <c r="O233" i="2"/>
  <c r="N233" i="2"/>
  <c r="M233" i="2"/>
  <c r="L233" i="2"/>
  <c r="K233" i="2"/>
  <c r="AB232" i="2"/>
  <c r="G207" i="3" s="1"/>
  <c r="O207" i="3" s="1"/>
  <c r="U232" i="2"/>
  <c r="T232" i="2"/>
  <c r="S232" i="2"/>
  <c r="R232" i="2"/>
  <c r="Q232" i="2"/>
  <c r="P232" i="2"/>
  <c r="O232" i="2"/>
  <c r="N232" i="2"/>
  <c r="M232" i="2"/>
  <c r="L232" i="2"/>
  <c r="K232" i="2"/>
  <c r="AB231" i="2"/>
  <c r="G206" i="3" s="1"/>
  <c r="O206" i="3" s="1"/>
  <c r="U231" i="2"/>
  <c r="T231" i="2"/>
  <c r="S231" i="2"/>
  <c r="R231" i="2"/>
  <c r="Q231" i="2"/>
  <c r="P231" i="2"/>
  <c r="O231" i="2"/>
  <c r="N231" i="2"/>
  <c r="M231" i="2"/>
  <c r="L231" i="2"/>
  <c r="K231" i="2"/>
  <c r="AB230" i="2"/>
  <c r="G205" i="3" s="1"/>
  <c r="O205" i="3" s="1"/>
  <c r="U230" i="2"/>
  <c r="T230" i="2"/>
  <c r="S230" i="2"/>
  <c r="R230" i="2"/>
  <c r="Q230" i="2"/>
  <c r="V230" i="2" s="1"/>
  <c r="W230" i="2" s="1"/>
  <c r="P230" i="2"/>
  <c r="O230" i="2"/>
  <c r="N230" i="2"/>
  <c r="M230" i="2"/>
  <c r="L230" i="2"/>
  <c r="K230" i="2"/>
  <c r="AB229" i="2"/>
  <c r="G204" i="3" s="1"/>
  <c r="O204" i="3" s="1"/>
  <c r="U229" i="2"/>
  <c r="T229" i="2"/>
  <c r="S229" i="2"/>
  <c r="R229" i="2"/>
  <c r="Q229" i="2"/>
  <c r="P229" i="2"/>
  <c r="O229" i="2"/>
  <c r="N229" i="2"/>
  <c r="M229" i="2"/>
  <c r="L229" i="2"/>
  <c r="K229" i="2"/>
  <c r="V229" i="2" s="1"/>
  <c r="W229" i="2" s="1"/>
  <c r="AB228" i="2"/>
  <c r="G203" i="3" s="1"/>
  <c r="O203" i="3" s="1"/>
  <c r="W228" i="2"/>
  <c r="S228" i="2"/>
  <c r="O228" i="2"/>
  <c r="N228" i="2"/>
  <c r="M228" i="2"/>
  <c r="AB227" i="2"/>
  <c r="G202" i="3" s="1"/>
  <c r="W227" i="2"/>
  <c r="U227" i="2"/>
  <c r="S227" i="2"/>
  <c r="O227" i="2"/>
  <c r="N227" i="2"/>
  <c r="M227" i="2"/>
  <c r="AB226" i="2"/>
  <c r="G201" i="3" s="1"/>
  <c r="O201" i="3" s="1"/>
  <c r="U226" i="2"/>
  <c r="T226" i="2"/>
  <c r="S226" i="2"/>
  <c r="R226" i="2"/>
  <c r="Q226" i="2"/>
  <c r="P226" i="2"/>
  <c r="O226" i="2"/>
  <c r="N226" i="2"/>
  <c r="M226" i="2"/>
  <c r="L226" i="2"/>
  <c r="K226" i="2"/>
  <c r="AB225" i="2"/>
  <c r="G200" i="3" s="1"/>
  <c r="O200" i="3" s="1"/>
  <c r="U225" i="2"/>
  <c r="T225" i="2"/>
  <c r="S225" i="2"/>
  <c r="R225" i="2"/>
  <c r="Q225" i="2"/>
  <c r="O225" i="2"/>
  <c r="N225" i="2"/>
  <c r="M225" i="2"/>
  <c r="L225" i="2"/>
  <c r="K225" i="2"/>
  <c r="AB224" i="2"/>
  <c r="G199" i="3" s="1"/>
  <c r="O199" i="3" s="1"/>
  <c r="U224" i="2"/>
  <c r="T224" i="2"/>
  <c r="S224" i="2"/>
  <c r="R224" i="2"/>
  <c r="Q224" i="2"/>
  <c r="P224" i="2"/>
  <c r="O224" i="2"/>
  <c r="N224" i="2"/>
  <c r="M224" i="2"/>
  <c r="L224" i="2"/>
  <c r="K224" i="2"/>
  <c r="AB223" i="2"/>
  <c r="G198" i="3" s="1"/>
  <c r="T223" i="2"/>
  <c r="S223" i="2"/>
  <c r="R223" i="2"/>
  <c r="Q223" i="2"/>
  <c r="P223" i="2"/>
  <c r="O223" i="2"/>
  <c r="V223" i="2" s="1"/>
  <c r="W223" i="2" s="1"/>
  <c r="N223" i="2"/>
  <c r="M223" i="2"/>
  <c r="L223" i="2"/>
  <c r="K223" i="2"/>
  <c r="AB222" i="2"/>
  <c r="G197" i="3" s="1"/>
  <c r="U222" i="2"/>
  <c r="T222" i="2"/>
  <c r="S222" i="2"/>
  <c r="R222" i="2"/>
  <c r="Q222" i="2"/>
  <c r="P222" i="2"/>
  <c r="O222" i="2"/>
  <c r="N222" i="2"/>
  <c r="M222" i="2"/>
  <c r="L222" i="2"/>
  <c r="K222" i="2"/>
  <c r="AB221" i="2"/>
  <c r="G196" i="3" s="1"/>
  <c r="O196" i="3" s="1"/>
  <c r="U221" i="2"/>
  <c r="T221" i="2"/>
  <c r="S221" i="2"/>
  <c r="R221" i="2"/>
  <c r="Q221" i="2"/>
  <c r="P221" i="2"/>
  <c r="N221" i="2"/>
  <c r="M221" i="2"/>
  <c r="L221" i="2"/>
  <c r="K221" i="2"/>
  <c r="AB220" i="2"/>
  <c r="G195" i="3" s="1"/>
  <c r="O195" i="3" s="1"/>
  <c r="U220" i="2"/>
  <c r="T220" i="2"/>
  <c r="S220" i="2"/>
  <c r="R220" i="2"/>
  <c r="Q220" i="2"/>
  <c r="P220" i="2"/>
  <c r="O220" i="2"/>
  <c r="N220" i="2"/>
  <c r="M220" i="2"/>
  <c r="L220" i="2"/>
  <c r="K220" i="2"/>
  <c r="AB219" i="2"/>
  <c r="G194" i="3" s="1"/>
  <c r="O194" i="3" s="1"/>
  <c r="U219" i="2"/>
  <c r="T219" i="2"/>
  <c r="S219" i="2"/>
  <c r="R219" i="2"/>
  <c r="Q219" i="2"/>
  <c r="P219" i="2"/>
  <c r="O219" i="2"/>
  <c r="N219" i="2"/>
  <c r="M219" i="2"/>
  <c r="L219" i="2"/>
  <c r="K219" i="2"/>
  <c r="AB218" i="2"/>
  <c r="G193" i="3" s="1"/>
  <c r="O193" i="3" s="1"/>
  <c r="U218" i="2"/>
  <c r="T218" i="2"/>
  <c r="S218" i="2"/>
  <c r="R218" i="2"/>
  <c r="Q218" i="2"/>
  <c r="P218" i="2"/>
  <c r="O218" i="2"/>
  <c r="N218" i="2"/>
  <c r="M218" i="2"/>
  <c r="L218" i="2"/>
  <c r="K218" i="2"/>
  <c r="AB217" i="2"/>
  <c r="G192" i="3" s="1"/>
  <c r="O192" i="3" s="1"/>
  <c r="U217" i="2"/>
  <c r="T217" i="2"/>
  <c r="S217" i="2"/>
  <c r="R217" i="2"/>
  <c r="Q217" i="2"/>
  <c r="O217" i="2"/>
  <c r="N217" i="2"/>
  <c r="M217" i="2"/>
  <c r="L217" i="2"/>
  <c r="K217" i="2"/>
  <c r="AB216" i="2"/>
  <c r="G191" i="3" s="1"/>
  <c r="U216" i="2"/>
  <c r="T216" i="2"/>
  <c r="V216" i="2" s="1"/>
  <c r="W216" i="2" s="1"/>
  <c r="S216" i="2"/>
  <c r="R216" i="2"/>
  <c r="Q216" i="2"/>
  <c r="P216" i="2"/>
  <c r="O216" i="2"/>
  <c r="N216" i="2"/>
  <c r="M216" i="2"/>
  <c r="L216" i="2"/>
  <c r="K216" i="2"/>
  <c r="AB215" i="2"/>
  <c r="G190" i="3" s="1"/>
  <c r="O190" i="3" s="1"/>
  <c r="T215" i="2"/>
  <c r="S215" i="2"/>
  <c r="R215" i="2"/>
  <c r="Q215" i="2"/>
  <c r="P215" i="2"/>
  <c r="O215" i="2"/>
  <c r="N215" i="2"/>
  <c r="M215" i="2"/>
  <c r="L215" i="2"/>
  <c r="K215" i="2"/>
  <c r="AB214" i="2"/>
  <c r="G189" i="3" s="1"/>
  <c r="U214" i="2"/>
  <c r="T214" i="2"/>
  <c r="S214" i="2"/>
  <c r="R214" i="2"/>
  <c r="Q214" i="2"/>
  <c r="P214" i="2"/>
  <c r="O214" i="2"/>
  <c r="N214" i="2"/>
  <c r="M214" i="2"/>
  <c r="L214" i="2"/>
  <c r="K214" i="2"/>
  <c r="AB213" i="2"/>
  <c r="G188" i="3" s="1"/>
  <c r="O188" i="3" s="1"/>
  <c r="U213" i="2"/>
  <c r="T213" i="2"/>
  <c r="S213" i="2"/>
  <c r="R213" i="2"/>
  <c r="Q213" i="2"/>
  <c r="P213" i="2"/>
  <c r="O213" i="2"/>
  <c r="N213" i="2"/>
  <c r="M213" i="2"/>
  <c r="L213" i="2"/>
  <c r="K213" i="2"/>
  <c r="AB212" i="2"/>
  <c r="G187" i="3" s="1"/>
  <c r="O187" i="3" s="1"/>
  <c r="U212" i="2"/>
  <c r="T212" i="2"/>
  <c r="S212" i="2"/>
  <c r="R212" i="2"/>
  <c r="Q212" i="2"/>
  <c r="P212" i="2"/>
  <c r="O212" i="2"/>
  <c r="N212" i="2"/>
  <c r="M212" i="2"/>
  <c r="L212" i="2"/>
  <c r="K212" i="2"/>
  <c r="AB211" i="2"/>
  <c r="G186" i="3" s="1"/>
  <c r="U211" i="2"/>
  <c r="T211" i="2"/>
  <c r="S211" i="2"/>
  <c r="R211" i="2"/>
  <c r="Q211" i="2"/>
  <c r="P211" i="2"/>
  <c r="O211" i="2"/>
  <c r="N211" i="2"/>
  <c r="M211" i="2"/>
  <c r="L211" i="2"/>
  <c r="K211" i="2"/>
  <c r="V211" i="2" s="1"/>
  <c r="W211" i="2" s="1"/>
  <c r="AB210" i="2"/>
  <c r="G185" i="3" s="1"/>
  <c r="O185" i="3" s="1"/>
  <c r="U210" i="2"/>
  <c r="T210" i="2"/>
  <c r="S210" i="2"/>
  <c r="R210" i="2"/>
  <c r="Q210" i="2"/>
  <c r="P210" i="2"/>
  <c r="O210" i="2"/>
  <c r="N210" i="2"/>
  <c r="M210" i="2"/>
  <c r="L210" i="2"/>
  <c r="K210" i="2"/>
  <c r="AB209" i="2"/>
  <c r="G184" i="3" s="1"/>
  <c r="U209" i="2"/>
  <c r="T209" i="2"/>
  <c r="S209" i="2"/>
  <c r="R209" i="2"/>
  <c r="Q209" i="2"/>
  <c r="P209" i="2"/>
  <c r="O209" i="2"/>
  <c r="N209" i="2"/>
  <c r="M209" i="2"/>
  <c r="L209" i="2"/>
  <c r="K209" i="2"/>
  <c r="AB208" i="2"/>
  <c r="G183" i="3" s="1"/>
  <c r="O183" i="3" s="1"/>
  <c r="U208" i="2"/>
  <c r="T208" i="2"/>
  <c r="S208" i="2"/>
  <c r="R208" i="2"/>
  <c r="Q208" i="2"/>
  <c r="P208" i="2"/>
  <c r="O208" i="2"/>
  <c r="N208" i="2"/>
  <c r="M208" i="2"/>
  <c r="L208" i="2"/>
  <c r="K208" i="2"/>
  <c r="AB207" i="2"/>
  <c r="G182" i="3" s="1"/>
  <c r="T207" i="2"/>
  <c r="S207" i="2"/>
  <c r="R207" i="2"/>
  <c r="Q207" i="2"/>
  <c r="P207" i="2"/>
  <c r="O207" i="2"/>
  <c r="N207" i="2"/>
  <c r="M207" i="2"/>
  <c r="L207" i="2"/>
  <c r="K207" i="2"/>
  <c r="AB206" i="2"/>
  <c r="G181" i="3" s="1"/>
  <c r="O181" i="3" s="1"/>
  <c r="U206" i="2"/>
  <c r="T206" i="2"/>
  <c r="S206" i="2"/>
  <c r="R206" i="2"/>
  <c r="Q206" i="2"/>
  <c r="P206" i="2"/>
  <c r="O206" i="2"/>
  <c r="N206" i="2"/>
  <c r="M206" i="2"/>
  <c r="L206" i="2"/>
  <c r="K206" i="2"/>
  <c r="AB205" i="2"/>
  <c r="G180" i="3" s="1"/>
  <c r="O180" i="3" s="1"/>
  <c r="U205" i="2"/>
  <c r="T205" i="2"/>
  <c r="S205" i="2"/>
  <c r="R205" i="2"/>
  <c r="Q205" i="2"/>
  <c r="P205" i="2"/>
  <c r="O205" i="2"/>
  <c r="N205" i="2"/>
  <c r="M205" i="2"/>
  <c r="L205" i="2"/>
  <c r="K205" i="2"/>
  <c r="AB204" i="2"/>
  <c r="G179" i="3" s="1"/>
  <c r="U204" i="2"/>
  <c r="T204" i="2"/>
  <c r="S204" i="2"/>
  <c r="R204" i="2"/>
  <c r="Q204" i="2"/>
  <c r="P204" i="2"/>
  <c r="O204" i="2"/>
  <c r="N204" i="2"/>
  <c r="M204" i="2"/>
  <c r="L204" i="2"/>
  <c r="K204" i="2"/>
  <c r="AB203" i="2"/>
  <c r="G178" i="3" s="1"/>
  <c r="O178" i="3" s="1"/>
  <c r="W203" i="2"/>
  <c r="V203" i="2"/>
  <c r="U203" i="2"/>
  <c r="T203" i="2"/>
  <c r="S203" i="2"/>
  <c r="R203" i="2"/>
  <c r="Q203" i="2"/>
  <c r="P203" i="2"/>
  <c r="O203" i="2"/>
  <c r="N203" i="2"/>
  <c r="M203" i="2"/>
  <c r="L203" i="2"/>
  <c r="K203" i="2"/>
  <c r="AB202" i="2"/>
  <c r="G177" i="3" s="1"/>
  <c r="U202" i="2"/>
  <c r="T202" i="2"/>
  <c r="S202" i="2"/>
  <c r="R202" i="2"/>
  <c r="Q202" i="2"/>
  <c r="P202" i="2"/>
  <c r="O202" i="2"/>
  <c r="N202" i="2"/>
  <c r="M202" i="2"/>
  <c r="L202" i="2"/>
  <c r="K202" i="2"/>
  <c r="AB201" i="2"/>
  <c r="G176" i="3" s="1"/>
  <c r="O176" i="3" s="1"/>
  <c r="U201" i="2"/>
  <c r="T201" i="2"/>
  <c r="S201" i="2"/>
  <c r="R201" i="2"/>
  <c r="Q201" i="2"/>
  <c r="O201" i="2"/>
  <c r="N201" i="2"/>
  <c r="M201" i="2"/>
  <c r="L201" i="2"/>
  <c r="K201" i="2"/>
  <c r="AB200" i="2"/>
  <c r="G175" i="3" s="1"/>
  <c r="O175" i="3" s="1"/>
  <c r="U200" i="2"/>
  <c r="T200" i="2"/>
  <c r="S200" i="2"/>
  <c r="R200" i="2"/>
  <c r="Q200" i="2"/>
  <c r="P200" i="2"/>
  <c r="O200" i="2"/>
  <c r="N200" i="2"/>
  <c r="V200" i="2" s="1"/>
  <c r="W200" i="2" s="1"/>
  <c r="M200" i="2"/>
  <c r="L200" i="2"/>
  <c r="K200" i="2"/>
  <c r="AB199" i="2"/>
  <c r="G174" i="3" s="1"/>
  <c r="U199" i="2"/>
  <c r="T199" i="2"/>
  <c r="S199" i="2"/>
  <c r="R199" i="2"/>
  <c r="Q199" i="2"/>
  <c r="P199" i="2"/>
  <c r="O199" i="2"/>
  <c r="V199" i="2" s="1"/>
  <c r="W199" i="2" s="1"/>
  <c r="E174" i="3" s="1"/>
  <c r="M174" i="3" s="1"/>
  <c r="N199" i="2"/>
  <c r="M199" i="2"/>
  <c r="L199" i="2"/>
  <c r="K199" i="2"/>
  <c r="AB198" i="2"/>
  <c r="G173" i="3" s="1"/>
  <c r="O173" i="3" s="1"/>
  <c r="U198" i="2"/>
  <c r="T198" i="2"/>
  <c r="S198" i="2"/>
  <c r="R198" i="2"/>
  <c r="Q198" i="2"/>
  <c r="P198" i="2"/>
  <c r="O198" i="2"/>
  <c r="N198" i="2"/>
  <c r="M198" i="2"/>
  <c r="L198" i="2"/>
  <c r="K198" i="2"/>
  <c r="AB197" i="2"/>
  <c r="G172" i="3" s="1"/>
  <c r="O172" i="3" s="1"/>
  <c r="U197" i="2"/>
  <c r="T197" i="2"/>
  <c r="S197" i="2"/>
  <c r="R197" i="2"/>
  <c r="Q197" i="2"/>
  <c r="P197" i="2"/>
  <c r="O197" i="2"/>
  <c r="N197" i="2"/>
  <c r="M197" i="2"/>
  <c r="L197" i="2"/>
  <c r="V197" i="2" s="1"/>
  <c r="W197" i="2" s="1"/>
  <c r="K197" i="2"/>
  <c r="AB196" i="2"/>
  <c r="G171" i="3" s="1"/>
  <c r="O171" i="3" s="1"/>
  <c r="U196" i="2"/>
  <c r="T196" i="2"/>
  <c r="S196" i="2"/>
  <c r="R196" i="2"/>
  <c r="Q196" i="2"/>
  <c r="P196" i="2"/>
  <c r="O196" i="2"/>
  <c r="N196" i="2"/>
  <c r="M196" i="2"/>
  <c r="L196" i="2"/>
  <c r="K196" i="2"/>
  <c r="AB195" i="2"/>
  <c r="G170" i="3" s="1"/>
  <c r="U195" i="2"/>
  <c r="T195" i="2"/>
  <c r="S195" i="2"/>
  <c r="R195" i="2"/>
  <c r="Q195" i="2"/>
  <c r="P195" i="2"/>
  <c r="O195" i="2"/>
  <c r="N195" i="2"/>
  <c r="M195" i="2"/>
  <c r="L195" i="2"/>
  <c r="K195" i="2"/>
  <c r="AB194" i="2"/>
  <c r="G169" i="3" s="1"/>
  <c r="U194" i="2"/>
  <c r="T194" i="2"/>
  <c r="S194" i="2"/>
  <c r="R194" i="2"/>
  <c r="Q194" i="2"/>
  <c r="P194" i="2"/>
  <c r="V194" i="2" s="1"/>
  <c r="W194" i="2" s="1"/>
  <c r="O194" i="2"/>
  <c r="N194" i="2"/>
  <c r="M194" i="2"/>
  <c r="L194" i="2"/>
  <c r="K194" i="2"/>
  <c r="AB193" i="2"/>
  <c r="G168" i="3" s="1"/>
  <c r="O168" i="3" s="1"/>
  <c r="U193" i="2"/>
  <c r="S193" i="2"/>
  <c r="AB192" i="2"/>
  <c r="G167" i="3" s="1"/>
  <c r="V192" i="2"/>
  <c r="W192" i="2" s="1"/>
  <c r="U192" i="2"/>
  <c r="T192" i="2"/>
  <c r="S192" i="2"/>
  <c r="O192" i="2"/>
  <c r="N192" i="2"/>
  <c r="M192" i="2"/>
  <c r="AB191" i="2"/>
  <c r="G166" i="3" s="1"/>
  <c r="O166" i="3" s="1"/>
  <c r="U191" i="2"/>
  <c r="T191" i="2"/>
  <c r="S191" i="2"/>
  <c r="R191" i="2"/>
  <c r="P191" i="2"/>
  <c r="O191" i="2"/>
  <c r="N191" i="2"/>
  <c r="M191" i="2"/>
  <c r="L191" i="2"/>
  <c r="K191" i="2"/>
  <c r="V191" i="2" s="1"/>
  <c r="W191" i="2" s="1"/>
  <c r="AB190" i="2"/>
  <c r="G165" i="3" s="1"/>
  <c r="O165" i="3" s="1"/>
  <c r="U190" i="2"/>
  <c r="T190" i="2"/>
  <c r="S190" i="2"/>
  <c r="R190" i="2"/>
  <c r="Q190" i="2"/>
  <c r="P190" i="2"/>
  <c r="O190" i="2"/>
  <c r="N190" i="2"/>
  <c r="M190" i="2"/>
  <c r="L190" i="2"/>
  <c r="K190" i="2"/>
  <c r="AB189" i="2"/>
  <c r="G164" i="3" s="1"/>
  <c r="U189" i="2"/>
  <c r="T189" i="2"/>
  <c r="S189" i="2"/>
  <c r="R189" i="2"/>
  <c r="Q189" i="2"/>
  <c r="P189" i="2"/>
  <c r="O189" i="2"/>
  <c r="N189" i="2"/>
  <c r="M189" i="2"/>
  <c r="L189" i="2"/>
  <c r="K189" i="2"/>
  <c r="V189" i="2" s="1"/>
  <c r="W189" i="2" s="1"/>
  <c r="AB188" i="2"/>
  <c r="G163" i="3" s="1"/>
  <c r="U188" i="2"/>
  <c r="T188" i="2"/>
  <c r="S188" i="2"/>
  <c r="R188" i="2"/>
  <c r="Q188" i="2"/>
  <c r="P188" i="2"/>
  <c r="O188" i="2"/>
  <c r="N188" i="2"/>
  <c r="M188" i="2"/>
  <c r="L188" i="2"/>
  <c r="K188" i="2"/>
  <c r="AB187" i="2"/>
  <c r="G162" i="3" s="1"/>
  <c r="O162" i="3" s="1"/>
  <c r="U187" i="2"/>
  <c r="T187" i="2"/>
  <c r="S187" i="2"/>
  <c r="R187" i="2"/>
  <c r="Q187" i="2"/>
  <c r="P187" i="2"/>
  <c r="O187" i="2"/>
  <c r="N187" i="2"/>
  <c r="M187" i="2"/>
  <c r="V187" i="2" s="1"/>
  <c r="W187" i="2" s="1"/>
  <c r="L187" i="2"/>
  <c r="K187" i="2"/>
  <c r="AB186" i="2"/>
  <c r="G161" i="3" s="1"/>
  <c r="O161" i="3" s="1"/>
  <c r="U186" i="2"/>
  <c r="T186" i="2"/>
  <c r="S186" i="2"/>
  <c r="R186" i="2"/>
  <c r="Q186" i="2"/>
  <c r="P186" i="2"/>
  <c r="O186" i="2"/>
  <c r="N186" i="2"/>
  <c r="M186" i="2"/>
  <c r="L186" i="2"/>
  <c r="K186" i="2"/>
  <c r="V186" i="2" s="1"/>
  <c r="W186" i="2" s="1"/>
  <c r="U185" i="2"/>
  <c r="AB184" i="2"/>
  <c r="G159" i="3" s="1"/>
  <c r="O159" i="3" s="1"/>
  <c r="T184" i="2"/>
  <c r="S184" i="2"/>
  <c r="R184" i="2"/>
  <c r="Q184" i="2"/>
  <c r="P184" i="2"/>
  <c r="O184" i="2"/>
  <c r="N184" i="2"/>
  <c r="V184" i="2" s="1"/>
  <c r="M184" i="2"/>
  <c r="L184" i="2"/>
  <c r="K184" i="2"/>
  <c r="AB183" i="2"/>
  <c r="G158" i="3" s="1"/>
  <c r="O158" i="3" s="1"/>
  <c r="U183" i="2"/>
  <c r="T183" i="2"/>
  <c r="S183" i="2"/>
  <c r="R183" i="2"/>
  <c r="Q183" i="2"/>
  <c r="P183" i="2"/>
  <c r="O183" i="2"/>
  <c r="N183" i="2"/>
  <c r="M183" i="2"/>
  <c r="L183" i="2"/>
  <c r="K183" i="2"/>
  <c r="AB182" i="2"/>
  <c r="G157" i="3" s="1"/>
  <c r="O157" i="3" s="1"/>
  <c r="U182" i="2"/>
  <c r="T182" i="2"/>
  <c r="S182" i="2"/>
  <c r="R182" i="2"/>
  <c r="Q182" i="2"/>
  <c r="P182" i="2"/>
  <c r="O182" i="2"/>
  <c r="N182" i="2"/>
  <c r="M182" i="2"/>
  <c r="L182" i="2"/>
  <c r="V182" i="2" s="1"/>
  <c r="W182" i="2" s="1"/>
  <c r="K182" i="2"/>
  <c r="AB181" i="2"/>
  <c r="G156" i="3" s="1"/>
  <c r="U181" i="2"/>
  <c r="T181" i="2"/>
  <c r="S181" i="2"/>
  <c r="R181" i="2"/>
  <c r="Q181" i="2"/>
  <c r="P181" i="2"/>
  <c r="O181" i="2"/>
  <c r="V181" i="2" s="1"/>
  <c r="W181" i="2" s="1"/>
  <c r="N181" i="2"/>
  <c r="M181" i="2"/>
  <c r="L181" i="2"/>
  <c r="K181" i="2"/>
  <c r="AB180" i="2"/>
  <c r="G155" i="3" s="1"/>
  <c r="O155" i="3" s="1"/>
  <c r="U180" i="2"/>
  <c r="T180" i="2"/>
  <c r="S180" i="2"/>
  <c r="R180" i="2"/>
  <c r="Q180" i="2"/>
  <c r="P180" i="2"/>
  <c r="O180" i="2"/>
  <c r="N180" i="2"/>
  <c r="M180" i="2"/>
  <c r="L180" i="2"/>
  <c r="K180" i="2"/>
  <c r="V180" i="2" s="1"/>
  <c r="W180" i="2" s="1"/>
  <c r="AB179" i="2"/>
  <c r="G154" i="3" s="1"/>
  <c r="O154" i="3" s="1"/>
  <c r="U179" i="2"/>
  <c r="T179" i="2"/>
  <c r="S179" i="2"/>
  <c r="R179" i="2"/>
  <c r="Q179" i="2"/>
  <c r="P179" i="2"/>
  <c r="O179" i="2"/>
  <c r="N179" i="2"/>
  <c r="M179" i="2"/>
  <c r="L179" i="2"/>
  <c r="V179" i="2" s="1"/>
  <c r="W179" i="2" s="1"/>
  <c r="K179" i="2"/>
  <c r="AB178" i="2"/>
  <c r="G153" i="3" s="1"/>
  <c r="O153" i="3" s="1"/>
  <c r="U178" i="2"/>
  <c r="T178" i="2"/>
  <c r="S178" i="2"/>
  <c r="R178" i="2"/>
  <c r="Q178" i="2"/>
  <c r="O178" i="2"/>
  <c r="N178" i="2"/>
  <c r="M178" i="2"/>
  <c r="L178" i="2"/>
  <c r="K178" i="2"/>
  <c r="U177" i="2"/>
  <c r="N177" i="2"/>
  <c r="M177" i="2"/>
  <c r="L177" i="2"/>
  <c r="AB176" i="2"/>
  <c r="G151" i="3" s="1"/>
  <c r="U176" i="2"/>
  <c r="T176" i="2"/>
  <c r="S176" i="2"/>
  <c r="R176" i="2"/>
  <c r="Q176" i="2"/>
  <c r="P176" i="2"/>
  <c r="O176" i="2"/>
  <c r="N176" i="2"/>
  <c r="M176" i="2"/>
  <c r="L176" i="2"/>
  <c r="K176" i="2"/>
  <c r="AB175" i="2"/>
  <c r="G150" i="3" s="1"/>
  <c r="O150" i="3" s="1"/>
  <c r="V175" i="2"/>
  <c r="W175" i="2" s="1"/>
  <c r="U175" i="2"/>
  <c r="T175" i="2"/>
  <c r="S175" i="2"/>
  <c r="R175" i="2"/>
  <c r="Q175" i="2"/>
  <c r="P175" i="2"/>
  <c r="O175" i="2"/>
  <c r="N175" i="2"/>
  <c r="M175" i="2"/>
  <c r="L175" i="2"/>
  <c r="K175" i="2"/>
  <c r="AB174" i="2"/>
  <c r="G149" i="3" s="1"/>
  <c r="O149" i="3" s="1"/>
  <c r="U174" i="2"/>
  <c r="T174" i="2"/>
  <c r="S174" i="2"/>
  <c r="R174" i="2"/>
  <c r="Q174" i="2"/>
  <c r="P174" i="2"/>
  <c r="O174" i="2"/>
  <c r="N174" i="2"/>
  <c r="M174" i="2"/>
  <c r="L174" i="2"/>
  <c r="K174" i="2"/>
  <c r="V174" i="2" s="1"/>
  <c r="W174" i="2" s="1"/>
  <c r="E149" i="3" s="1"/>
  <c r="M149" i="3" s="1"/>
  <c r="AA173" i="2"/>
  <c r="Z173" i="2"/>
  <c r="Y173" i="2"/>
  <c r="X173" i="2"/>
  <c r="F148" i="3" s="1"/>
  <c r="N148" i="3" s="1"/>
  <c r="W173" i="2"/>
  <c r="E148" i="3" s="1"/>
  <c r="M148" i="3" s="1"/>
  <c r="U173" i="2"/>
  <c r="T173" i="2"/>
  <c r="S173" i="2"/>
  <c r="R173" i="2"/>
  <c r="Q173" i="2"/>
  <c r="P173" i="2"/>
  <c r="O173" i="2"/>
  <c r="N173" i="2"/>
  <c r="M173" i="2"/>
  <c r="L173" i="2"/>
  <c r="K173" i="2"/>
  <c r="AB172" i="2"/>
  <c r="G147" i="3" s="1"/>
  <c r="O147" i="3" s="1"/>
  <c r="U172" i="2"/>
  <c r="T172" i="2"/>
  <c r="S172" i="2"/>
  <c r="R172" i="2"/>
  <c r="Q172" i="2"/>
  <c r="P172" i="2"/>
  <c r="O172" i="2"/>
  <c r="N172" i="2"/>
  <c r="M172" i="2"/>
  <c r="L172" i="2"/>
  <c r="V172" i="2" s="1"/>
  <c r="W172" i="2" s="1"/>
  <c r="K172" i="2"/>
  <c r="AB171" i="2"/>
  <c r="G146" i="3" s="1"/>
  <c r="O146" i="3" s="1"/>
  <c r="U171" i="2"/>
  <c r="T171" i="2"/>
  <c r="S171" i="2"/>
  <c r="R171" i="2"/>
  <c r="Q171" i="2"/>
  <c r="O171" i="2"/>
  <c r="N171" i="2"/>
  <c r="M171" i="2"/>
  <c r="L171" i="2"/>
  <c r="K171" i="2"/>
  <c r="AB170" i="2"/>
  <c r="G145" i="3" s="1"/>
  <c r="O145" i="3" s="1"/>
  <c r="U170" i="2"/>
  <c r="T170" i="2"/>
  <c r="S170" i="2"/>
  <c r="R170" i="2"/>
  <c r="Q170" i="2"/>
  <c r="P170" i="2"/>
  <c r="O170" i="2"/>
  <c r="N170" i="2"/>
  <c r="M170" i="2"/>
  <c r="L170" i="2"/>
  <c r="K170" i="2"/>
  <c r="AB169" i="2"/>
  <c r="G144" i="3" s="1"/>
  <c r="O144" i="3" s="1"/>
  <c r="P169" i="2"/>
  <c r="N169" i="2"/>
  <c r="AB168" i="2"/>
  <c r="G143" i="3" s="1"/>
  <c r="O143" i="3" s="1"/>
  <c r="T168" i="2"/>
  <c r="S168" i="2"/>
  <c r="R168" i="2"/>
  <c r="Q168" i="2"/>
  <c r="P168" i="2"/>
  <c r="O168" i="2"/>
  <c r="N168" i="2"/>
  <c r="M168" i="2"/>
  <c r="L168" i="2"/>
  <c r="K168" i="2"/>
  <c r="AB167" i="2"/>
  <c r="G142" i="3" s="1"/>
  <c r="O142" i="3" s="1"/>
  <c r="U167" i="2"/>
  <c r="T167" i="2"/>
  <c r="S167" i="2"/>
  <c r="R167" i="2"/>
  <c r="Q167" i="2"/>
  <c r="P167" i="2"/>
  <c r="O167" i="2"/>
  <c r="N167" i="2"/>
  <c r="M167" i="2"/>
  <c r="L167" i="2"/>
  <c r="K167" i="2"/>
  <c r="AB166" i="2"/>
  <c r="G141" i="3" s="1"/>
  <c r="O141" i="3" s="1"/>
  <c r="U166" i="2"/>
  <c r="T166" i="2"/>
  <c r="S166" i="2"/>
  <c r="R166" i="2"/>
  <c r="Q166" i="2"/>
  <c r="P166" i="2"/>
  <c r="O166" i="2"/>
  <c r="N166" i="2"/>
  <c r="M166" i="2"/>
  <c r="L166" i="2"/>
  <c r="K166" i="2"/>
  <c r="AB165" i="2"/>
  <c r="G140" i="3" s="1"/>
  <c r="O140" i="3" s="1"/>
  <c r="U165" i="2"/>
  <c r="T165" i="2"/>
  <c r="S165" i="2"/>
  <c r="R165" i="2"/>
  <c r="Q165" i="2"/>
  <c r="P165" i="2"/>
  <c r="O165" i="2"/>
  <c r="N165" i="2"/>
  <c r="M165" i="2"/>
  <c r="L165" i="2"/>
  <c r="K165" i="2"/>
  <c r="AB164" i="2"/>
  <c r="G139" i="3" s="1"/>
  <c r="O139" i="3" s="1"/>
  <c r="U164" i="2"/>
  <c r="T164" i="2"/>
  <c r="S164" i="2"/>
  <c r="R164" i="2"/>
  <c r="Q164" i="2"/>
  <c r="P164" i="2"/>
  <c r="O164" i="2"/>
  <c r="N164" i="2"/>
  <c r="M164" i="2"/>
  <c r="L164" i="2"/>
  <c r="K164" i="2"/>
  <c r="AB163" i="2"/>
  <c r="G138" i="3" s="1"/>
  <c r="O138" i="3" s="1"/>
  <c r="U163" i="2"/>
  <c r="T163" i="2"/>
  <c r="S163" i="2"/>
  <c r="R163" i="2"/>
  <c r="Q163" i="2"/>
  <c r="O163" i="2"/>
  <c r="N163" i="2"/>
  <c r="M163" i="2"/>
  <c r="L163" i="2"/>
  <c r="K163" i="2"/>
  <c r="AB162" i="2"/>
  <c r="G137" i="3" s="1"/>
  <c r="U162" i="2"/>
  <c r="T162" i="2"/>
  <c r="S162" i="2"/>
  <c r="R162" i="2"/>
  <c r="Q162" i="2"/>
  <c r="O162" i="2"/>
  <c r="N162" i="2"/>
  <c r="M162" i="2"/>
  <c r="L162" i="2"/>
  <c r="K162" i="2"/>
  <c r="O161" i="2"/>
  <c r="N161" i="2"/>
  <c r="M161" i="2"/>
  <c r="AB160" i="2"/>
  <c r="G135" i="3" s="1"/>
  <c r="O135" i="3" s="1"/>
  <c r="T160" i="2"/>
  <c r="S160" i="2"/>
  <c r="R160" i="2"/>
  <c r="Q160" i="2"/>
  <c r="P160" i="2"/>
  <c r="O160" i="2"/>
  <c r="N160" i="2"/>
  <c r="M160" i="2"/>
  <c r="L160" i="2"/>
  <c r="K160" i="2"/>
  <c r="V160" i="2" s="1"/>
  <c r="W160" i="2" s="1"/>
  <c r="AB159" i="2"/>
  <c r="G134" i="3" s="1"/>
  <c r="O134" i="3" s="1"/>
  <c r="U159" i="2"/>
  <c r="T159" i="2"/>
  <c r="S159" i="2"/>
  <c r="R159" i="2"/>
  <c r="Q159" i="2"/>
  <c r="P159" i="2"/>
  <c r="O159" i="2"/>
  <c r="N159" i="2"/>
  <c r="M159" i="2"/>
  <c r="L159" i="2"/>
  <c r="K159" i="2"/>
  <c r="AB158" i="2"/>
  <c r="G133" i="3" s="1"/>
  <c r="O133" i="3" s="1"/>
  <c r="U158" i="2"/>
  <c r="T158" i="2"/>
  <c r="S158" i="2"/>
  <c r="R158" i="2"/>
  <c r="Q158" i="2"/>
  <c r="P158" i="2"/>
  <c r="O158" i="2"/>
  <c r="N158" i="2"/>
  <c r="M158" i="2"/>
  <c r="V158" i="2" s="1"/>
  <c r="W158" i="2" s="1"/>
  <c r="L158" i="2"/>
  <c r="K158" i="2"/>
  <c r="AB157" i="2"/>
  <c r="G132" i="3" s="1"/>
  <c r="O132" i="3" s="1"/>
  <c r="U157" i="2"/>
  <c r="T157" i="2"/>
  <c r="S157" i="2"/>
  <c r="R157" i="2"/>
  <c r="Q157" i="2"/>
  <c r="P157" i="2"/>
  <c r="O157" i="2"/>
  <c r="N157" i="2"/>
  <c r="M157" i="2"/>
  <c r="L157" i="2"/>
  <c r="K157" i="2"/>
  <c r="V157" i="2" s="1"/>
  <c r="W157" i="2" s="1"/>
  <c r="AB156" i="2"/>
  <c r="G131" i="3" s="1"/>
  <c r="O131" i="3" s="1"/>
  <c r="U156" i="2"/>
  <c r="T156" i="2"/>
  <c r="S156" i="2"/>
  <c r="R156" i="2"/>
  <c r="Q156" i="2"/>
  <c r="P156" i="2"/>
  <c r="O156" i="2"/>
  <c r="N156" i="2"/>
  <c r="M156" i="2"/>
  <c r="L156" i="2"/>
  <c r="V156" i="2" s="1"/>
  <c r="W156" i="2" s="1"/>
  <c r="K156" i="2"/>
  <c r="AB155" i="2"/>
  <c r="G130" i="3" s="1"/>
  <c r="O130" i="3" s="1"/>
  <c r="U155" i="2"/>
  <c r="T155" i="2"/>
  <c r="S155" i="2"/>
  <c r="R155" i="2"/>
  <c r="Q155" i="2"/>
  <c r="O155" i="2"/>
  <c r="N155" i="2"/>
  <c r="M155" i="2"/>
  <c r="V155" i="2" s="1"/>
  <c r="W155" i="2" s="1"/>
  <c r="L155" i="2"/>
  <c r="K155" i="2"/>
  <c r="AA154" i="2"/>
  <c r="Z154" i="2"/>
  <c r="Y154" i="2"/>
  <c r="X154" i="2"/>
  <c r="F129" i="3" s="1"/>
  <c r="N129" i="3" s="1"/>
  <c r="W154" i="2"/>
  <c r="E129" i="3" s="1"/>
  <c r="M129" i="3" s="1"/>
  <c r="U154" i="2"/>
  <c r="T154" i="2"/>
  <c r="S154" i="2"/>
  <c r="R154" i="2"/>
  <c r="Q154" i="2"/>
  <c r="P154" i="2"/>
  <c r="O154" i="2"/>
  <c r="N154" i="2"/>
  <c r="M154" i="2"/>
  <c r="L154" i="2"/>
  <c r="K154" i="2"/>
  <c r="N153" i="2"/>
  <c r="M153" i="2"/>
  <c r="L153" i="2"/>
  <c r="K153" i="2"/>
  <c r="AA152" i="2"/>
  <c r="Z152" i="2"/>
  <c r="Y152" i="2"/>
  <c r="X152" i="2"/>
  <c r="F127" i="3" s="1"/>
  <c r="N127" i="3" s="1"/>
  <c r="W152" i="2"/>
  <c r="E127" i="3" s="1"/>
  <c r="M127" i="3" s="1"/>
  <c r="T152" i="2"/>
  <c r="S152" i="2"/>
  <c r="R152" i="2"/>
  <c r="Q152" i="2"/>
  <c r="P152" i="2"/>
  <c r="O152" i="2"/>
  <c r="N152" i="2"/>
  <c r="M152" i="2"/>
  <c r="L152" i="2"/>
  <c r="K152" i="2"/>
  <c r="AB151" i="2"/>
  <c r="G126" i="3" s="1"/>
  <c r="O126" i="3" s="1"/>
  <c r="U151" i="2"/>
  <c r="T151" i="2"/>
  <c r="S151" i="2"/>
  <c r="R151" i="2"/>
  <c r="Q151" i="2"/>
  <c r="P151" i="2"/>
  <c r="O151" i="2"/>
  <c r="N151" i="2"/>
  <c r="M151" i="2"/>
  <c r="L151" i="2"/>
  <c r="K151" i="2"/>
  <c r="AB150" i="2"/>
  <c r="G125" i="3" s="1"/>
  <c r="O125" i="3" s="1"/>
  <c r="U150" i="2"/>
  <c r="T150" i="2"/>
  <c r="S150" i="2"/>
  <c r="R150" i="2"/>
  <c r="Q150" i="2"/>
  <c r="P150" i="2"/>
  <c r="O150" i="2"/>
  <c r="N150" i="2"/>
  <c r="M150" i="2"/>
  <c r="L150" i="2"/>
  <c r="V150" i="2" s="1"/>
  <c r="W150" i="2" s="1"/>
  <c r="K150" i="2"/>
  <c r="AB149" i="2"/>
  <c r="G124" i="3" s="1"/>
  <c r="O124" i="3" s="1"/>
  <c r="U149" i="2"/>
  <c r="T149" i="2"/>
  <c r="S149" i="2"/>
  <c r="R149" i="2"/>
  <c r="Q149" i="2"/>
  <c r="P149" i="2"/>
  <c r="O149" i="2"/>
  <c r="N149" i="2"/>
  <c r="M149" i="2"/>
  <c r="L149" i="2"/>
  <c r="K149" i="2"/>
  <c r="AB148" i="2"/>
  <c r="U148" i="2"/>
  <c r="T148" i="2"/>
  <c r="S148" i="2"/>
  <c r="O148" i="2"/>
  <c r="N148" i="2"/>
  <c r="V148" i="2" s="1"/>
  <c r="W148" i="2" s="1"/>
  <c r="X148" i="2" s="1"/>
  <c r="Y148" i="2" s="1"/>
  <c r="Z148" i="2" s="1"/>
  <c r="AA148" i="2" s="1"/>
  <c r="AC148" i="2" s="1"/>
  <c r="M148" i="2"/>
  <c r="AB147" i="2"/>
  <c r="G123" i="3" s="1"/>
  <c r="O123" i="3" s="1"/>
  <c r="U147" i="2"/>
  <c r="T147" i="2"/>
  <c r="S147" i="2"/>
  <c r="O147" i="2"/>
  <c r="N147" i="2"/>
  <c r="M147" i="2"/>
  <c r="AB146" i="2"/>
  <c r="G122" i="3" s="1"/>
  <c r="O122" i="3" s="1"/>
  <c r="U146" i="2"/>
  <c r="T146" i="2"/>
  <c r="S146" i="2"/>
  <c r="R146" i="2"/>
  <c r="Q146" i="2"/>
  <c r="O146" i="2"/>
  <c r="N146" i="2"/>
  <c r="M146" i="2"/>
  <c r="L146" i="2"/>
  <c r="K146" i="2"/>
  <c r="S145" i="2"/>
  <c r="Q145" i="2"/>
  <c r="M145" i="2"/>
  <c r="AC144" i="2"/>
  <c r="H120" i="3" s="1"/>
  <c r="AB144" i="2"/>
  <c r="G120" i="3" s="1"/>
  <c r="O120" i="3" s="1"/>
  <c r="AA144" i="2"/>
  <c r="Z144" i="2"/>
  <c r="Y144" i="2"/>
  <c r="X144" i="2"/>
  <c r="F120" i="3" s="1"/>
  <c r="N120" i="3" s="1"/>
  <c r="W144" i="2"/>
  <c r="E120" i="3" s="1"/>
  <c r="M120" i="3" s="1"/>
  <c r="T144" i="2"/>
  <c r="S144" i="2"/>
  <c r="R144" i="2"/>
  <c r="Q144" i="2"/>
  <c r="P144" i="2"/>
  <c r="O144" i="2"/>
  <c r="N144" i="2"/>
  <c r="M144" i="2"/>
  <c r="L144" i="2"/>
  <c r="K144" i="2"/>
  <c r="AB143" i="2"/>
  <c r="G119" i="3" s="1"/>
  <c r="O119" i="3" s="1"/>
  <c r="U143" i="2"/>
  <c r="T143" i="2"/>
  <c r="S143" i="2"/>
  <c r="R143" i="2"/>
  <c r="Q143" i="2"/>
  <c r="P143" i="2"/>
  <c r="O143" i="2"/>
  <c r="N143" i="2"/>
  <c r="M143" i="2"/>
  <c r="L143" i="2"/>
  <c r="K143" i="2"/>
  <c r="V143" i="2" s="1"/>
  <c r="W143" i="2" s="1"/>
  <c r="AB142" i="2"/>
  <c r="G118" i="3" s="1"/>
  <c r="U142" i="2"/>
  <c r="T142" i="2"/>
  <c r="S142" i="2"/>
  <c r="R142" i="2"/>
  <c r="Q142" i="2"/>
  <c r="P142" i="2"/>
  <c r="O142" i="2"/>
  <c r="N142" i="2"/>
  <c r="M142" i="2"/>
  <c r="L142" i="2"/>
  <c r="K142" i="2"/>
  <c r="AB141" i="2"/>
  <c r="G117" i="3" s="1"/>
  <c r="O117" i="3" s="1"/>
  <c r="V141" i="2"/>
  <c r="W141" i="2" s="1"/>
  <c r="E117" i="3" s="1"/>
  <c r="M117" i="3" s="1"/>
  <c r="U141" i="2"/>
  <c r="T141" i="2"/>
  <c r="S141" i="2"/>
  <c r="R141" i="2"/>
  <c r="Q141" i="2"/>
  <c r="P141" i="2"/>
  <c r="O141" i="2"/>
  <c r="N141" i="2"/>
  <c r="M141" i="2"/>
  <c r="L141" i="2"/>
  <c r="K141" i="2"/>
  <c r="AB140" i="2"/>
  <c r="G116" i="3" s="1"/>
  <c r="O116" i="3" s="1"/>
  <c r="T140" i="2"/>
  <c r="S140" i="2"/>
  <c r="R140" i="2"/>
  <c r="Q140" i="2"/>
  <c r="P140" i="2"/>
  <c r="O140" i="2"/>
  <c r="N140" i="2"/>
  <c r="M140" i="2"/>
  <c r="L140" i="2"/>
  <c r="K140" i="2"/>
  <c r="U139" i="2"/>
  <c r="U138" i="2"/>
  <c r="O138" i="2"/>
  <c r="AB137" i="2"/>
  <c r="G113" i="3" s="1"/>
  <c r="O113" i="3" s="1"/>
  <c r="U137" i="2"/>
  <c r="T137" i="2"/>
  <c r="S137" i="2"/>
  <c r="R137" i="2"/>
  <c r="Q137" i="2"/>
  <c r="P137" i="2"/>
  <c r="O137" i="2"/>
  <c r="N137" i="2"/>
  <c r="M137" i="2"/>
  <c r="L137" i="2"/>
  <c r="K137" i="2"/>
  <c r="AB136" i="2"/>
  <c r="G112" i="3" s="1"/>
  <c r="O112" i="3" s="1"/>
  <c r="V136" i="2"/>
  <c r="W136" i="2" s="1"/>
  <c r="U136" i="2"/>
  <c r="T136" i="2"/>
  <c r="S136" i="2"/>
  <c r="R136" i="2"/>
  <c r="Q136" i="2"/>
  <c r="P136" i="2"/>
  <c r="O136" i="2"/>
  <c r="N136" i="2"/>
  <c r="M136" i="2"/>
  <c r="L136" i="2"/>
  <c r="K136" i="2"/>
  <c r="AB135" i="2"/>
  <c r="G111" i="3" s="1"/>
  <c r="O111" i="3" s="1"/>
  <c r="U135" i="2"/>
  <c r="T135" i="2"/>
  <c r="S135" i="2"/>
  <c r="R135" i="2"/>
  <c r="Q135" i="2"/>
  <c r="P135" i="2"/>
  <c r="O135" i="2"/>
  <c r="N135" i="2"/>
  <c r="M135" i="2"/>
  <c r="L135" i="2"/>
  <c r="K135" i="2"/>
  <c r="AB134" i="2"/>
  <c r="G110" i="3" s="1"/>
  <c r="O110" i="3" s="1"/>
  <c r="V134" i="2"/>
  <c r="W134" i="2" s="1"/>
  <c r="U134" i="2"/>
  <c r="T134" i="2"/>
  <c r="S134" i="2"/>
  <c r="R134" i="2"/>
  <c r="Q134" i="2"/>
  <c r="O134" i="2"/>
  <c r="N134" i="2"/>
  <c r="M134" i="2"/>
  <c r="L134" i="2"/>
  <c r="K134" i="2"/>
  <c r="AB133" i="2"/>
  <c r="G109" i="3" s="1"/>
  <c r="O109" i="3" s="1"/>
  <c r="V133" i="2"/>
  <c r="W133" i="2" s="1"/>
  <c r="U133" i="2"/>
  <c r="T133" i="2"/>
  <c r="S133" i="2"/>
  <c r="R133" i="2"/>
  <c r="Q133" i="2"/>
  <c r="P133" i="2"/>
  <c r="O133" i="2"/>
  <c r="N133" i="2"/>
  <c r="M133" i="2"/>
  <c r="L133" i="2"/>
  <c r="K133" i="2"/>
  <c r="AB132" i="2"/>
  <c r="G108" i="3" s="1"/>
  <c r="O108" i="3" s="1"/>
  <c r="T132" i="2"/>
  <c r="S132" i="2"/>
  <c r="R132" i="2"/>
  <c r="Q132" i="2"/>
  <c r="P132" i="2"/>
  <c r="O132" i="2"/>
  <c r="N132" i="2"/>
  <c r="M132" i="2"/>
  <c r="L132" i="2"/>
  <c r="K132" i="2"/>
  <c r="AB131" i="2"/>
  <c r="G107" i="3" s="1"/>
  <c r="O107" i="3" s="1"/>
  <c r="U131" i="2"/>
  <c r="T131" i="2"/>
  <c r="S131" i="2"/>
  <c r="R131" i="2"/>
  <c r="Q131" i="2"/>
  <c r="P131" i="2"/>
  <c r="V131" i="2" s="1"/>
  <c r="W131" i="2" s="1"/>
  <c r="O131" i="2"/>
  <c r="N131" i="2"/>
  <c r="M131" i="2"/>
  <c r="L131" i="2"/>
  <c r="K131" i="2"/>
  <c r="AB130" i="2"/>
  <c r="G106" i="3" s="1"/>
  <c r="O106" i="3" s="1"/>
  <c r="U130" i="2"/>
  <c r="T130" i="2"/>
  <c r="S130" i="2"/>
  <c r="R130" i="2"/>
  <c r="V130" i="2" s="1"/>
  <c r="W130" i="2" s="1"/>
  <c r="Q130" i="2"/>
  <c r="P130" i="2"/>
  <c r="O130" i="2"/>
  <c r="N130" i="2"/>
  <c r="M130" i="2"/>
  <c r="L130" i="2"/>
  <c r="K130" i="2"/>
  <c r="AB129" i="2"/>
  <c r="G105" i="3" s="1"/>
  <c r="O105" i="3" s="1"/>
  <c r="U129" i="2"/>
  <c r="T129" i="2"/>
  <c r="S129" i="2"/>
  <c r="R129" i="2"/>
  <c r="Q129" i="2"/>
  <c r="P129" i="2"/>
  <c r="O129" i="2"/>
  <c r="N129" i="2"/>
  <c r="M129" i="2"/>
  <c r="L129" i="2"/>
  <c r="K129" i="2"/>
  <c r="V129" i="2" s="1"/>
  <c r="U128" i="2"/>
  <c r="AB127" i="2"/>
  <c r="G103" i="3" s="1"/>
  <c r="O103" i="3" s="1"/>
  <c r="U127" i="2"/>
  <c r="AB126" i="2"/>
  <c r="G102" i="3" s="1"/>
  <c r="O102" i="3" s="1"/>
  <c r="U126" i="2"/>
  <c r="T126" i="2"/>
  <c r="S126" i="2"/>
  <c r="R126" i="2"/>
  <c r="Q126" i="2"/>
  <c r="P126" i="2"/>
  <c r="O126" i="2"/>
  <c r="N126" i="2"/>
  <c r="M126" i="2"/>
  <c r="L126" i="2"/>
  <c r="K126" i="2"/>
  <c r="AB125" i="2"/>
  <c r="G101" i="3" s="1"/>
  <c r="O101" i="3" s="1"/>
  <c r="U125" i="2"/>
  <c r="T125" i="2"/>
  <c r="S125" i="2"/>
  <c r="R125" i="2"/>
  <c r="Q125" i="2"/>
  <c r="P125" i="2"/>
  <c r="O125" i="2"/>
  <c r="N125" i="2"/>
  <c r="M125" i="2"/>
  <c r="L125" i="2"/>
  <c r="K125" i="2"/>
  <c r="AB124" i="2"/>
  <c r="G100" i="3" s="1"/>
  <c r="O100" i="3" s="1"/>
  <c r="U124" i="2"/>
  <c r="T124" i="2"/>
  <c r="S124" i="2"/>
  <c r="R124" i="2"/>
  <c r="Q124" i="2"/>
  <c r="P124" i="2"/>
  <c r="O124" i="2"/>
  <c r="N124" i="2"/>
  <c r="M124" i="2"/>
  <c r="V124" i="2" s="1"/>
  <c r="W124" i="2" s="1"/>
  <c r="L124" i="2"/>
  <c r="K124" i="2"/>
  <c r="AB123" i="2"/>
  <c r="G99" i="3" s="1"/>
  <c r="O99" i="3" s="1"/>
  <c r="T123" i="2"/>
  <c r="S123" i="2"/>
  <c r="R123" i="2"/>
  <c r="Q123" i="2"/>
  <c r="P123" i="2"/>
  <c r="V123" i="2" s="1"/>
  <c r="O123" i="2"/>
  <c r="N123" i="2"/>
  <c r="M123" i="2"/>
  <c r="L123" i="2"/>
  <c r="K123" i="2"/>
  <c r="AB122" i="2"/>
  <c r="G98" i="3" s="1"/>
  <c r="O98" i="3" s="1"/>
  <c r="W122" i="2"/>
  <c r="R122" i="2"/>
  <c r="Q122" i="2"/>
  <c r="P122" i="2"/>
  <c r="M122" i="2"/>
  <c r="K122" i="2"/>
  <c r="AB121" i="2"/>
  <c r="G97" i="3" s="1"/>
  <c r="O97" i="3" s="1"/>
  <c r="U121" i="2"/>
  <c r="T121" i="2"/>
  <c r="S121" i="2"/>
  <c r="R121" i="2"/>
  <c r="Q121" i="2"/>
  <c r="P121" i="2"/>
  <c r="O121" i="2"/>
  <c r="V121" i="2" s="1"/>
  <c r="W121" i="2" s="1"/>
  <c r="N121" i="2"/>
  <c r="M121" i="2"/>
  <c r="L121" i="2"/>
  <c r="K121" i="2"/>
  <c r="AB120" i="2"/>
  <c r="G96" i="3" s="1"/>
  <c r="O96" i="3" s="1"/>
  <c r="U120" i="2"/>
  <c r="T120" i="2"/>
  <c r="S120" i="2"/>
  <c r="R120" i="2"/>
  <c r="V120" i="2" s="1"/>
  <c r="W120" i="2" s="1"/>
  <c r="Q120" i="2"/>
  <c r="O120" i="2"/>
  <c r="N120" i="2"/>
  <c r="M120" i="2"/>
  <c r="L120" i="2"/>
  <c r="K120" i="2"/>
  <c r="AB119" i="2"/>
  <c r="G95" i="3" s="1"/>
  <c r="O95" i="3" s="1"/>
  <c r="T119" i="2"/>
  <c r="S119" i="2"/>
  <c r="R119" i="2"/>
  <c r="Q119" i="2"/>
  <c r="P119" i="2"/>
  <c r="O119" i="2"/>
  <c r="N119" i="2"/>
  <c r="M119" i="2"/>
  <c r="L119" i="2"/>
  <c r="K119" i="2"/>
  <c r="AB118" i="2"/>
  <c r="G94" i="3" s="1"/>
  <c r="O94" i="3" s="1"/>
  <c r="U118" i="2"/>
  <c r="T118" i="2"/>
  <c r="S118" i="2"/>
  <c r="R118" i="2"/>
  <c r="Q118" i="2"/>
  <c r="P118" i="2"/>
  <c r="O118" i="2"/>
  <c r="N118" i="2"/>
  <c r="M118" i="2"/>
  <c r="L118" i="2"/>
  <c r="K118" i="2"/>
  <c r="AB117" i="2"/>
  <c r="G93" i="3" s="1"/>
  <c r="O93" i="3" s="1"/>
  <c r="U117" i="2"/>
  <c r="T117" i="2"/>
  <c r="S117" i="2"/>
  <c r="R117" i="2"/>
  <c r="Q117" i="2"/>
  <c r="P117" i="2"/>
  <c r="O117" i="2"/>
  <c r="N117" i="2"/>
  <c r="M117" i="2"/>
  <c r="L117" i="2"/>
  <c r="K117" i="2"/>
  <c r="AB116" i="2"/>
  <c r="G92" i="3" s="1"/>
  <c r="O92" i="3" s="1"/>
  <c r="U116" i="2"/>
  <c r="T116" i="2"/>
  <c r="S116" i="2"/>
  <c r="R116" i="2"/>
  <c r="Q116" i="2"/>
  <c r="P116" i="2"/>
  <c r="O116" i="2"/>
  <c r="N116" i="2"/>
  <c r="V116" i="2" s="1"/>
  <c r="W116" i="2" s="1"/>
  <c r="M116" i="2"/>
  <c r="L116" i="2"/>
  <c r="K116" i="2"/>
  <c r="AB115" i="2"/>
  <c r="G91" i="3" s="1"/>
  <c r="O91" i="3" s="1"/>
  <c r="U115" i="2"/>
  <c r="T115" i="2"/>
  <c r="S115" i="2"/>
  <c r="R115" i="2"/>
  <c r="Q115" i="2"/>
  <c r="P115" i="2"/>
  <c r="O115" i="2"/>
  <c r="N115" i="2"/>
  <c r="M115" i="2"/>
  <c r="L115" i="2"/>
  <c r="K115" i="2"/>
  <c r="AB114" i="2"/>
  <c r="G90" i="3" s="1"/>
  <c r="O90" i="3" s="1"/>
  <c r="U114" i="2"/>
  <c r="T114" i="2"/>
  <c r="S114" i="2"/>
  <c r="R114" i="2"/>
  <c r="Q114" i="2"/>
  <c r="O114" i="2"/>
  <c r="N114" i="2"/>
  <c r="M114" i="2"/>
  <c r="V114" i="2" s="1"/>
  <c r="W114" i="2" s="1"/>
  <c r="L114" i="2"/>
  <c r="K114" i="2"/>
  <c r="AB113" i="2"/>
  <c r="G89" i="3" s="1"/>
  <c r="O89" i="3" s="1"/>
  <c r="U113" i="2"/>
  <c r="T113" i="2"/>
  <c r="S113" i="2"/>
  <c r="R113" i="2"/>
  <c r="Q113" i="2"/>
  <c r="O113" i="2"/>
  <c r="N113" i="2"/>
  <c r="M113" i="2"/>
  <c r="L113" i="2"/>
  <c r="K113" i="2"/>
  <c r="R112" i="2"/>
  <c r="Q112" i="2"/>
  <c r="P112" i="2"/>
  <c r="N112" i="2"/>
  <c r="AB111" i="2"/>
  <c r="G87" i="3" s="1"/>
  <c r="O87" i="3" s="1"/>
  <c r="U111" i="2"/>
  <c r="T111" i="2"/>
  <c r="S111" i="2"/>
  <c r="R111" i="2"/>
  <c r="Q111" i="2"/>
  <c r="P111" i="2"/>
  <c r="O111" i="2"/>
  <c r="N111" i="2"/>
  <c r="M111" i="2"/>
  <c r="V111" i="2" s="1"/>
  <c r="L111" i="2"/>
  <c r="K111" i="2"/>
  <c r="AB110" i="2"/>
  <c r="G86" i="3" s="1"/>
  <c r="O86" i="3" s="1"/>
  <c r="V110" i="2"/>
  <c r="W110" i="2" s="1"/>
  <c r="U110" i="2"/>
  <c r="T110" i="2"/>
  <c r="S110" i="2"/>
  <c r="R110" i="2"/>
  <c r="Q110" i="2"/>
  <c r="P110" i="2"/>
  <c r="O110" i="2"/>
  <c r="N110" i="2"/>
  <c r="M110" i="2"/>
  <c r="L110" i="2"/>
  <c r="K110" i="2"/>
  <c r="AB109" i="2"/>
  <c r="G85" i="3" s="1"/>
  <c r="O85" i="3" s="1"/>
  <c r="U109" i="2"/>
  <c r="T109" i="2"/>
  <c r="S109" i="2"/>
  <c r="R109" i="2"/>
  <c r="Q109" i="2"/>
  <c r="P109" i="2"/>
  <c r="O109" i="2"/>
  <c r="N109" i="2"/>
  <c r="M109" i="2"/>
  <c r="L109" i="2"/>
  <c r="K109" i="2"/>
  <c r="AB108" i="2"/>
  <c r="G84" i="3" s="1"/>
  <c r="O84" i="3" s="1"/>
  <c r="U108" i="2"/>
  <c r="T108" i="2"/>
  <c r="S108" i="2"/>
  <c r="R108" i="2"/>
  <c r="Q108" i="2"/>
  <c r="P108" i="2"/>
  <c r="O108" i="2"/>
  <c r="N108" i="2"/>
  <c r="M108" i="2"/>
  <c r="V108" i="2" s="1"/>
  <c r="W108" i="2" s="1"/>
  <c r="L108" i="2"/>
  <c r="K108" i="2"/>
  <c r="AB107" i="2"/>
  <c r="U107" i="2"/>
  <c r="T107" i="2"/>
  <c r="S107" i="2"/>
  <c r="R107" i="2"/>
  <c r="Q107" i="2"/>
  <c r="P107" i="2"/>
  <c r="O107" i="2"/>
  <c r="N107" i="2"/>
  <c r="M107" i="2"/>
  <c r="L107" i="2"/>
  <c r="K107" i="2"/>
  <c r="AA106" i="2"/>
  <c r="Z106" i="2"/>
  <c r="Y106" i="2"/>
  <c r="X106" i="2"/>
  <c r="W106" i="2"/>
  <c r="U106" i="2"/>
  <c r="T106" i="2"/>
  <c r="S106" i="2"/>
  <c r="R106" i="2"/>
  <c r="Q106" i="2"/>
  <c r="P106" i="2"/>
  <c r="O106" i="2"/>
  <c r="N106" i="2"/>
  <c r="M106" i="2"/>
  <c r="L106" i="2"/>
  <c r="V106" i="2" s="1"/>
  <c r="AB106" i="2" s="1"/>
  <c r="AC106" i="2" s="1"/>
  <c r="K106" i="2"/>
  <c r="AB105" i="2"/>
  <c r="G83" i="3" s="1"/>
  <c r="O83" i="3" s="1"/>
  <c r="U105" i="2"/>
  <c r="T105" i="2"/>
  <c r="S105" i="2"/>
  <c r="R105" i="2"/>
  <c r="Q105" i="2"/>
  <c r="O105" i="2"/>
  <c r="V105" i="2" s="1"/>
  <c r="W105" i="2" s="1"/>
  <c r="N105" i="2"/>
  <c r="M105" i="2"/>
  <c r="L105" i="2"/>
  <c r="K105" i="2"/>
  <c r="AB104" i="2"/>
  <c r="G82" i="3" s="1"/>
  <c r="O82" i="3" s="1"/>
  <c r="U104" i="2"/>
  <c r="T104" i="2"/>
  <c r="S104" i="2"/>
  <c r="R104" i="2"/>
  <c r="Q104" i="2"/>
  <c r="P104" i="2"/>
  <c r="O104" i="2"/>
  <c r="N104" i="2"/>
  <c r="M104" i="2"/>
  <c r="L104" i="2"/>
  <c r="V104" i="2" s="1"/>
  <c r="W104" i="2" s="1"/>
  <c r="K104" i="2"/>
  <c r="AB103" i="2"/>
  <c r="G81" i="3" s="1"/>
  <c r="O81" i="3" s="1"/>
  <c r="U103" i="2"/>
  <c r="T103" i="2"/>
  <c r="S103" i="2"/>
  <c r="R103" i="2"/>
  <c r="Q103" i="2"/>
  <c r="P103" i="2"/>
  <c r="O103" i="2"/>
  <c r="N103" i="2"/>
  <c r="M103" i="2"/>
  <c r="L103" i="2"/>
  <c r="K103" i="2"/>
  <c r="AB102" i="2"/>
  <c r="G80" i="3" s="1"/>
  <c r="O80" i="3" s="1"/>
  <c r="U102" i="2"/>
  <c r="T102" i="2"/>
  <c r="S102" i="2"/>
  <c r="R102" i="2"/>
  <c r="Q102" i="2"/>
  <c r="P102" i="2"/>
  <c r="O102" i="2"/>
  <c r="N102" i="2"/>
  <c r="M102" i="2"/>
  <c r="L102" i="2"/>
  <c r="K102" i="2"/>
  <c r="AB101" i="2"/>
  <c r="G79" i="3" s="1"/>
  <c r="O79" i="3" s="1"/>
  <c r="U101" i="2"/>
  <c r="T101" i="2"/>
  <c r="S101" i="2"/>
  <c r="R101" i="2"/>
  <c r="Q101" i="2"/>
  <c r="P101" i="2"/>
  <c r="O101" i="2"/>
  <c r="N101" i="2"/>
  <c r="M101" i="2"/>
  <c r="L101" i="2"/>
  <c r="K101" i="2"/>
  <c r="AA100" i="2"/>
  <c r="Z100" i="2"/>
  <c r="Y100" i="2"/>
  <c r="X100" i="2"/>
  <c r="W100" i="2"/>
  <c r="U100" i="2"/>
  <c r="T100" i="2"/>
  <c r="S100" i="2"/>
  <c r="R100" i="2"/>
  <c r="Q100" i="2"/>
  <c r="P100" i="2"/>
  <c r="O100" i="2"/>
  <c r="N100" i="2"/>
  <c r="V100" i="2" s="1"/>
  <c r="AB100" i="2" s="1"/>
  <c r="AC100" i="2" s="1"/>
  <c r="M100" i="2"/>
  <c r="L100" i="2"/>
  <c r="K100" i="2"/>
  <c r="AB99" i="2"/>
  <c r="G78" i="3" s="1"/>
  <c r="O78" i="3" s="1"/>
  <c r="U99" i="2"/>
  <c r="T99" i="2"/>
  <c r="S99" i="2"/>
  <c r="R99" i="2"/>
  <c r="Q99" i="2"/>
  <c r="P99" i="2"/>
  <c r="O99" i="2"/>
  <c r="N99" i="2"/>
  <c r="M99" i="2"/>
  <c r="L99" i="2"/>
  <c r="K99" i="2"/>
  <c r="AB98" i="2"/>
  <c r="G77" i="3" s="1"/>
  <c r="O77" i="3" s="1"/>
  <c r="U98" i="2"/>
  <c r="T98" i="2"/>
  <c r="S98" i="2"/>
  <c r="R98" i="2"/>
  <c r="Q98" i="2"/>
  <c r="P98" i="2"/>
  <c r="O98" i="2"/>
  <c r="N98" i="2"/>
  <c r="M98" i="2"/>
  <c r="L98" i="2"/>
  <c r="K98" i="2"/>
  <c r="V98" i="2" s="1"/>
  <c r="W98" i="2" s="1"/>
  <c r="AB97" i="2"/>
  <c r="G76" i="3" s="1"/>
  <c r="O76" i="3" s="1"/>
  <c r="U97" i="2"/>
  <c r="T97" i="2"/>
  <c r="S97" i="2"/>
  <c r="R97" i="2"/>
  <c r="Q97" i="2"/>
  <c r="P97" i="2"/>
  <c r="O97" i="2"/>
  <c r="N97" i="2"/>
  <c r="M97" i="2"/>
  <c r="L97" i="2"/>
  <c r="K97" i="2"/>
  <c r="AB96" i="2"/>
  <c r="G75" i="3" s="1"/>
  <c r="O75" i="3" s="1"/>
  <c r="T96" i="2"/>
  <c r="S96" i="2"/>
  <c r="R96" i="2"/>
  <c r="Q96" i="2"/>
  <c r="P96" i="2"/>
  <c r="O96" i="2"/>
  <c r="N96" i="2"/>
  <c r="M96" i="2"/>
  <c r="L96" i="2"/>
  <c r="K96" i="2"/>
  <c r="AB95" i="2"/>
  <c r="G74" i="3" s="1"/>
  <c r="O74" i="3" s="1"/>
  <c r="V95" i="2"/>
  <c r="W95" i="2" s="1"/>
  <c r="U95" i="2"/>
  <c r="T95" i="2"/>
  <c r="S95" i="2"/>
  <c r="R95" i="2"/>
  <c r="Q95" i="2"/>
  <c r="P95" i="2"/>
  <c r="O95" i="2"/>
  <c r="N95" i="2"/>
  <c r="M95" i="2"/>
  <c r="L95" i="2"/>
  <c r="K95" i="2"/>
  <c r="AB94" i="2"/>
  <c r="G73" i="3" s="1"/>
  <c r="O73" i="3" s="1"/>
  <c r="U94" i="2"/>
  <c r="T94" i="2"/>
  <c r="V94" i="2" s="1"/>
  <c r="W94" i="2" s="1"/>
  <c r="S94" i="2"/>
  <c r="R94" i="2"/>
  <c r="Q94" i="2"/>
  <c r="P94" i="2"/>
  <c r="O94" i="2"/>
  <c r="N94" i="2"/>
  <c r="M94" i="2"/>
  <c r="L94" i="2"/>
  <c r="K94" i="2"/>
  <c r="AB93" i="2"/>
  <c r="G72" i="3" s="1"/>
  <c r="O72" i="3" s="1"/>
  <c r="U93" i="2"/>
  <c r="T93" i="2"/>
  <c r="S93" i="2"/>
  <c r="R93" i="2"/>
  <c r="Q93" i="2"/>
  <c r="P93" i="2"/>
  <c r="O93" i="2"/>
  <c r="N93" i="2"/>
  <c r="M93" i="2"/>
  <c r="L93" i="2"/>
  <c r="K93" i="2"/>
  <c r="AB92" i="2"/>
  <c r="U92" i="2"/>
  <c r="T92" i="2"/>
  <c r="S92" i="2"/>
  <c r="R92" i="2"/>
  <c r="Q92" i="2"/>
  <c r="P92" i="2"/>
  <c r="O92" i="2"/>
  <c r="N92" i="2"/>
  <c r="M92" i="2"/>
  <c r="L92" i="2"/>
  <c r="V92" i="2" s="1"/>
  <c r="W92" i="2" s="1"/>
  <c r="X92" i="2" s="1"/>
  <c r="Y92" i="2" s="1"/>
  <c r="Z92" i="2" s="1"/>
  <c r="AA92" i="2" s="1"/>
  <c r="AC92" i="2" s="1"/>
  <c r="K92" i="2"/>
  <c r="AB91" i="2"/>
  <c r="U91" i="2"/>
  <c r="T91" i="2"/>
  <c r="S91" i="2"/>
  <c r="R91" i="2"/>
  <c r="Q91" i="2"/>
  <c r="P91" i="2"/>
  <c r="O91" i="2"/>
  <c r="N91" i="2"/>
  <c r="M91" i="2"/>
  <c r="L91" i="2"/>
  <c r="K91" i="2"/>
  <c r="AB90" i="2"/>
  <c r="U90" i="2"/>
  <c r="T90" i="2"/>
  <c r="S90" i="2"/>
  <c r="R90" i="2"/>
  <c r="Q90" i="2"/>
  <c r="P90" i="2"/>
  <c r="V90" i="2" s="1"/>
  <c r="W90" i="2" s="1"/>
  <c r="X90" i="2" s="1"/>
  <c r="Y90" i="2" s="1"/>
  <c r="Z90" i="2" s="1"/>
  <c r="AA90" i="2" s="1"/>
  <c r="AC90" i="2" s="1"/>
  <c r="O90" i="2"/>
  <c r="N90" i="2"/>
  <c r="M90" i="2"/>
  <c r="L90" i="2"/>
  <c r="K90" i="2"/>
  <c r="AB89" i="2"/>
  <c r="V89" i="2"/>
  <c r="W89" i="2" s="1"/>
  <c r="X89" i="2" s="1"/>
  <c r="Y89" i="2" s="1"/>
  <c r="Z89" i="2" s="1"/>
  <c r="AA89" i="2" s="1"/>
  <c r="AC89" i="2" s="1"/>
  <c r="U89" i="2"/>
  <c r="T89" i="2"/>
  <c r="S89" i="2"/>
  <c r="R89" i="2"/>
  <c r="Q89" i="2"/>
  <c r="P89" i="2"/>
  <c r="O89" i="2"/>
  <c r="N89" i="2"/>
  <c r="M89" i="2"/>
  <c r="L89" i="2"/>
  <c r="K89" i="2"/>
  <c r="AB88" i="2"/>
  <c r="U88" i="2"/>
  <c r="T88" i="2"/>
  <c r="S88" i="2"/>
  <c r="R88" i="2"/>
  <c r="Q88" i="2"/>
  <c r="P88" i="2"/>
  <c r="O88" i="2"/>
  <c r="N88" i="2"/>
  <c r="M88" i="2"/>
  <c r="L88" i="2"/>
  <c r="K88" i="2"/>
  <c r="V88" i="2" s="1"/>
  <c r="W88" i="2" s="1"/>
  <c r="X88" i="2" s="1"/>
  <c r="Y88" i="2" s="1"/>
  <c r="Z88" i="2" s="1"/>
  <c r="AA88" i="2" s="1"/>
  <c r="AC88" i="2" s="1"/>
  <c r="AB87" i="2"/>
  <c r="N87" i="2"/>
  <c r="L87" i="2"/>
  <c r="AB86" i="2"/>
  <c r="T86" i="2"/>
  <c r="S86" i="2"/>
  <c r="R86" i="2"/>
  <c r="Q86" i="2"/>
  <c r="P86" i="2"/>
  <c r="O86" i="2"/>
  <c r="N86" i="2"/>
  <c r="M86" i="2"/>
  <c r="L86" i="2"/>
  <c r="K86" i="2"/>
  <c r="AB85" i="2"/>
  <c r="G71" i="3" s="1"/>
  <c r="O71" i="3" s="1"/>
  <c r="U85" i="2"/>
  <c r="T85" i="2"/>
  <c r="S85" i="2"/>
  <c r="R85" i="2"/>
  <c r="Q85" i="2"/>
  <c r="P85" i="2"/>
  <c r="O85" i="2"/>
  <c r="N85" i="2"/>
  <c r="M85" i="2"/>
  <c r="L85" i="2"/>
  <c r="K85" i="2"/>
  <c r="AB84" i="2"/>
  <c r="G70" i="3" s="1"/>
  <c r="O70" i="3" s="1"/>
  <c r="V84" i="2"/>
  <c r="W84" i="2" s="1"/>
  <c r="U84" i="2"/>
  <c r="T84" i="2"/>
  <c r="S84" i="2"/>
  <c r="R84" i="2"/>
  <c r="Q84" i="2"/>
  <c r="P84" i="2"/>
  <c r="O84" i="2"/>
  <c r="N84" i="2"/>
  <c r="M84" i="2"/>
  <c r="L84" i="2"/>
  <c r="K84" i="2"/>
  <c r="AB83" i="2"/>
  <c r="G69" i="3" s="1"/>
  <c r="O69" i="3" s="1"/>
  <c r="U83" i="2"/>
  <c r="T83" i="2"/>
  <c r="S83" i="2"/>
  <c r="R83" i="2"/>
  <c r="Q83" i="2"/>
  <c r="P83" i="2"/>
  <c r="O83" i="2"/>
  <c r="N83" i="2"/>
  <c r="M83" i="2"/>
  <c r="L83" i="2"/>
  <c r="K83" i="2"/>
  <c r="V83" i="2" s="1"/>
  <c r="W83" i="2" s="1"/>
  <c r="AB82" i="2"/>
  <c r="G68" i="3" s="1"/>
  <c r="O68" i="3" s="1"/>
  <c r="U82" i="2"/>
  <c r="T82" i="2"/>
  <c r="S82" i="2"/>
  <c r="R82" i="2"/>
  <c r="Q82" i="2"/>
  <c r="P82" i="2"/>
  <c r="O82" i="2"/>
  <c r="N82" i="2"/>
  <c r="M82" i="2"/>
  <c r="L82" i="2"/>
  <c r="K82" i="2"/>
  <c r="V82" i="2" s="1"/>
  <c r="W82" i="2" s="1"/>
  <c r="AB81" i="2"/>
  <c r="G67" i="3" s="1"/>
  <c r="O67" i="3" s="1"/>
  <c r="U81" i="2"/>
  <c r="T81" i="2"/>
  <c r="S81" i="2"/>
  <c r="R81" i="2"/>
  <c r="Q81" i="2"/>
  <c r="P81" i="2"/>
  <c r="O81" i="2"/>
  <c r="N81" i="2"/>
  <c r="M81" i="2"/>
  <c r="L81" i="2"/>
  <c r="K81" i="2"/>
  <c r="AB80" i="2"/>
  <c r="G66" i="3" s="1"/>
  <c r="O66" i="3" s="1"/>
  <c r="U80" i="2"/>
  <c r="T80" i="2"/>
  <c r="S80" i="2"/>
  <c r="R80" i="2"/>
  <c r="Q80" i="2"/>
  <c r="P80" i="2"/>
  <c r="O80" i="2"/>
  <c r="N80" i="2"/>
  <c r="M80" i="2"/>
  <c r="L80" i="2"/>
  <c r="K80" i="2"/>
  <c r="AA79" i="2"/>
  <c r="Z79" i="2"/>
  <c r="Y79" i="2"/>
  <c r="X79" i="2"/>
  <c r="F65" i="3" s="1"/>
  <c r="N65" i="3" s="1"/>
  <c r="W79" i="2"/>
  <c r="E65" i="3" s="1"/>
  <c r="M65" i="3" s="1"/>
  <c r="U79" i="2"/>
  <c r="T79" i="2"/>
  <c r="S79" i="2"/>
  <c r="R79" i="2"/>
  <c r="Q79" i="2"/>
  <c r="P79" i="2"/>
  <c r="O79" i="2"/>
  <c r="N79" i="2"/>
  <c r="M79" i="2"/>
  <c r="V79" i="2" s="1"/>
  <c r="AB79" i="2" s="1"/>
  <c r="L79" i="2"/>
  <c r="K79" i="2"/>
  <c r="AB78" i="2"/>
  <c r="U78" i="2"/>
  <c r="T78" i="2"/>
  <c r="S78" i="2"/>
  <c r="R78" i="2"/>
  <c r="Q78" i="2"/>
  <c r="P78" i="2"/>
  <c r="V78" i="2" s="1"/>
  <c r="W78" i="2" s="1"/>
  <c r="X78" i="2" s="1"/>
  <c r="Y78" i="2" s="1"/>
  <c r="Z78" i="2" s="1"/>
  <c r="AA78" i="2" s="1"/>
  <c r="AC78" i="2" s="1"/>
  <c r="O78" i="2"/>
  <c r="N78" i="2"/>
  <c r="M78" i="2"/>
  <c r="L78" i="2"/>
  <c r="K78" i="2"/>
  <c r="AB77" i="2"/>
  <c r="U77" i="2"/>
  <c r="T77" i="2"/>
  <c r="S77" i="2"/>
  <c r="R77" i="2"/>
  <c r="Q77" i="2"/>
  <c r="P77" i="2"/>
  <c r="O77" i="2"/>
  <c r="N77" i="2"/>
  <c r="M77" i="2"/>
  <c r="L77" i="2"/>
  <c r="K77" i="2"/>
  <c r="AA76" i="2"/>
  <c r="Z76" i="2"/>
  <c r="Y76" i="2"/>
  <c r="X76" i="2"/>
  <c r="W76" i="2"/>
  <c r="U76" i="2"/>
  <c r="T76" i="2"/>
  <c r="S76" i="2"/>
  <c r="R76" i="2"/>
  <c r="Q76" i="2"/>
  <c r="P76" i="2"/>
  <c r="O76" i="2"/>
  <c r="N76" i="2"/>
  <c r="M76" i="2"/>
  <c r="L76" i="2"/>
  <c r="V76" i="2" s="1"/>
  <c r="AB76" i="2" s="1"/>
  <c r="AC76" i="2" s="1"/>
  <c r="K76" i="2"/>
  <c r="AA75" i="2"/>
  <c r="Z75" i="2"/>
  <c r="Y75" i="2"/>
  <c r="X75" i="2"/>
  <c r="W75" i="2"/>
  <c r="U75" i="2"/>
  <c r="T75" i="2"/>
  <c r="S75" i="2"/>
  <c r="R75" i="2"/>
  <c r="Q75" i="2"/>
  <c r="P75" i="2"/>
  <c r="O75" i="2"/>
  <c r="M75" i="2"/>
  <c r="L75" i="2"/>
  <c r="K75" i="2"/>
  <c r="AA74" i="2"/>
  <c r="Z74" i="2"/>
  <c r="Y74" i="2"/>
  <c r="X74" i="2"/>
  <c r="W74" i="2"/>
  <c r="T74" i="2"/>
  <c r="S74" i="2"/>
  <c r="R74" i="2"/>
  <c r="Q74" i="2"/>
  <c r="P74" i="2"/>
  <c r="O74" i="2"/>
  <c r="N74" i="2"/>
  <c r="M74" i="2"/>
  <c r="L74" i="2"/>
  <c r="K74" i="2"/>
  <c r="U73" i="2"/>
  <c r="Q73" i="2"/>
  <c r="X72" i="2"/>
  <c r="F63" i="3" s="1"/>
  <c r="N63" i="3" s="1"/>
  <c r="U72" i="2"/>
  <c r="AA71" i="2"/>
  <c r="Z71" i="2"/>
  <c r="Y71" i="2"/>
  <c r="X71" i="2"/>
  <c r="F62" i="3" s="1"/>
  <c r="N62" i="3" s="1"/>
  <c r="W71" i="2"/>
  <c r="E62" i="3" s="1"/>
  <c r="M62" i="3" s="1"/>
  <c r="U71" i="2"/>
  <c r="T71" i="2"/>
  <c r="S71" i="2"/>
  <c r="R71" i="2"/>
  <c r="Q71" i="2"/>
  <c r="P71" i="2"/>
  <c r="O71" i="2"/>
  <c r="N71" i="2"/>
  <c r="M71" i="2"/>
  <c r="L71" i="2"/>
  <c r="K71" i="2"/>
  <c r="AB70" i="2"/>
  <c r="G61" i="3" s="1"/>
  <c r="O61" i="3" s="1"/>
  <c r="U70" i="2"/>
  <c r="T70" i="2"/>
  <c r="S70" i="2"/>
  <c r="R70" i="2"/>
  <c r="Q70" i="2"/>
  <c r="P70" i="2"/>
  <c r="O70" i="2"/>
  <c r="N70" i="2"/>
  <c r="M70" i="2"/>
  <c r="L70" i="2"/>
  <c r="K70" i="2"/>
  <c r="AB69" i="2"/>
  <c r="G60" i="3" s="1"/>
  <c r="O60" i="3" s="1"/>
  <c r="U69" i="2"/>
  <c r="T69" i="2"/>
  <c r="S69" i="2"/>
  <c r="R69" i="2"/>
  <c r="Q69" i="2"/>
  <c r="P69" i="2"/>
  <c r="O69" i="2"/>
  <c r="N69" i="2"/>
  <c r="M69" i="2"/>
  <c r="L69" i="2"/>
  <c r="K69" i="2"/>
  <c r="AB68" i="2"/>
  <c r="G59" i="3" s="1"/>
  <c r="O59" i="3" s="1"/>
  <c r="U68" i="2"/>
  <c r="T68" i="2"/>
  <c r="S68" i="2"/>
  <c r="R68" i="2"/>
  <c r="Q68" i="2"/>
  <c r="P68" i="2"/>
  <c r="O68" i="2"/>
  <c r="N68" i="2"/>
  <c r="V68" i="2" s="1"/>
  <c r="W68" i="2" s="1"/>
  <c r="M68" i="2"/>
  <c r="L68" i="2"/>
  <c r="K68" i="2"/>
  <c r="AB67" i="2"/>
  <c r="G58" i="3" s="1"/>
  <c r="U67" i="2"/>
  <c r="T67" i="2"/>
  <c r="S67" i="2"/>
  <c r="R67" i="2"/>
  <c r="Q67" i="2"/>
  <c r="P67" i="2"/>
  <c r="O67" i="2"/>
  <c r="N67" i="2"/>
  <c r="M67" i="2"/>
  <c r="L67" i="2"/>
  <c r="K67" i="2"/>
  <c r="AB66" i="2"/>
  <c r="G57" i="3" s="1"/>
  <c r="O57" i="3" s="1"/>
  <c r="U66" i="2"/>
  <c r="T66" i="2"/>
  <c r="S66" i="2"/>
  <c r="R66" i="2"/>
  <c r="Q66" i="2"/>
  <c r="P66" i="2"/>
  <c r="V66" i="2" s="1"/>
  <c r="W66" i="2" s="1"/>
  <c r="O66" i="2"/>
  <c r="N66" i="2"/>
  <c r="M66" i="2"/>
  <c r="L66" i="2"/>
  <c r="K66" i="2"/>
  <c r="AB65" i="2"/>
  <c r="G56" i="3" s="1"/>
  <c r="O56" i="3" s="1"/>
  <c r="U65" i="2"/>
  <c r="T65" i="2"/>
  <c r="S65" i="2"/>
  <c r="R65" i="2"/>
  <c r="Q65" i="2"/>
  <c r="P65" i="2"/>
  <c r="O65" i="2"/>
  <c r="N65" i="2"/>
  <c r="M65" i="2"/>
  <c r="L65" i="2"/>
  <c r="K65" i="2"/>
  <c r="V65" i="2" s="1"/>
  <c r="W65" i="2" s="1"/>
  <c r="AB64" i="2"/>
  <c r="G55" i="3" s="1"/>
  <c r="O55" i="3" s="1"/>
  <c r="U64" i="2"/>
  <c r="T64" i="2"/>
  <c r="S64" i="2"/>
  <c r="R64" i="2"/>
  <c r="Q64" i="2"/>
  <c r="P64" i="2"/>
  <c r="N64" i="2"/>
  <c r="M64" i="2"/>
  <c r="L64" i="2"/>
  <c r="K64" i="2"/>
  <c r="AB63" i="2"/>
  <c r="G54" i="3" s="1"/>
  <c r="O54" i="3" s="1"/>
  <c r="U63" i="2"/>
  <c r="T63" i="2"/>
  <c r="S63" i="2"/>
  <c r="R63" i="2"/>
  <c r="Q63" i="2"/>
  <c r="P63" i="2"/>
  <c r="O63" i="2"/>
  <c r="V63" i="2" s="1"/>
  <c r="W63" i="2" s="1"/>
  <c r="N63" i="2"/>
  <c r="M63" i="2"/>
  <c r="L63" i="2"/>
  <c r="K63" i="2"/>
  <c r="AB62" i="2"/>
  <c r="G53" i="3" s="1"/>
  <c r="O53" i="3" s="1"/>
  <c r="U62" i="2"/>
  <c r="T62" i="2"/>
  <c r="S62" i="2"/>
  <c r="R62" i="2"/>
  <c r="Q62" i="2"/>
  <c r="P62" i="2"/>
  <c r="O62" i="2"/>
  <c r="N62" i="2"/>
  <c r="M62" i="2"/>
  <c r="L62" i="2"/>
  <c r="K62" i="2"/>
  <c r="V62" i="2" s="1"/>
  <c r="W62" i="2" s="1"/>
  <c r="AA61" i="2"/>
  <c r="Z61" i="2"/>
  <c r="Y61" i="2"/>
  <c r="W61" i="2"/>
  <c r="E52" i="3" s="1"/>
  <c r="M52" i="3" s="1"/>
  <c r="U61" i="2"/>
  <c r="T61" i="2"/>
  <c r="S61" i="2"/>
  <c r="R61" i="2"/>
  <c r="Q61" i="2"/>
  <c r="O61" i="2"/>
  <c r="N61" i="2"/>
  <c r="M61" i="2"/>
  <c r="L61" i="2"/>
  <c r="K61" i="2"/>
  <c r="AB60" i="2"/>
  <c r="G51" i="3" s="1"/>
  <c r="O51" i="3" s="1"/>
  <c r="U60" i="2"/>
  <c r="T60" i="2"/>
  <c r="S60" i="2"/>
  <c r="R60" i="2"/>
  <c r="V60" i="2" s="1"/>
  <c r="W60" i="2" s="1"/>
  <c r="Q60" i="2"/>
  <c r="P60" i="2"/>
  <c r="O60" i="2"/>
  <c r="N60" i="2"/>
  <c r="M60" i="2"/>
  <c r="L60" i="2"/>
  <c r="K60" i="2"/>
  <c r="AB59" i="2"/>
  <c r="G50" i="3" s="1"/>
  <c r="O50" i="3" s="1"/>
  <c r="U59" i="2"/>
  <c r="T59" i="2"/>
  <c r="S59" i="2"/>
  <c r="R59" i="2"/>
  <c r="Q59" i="2"/>
  <c r="P59" i="2"/>
  <c r="O59" i="2"/>
  <c r="N59" i="2"/>
  <c r="M59" i="2"/>
  <c r="L59" i="2"/>
  <c r="K59" i="2"/>
  <c r="AB58" i="2"/>
  <c r="G49" i="3" s="1"/>
  <c r="O49" i="3" s="1"/>
  <c r="T58" i="2"/>
  <c r="S58" i="2"/>
  <c r="R58" i="2"/>
  <c r="Q58" i="2"/>
  <c r="P58" i="2"/>
  <c r="O58" i="2"/>
  <c r="N58" i="2"/>
  <c r="M58" i="2"/>
  <c r="L58" i="2"/>
  <c r="K58" i="2"/>
  <c r="V58" i="2" s="1"/>
  <c r="AB57" i="2"/>
  <c r="G48" i="3" s="1"/>
  <c r="O48" i="3" s="1"/>
  <c r="V57" i="2"/>
  <c r="W57" i="2" s="1"/>
  <c r="U57" i="2"/>
  <c r="T57" i="2"/>
  <c r="S57" i="2"/>
  <c r="R57" i="2"/>
  <c r="Q57" i="2"/>
  <c r="P57" i="2"/>
  <c r="O57" i="2"/>
  <c r="N57" i="2"/>
  <c r="M57" i="2"/>
  <c r="L57" i="2"/>
  <c r="K57" i="2"/>
  <c r="AB56" i="2"/>
  <c r="G47" i="3" s="1"/>
  <c r="O47" i="3" s="1"/>
  <c r="U56" i="2"/>
  <c r="T56" i="2"/>
  <c r="S56" i="2"/>
  <c r="R56" i="2"/>
  <c r="Q56" i="2"/>
  <c r="P56" i="2"/>
  <c r="O56" i="2"/>
  <c r="N56" i="2"/>
  <c r="M56" i="2"/>
  <c r="L56" i="2"/>
  <c r="K56" i="2"/>
  <c r="V56" i="2" s="1"/>
  <c r="W56" i="2" s="1"/>
  <c r="AB55" i="2"/>
  <c r="G46" i="3" s="1"/>
  <c r="O46" i="3" s="1"/>
  <c r="U55" i="2"/>
  <c r="T55" i="2"/>
  <c r="S55" i="2"/>
  <c r="R55" i="2"/>
  <c r="Q55" i="2"/>
  <c r="P55" i="2"/>
  <c r="O55" i="2"/>
  <c r="N55" i="2"/>
  <c r="M55" i="2"/>
  <c r="L55" i="2"/>
  <c r="K55" i="2"/>
  <c r="V55" i="2" s="1"/>
  <c r="W55" i="2" s="1"/>
  <c r="AB54" i="2"/>
  <c r="G45" i="3" s="1"/>
  <c r="O45" i="3" s="1"/>
  <c r="U54" i="2"/>
  <c r="T54" i="2"/>
  <c r="S54" i="2"/>
  <c r="R54" i="2"/>
  <c r="Q54" i="2"/>
  <c r="P54" i="2"/>
  <c r="O54" i="2"/>
  <c r="N54" i="2"/>
  <c r="M54" i="2"/>
  <c r="L54" i="2"/>
  <c r="V54" i="2" s="1"/>
  <c r="W54" i="2" s="1"/>
  <c r="K54" i="2"/>
  <c r="AB53" i="2"/>
  <c r="G44" i="3" s="1"/>
  <c r="O44" i="3" s="1"/>
  <c r="U53" i="2"/>
  <c r="T53" i="2"/>
  <c r="S53" i="2"/>
  <c r="R53" i="2"/>
  <c r="Q53" i="2"/>
  <c r="P53" i="2"/>
  <c r="O53" i="2"/>
  <c r="N53" i="2"/>
  <c r="V53" i="2" s="1"/>
  <c r="W53" i="2" s="1"/>
  <c r="M53" i="2"/>
  <c r="L53" i="2"/>
  <c r="K53" i="2"/>
  <c r="AB52" i="2"/>
  <c r="G43" i="3" s="1"/>
  <c r="T52" i="2"/>
  <c r="S52" i="2"/>
  <c r="R52" i="2"/>
  <c r="Q52" i="2"/>
  <c r="P52" i="2"/>
  <c r="O52" i="2"/>
  <c r="N52" i="2"/>
  <c r="M52" i="2"/>
  <c r="L52" i="2"/>
  <c r="K52" i="2"/>
  <c r="AA51" i="2"/>
  <c r="Z51" i="2"/>
  <c r="Y51" i="2"/>
  <c r="X51" i="2"/>
  <c r="F42" i="3" s="1"/>
  <c r="N42" i="3" s="1"/>
  <c r="W51" i="2"/>
  <c r="E42" i="3" s="1"/>
  <c r="M42" i="3" s="1"/>
  <c r="U51" i="2"/>
  <c r="T51" i="2"/>
  <c r="S51" i="2"/>
  <c r="R51" i="2"/>
  <c r="Q51" i="2"/>
  <c r="P51" i="2"/>
  <c r="O51" i="2"/>
  <c r="N51" i="2"/>
  <c r="M51" i="2"/>
  <c r="L51" i="2"/>
  <c r="K51" i="2"/>
  <c r="AA50" i="2"/>
  <c r="Z50" i="2"/>
  <c r="Y50" i="2"/>
  <c r="X50" i="2"/>
  <c r="F41" i="3" s="1"/>
  <c r="N41" i="3" s="1"/>
  <c r="W50" i="2"/>
  <c r="E41" i="3" s="1"/>
  <c r="M41" i="3" s="1"/>
  <c r="U50" i="2"/>
  <c r="T50" i="2"/>
  <c r="S50" i="2"/>
  <c r="R50" i="2"/>
  <c r="Q50" i="2"/>
  <c r="P50" i="2"/>
  <c r="O50" i="2"/>
  <c r="N50" i="2"/>
  <c r="M50" i="2"/>
  <c r="L50" i="2"/>
  <c r="K50" i="2"/>
  <c r="V50" i="2" s="1"/>
  <c r="AB50" i="2" s="1"/>
  <c r="AA49" i="2"/>
  <c r="Z49" i="2"/>
  <c r="Y49" i="2"/>
  <c r="X49" i="2"/>
  <c r="F40" i="3" s="1"/>
  <c r="N40" i="3" s="1"/>
  <c r="W49" i="2"/>
  <c r="E40" i="3" s="1"/>
  <c r="M40" i="3" s="1"/>
  <c r="U49" i="2"/>
  <c r="T49" i="2"/>
  <c r="S49" i="2"/>
  <c r="R49" i="2"/>
  <c r="Q49" i="2"/>
  <c r="P49" i="2"/>
  <c r="O49" i="2"/>
  <c r="N49" i="2"/>
  <c r="M49" i="2"/>
  <c r="L49" i="2"/>
  <c r="K49" i="2"/>
  <c r="V49" i="2" s="1"/>
  <c r="AB49" i="2" s="1"/>
  <c r="AC48" i="2"/>
  <c r="AB48" i="2"/>
  <c r="AA48" i="2"/>
  <c r="Z48" i="2"/>
  <c r="Y48" i="2"/>
  <c r="X48" i="2"/>
  <c r="W48" i="2"/>
  <c r="U48" i="2"/>
  <c r="T48" i="2"/>
  <c r="S48" i="2"/>
  <c r="R48" i="2"/>
  <c r="Q48" i="2"/>
  <c r="P48" i="2"/>
  <c r="O48" i="2"/>
  <c r="N48" i="2"/>
  <c r="M48" i="2"/>
  <c r="L48" i="2"/>
  <c r="K48" i="2"/>
  <c r="V48" i="2" s="1"/>
  <c r="AB47" i="2"/>
  <c r="U47" i="2"/>
  <c r="T47" i="2"/>
  <c r="S47" i="2"/>
  <c r="R47" i="2"/>
  <c r="Q47" i="2"/>
  <c r="O47" i="2"/>
  <c r="N47" i="2"/>
  <c r="M47" i="2"/>
  <c r="L47" i="2"/>
  <c r="V47" i="2" s="1"/>
  <c r="W47" i="2" s="1"/>
  <c r="X47" i="2" s="1"/>
  <c r="Y47" i="2" s="1"/>
  <c r="Z47" i="2" s="1"/>
  <c r="AA47" i="2" s="1"/>
  <c r="AC47" i="2" s="1"/>
  <c r="K47" i="2"/>
  <c r="AB46" i="2"/>
  <c r="U46" i="2"/>
  <c r="T46" i="2"/>
  <c r="S46" i="2"/>
  <c r="R46" i="2"/>
  <c r="Q46" i="2"/>
  <c r="P46" i="2"/>
  <c r="O46" i="2"/>
  <c r="N46" i="2"/>
  <c r="V46" i="2" s="1"/>
  <c r="W46" i="2" s="1"/>
  <c r="X46" i="2" s="1"/>
  <c r="Y46" i="2" s="1"/>
  <c r="Z46" i="2" s="1"/>
  <c r="AA46" i="2" s="1"/>
  <c r="AC46" i="2" s="1"/>
  <c r="M46" i="2"/>
  <c r="L46" i="2"/>
  <c r="K46" i="2"/>
  <c r="T45" i="2"/>
  <c r="O45" i="2"/>
  <c r="AB44" i="2"/>
  <c r="T44" i="2"/>
  <c r="S44" i="2"/>
  <c r="R44" i="2"/>
  <c r="Q44" i="2"/>
  <c r="P44" i="2"/>
  <c r="O44" i="2"/>
  <c r="N44" i="2"/>
  <c r="M44" i="2"/>
  <c r="L44" i="2"/>
  <c r="V44" i="2" s="1"/>
  <c r="W44" i="2" s="1"/>
  <c r="X44" i="2" s="1"/>
  <c r="Y44" i="2" s="1"/>
  <c r="Z44" i="2" s="1"/>
  <c r="AA44" i="2" s="1"/>
  <c r="AC44" i="2" s="1"/>
  <c r="K44" i="2"/>
  <c r="AB43" i="2"/>
  <c r="G39" i="3" s="1"/>
  <c r="O39" i="3" s="1"/>
  <c r="U43" i="2"/>
  <c r="T43" i="2"/>
  <c r="S43" i="2"/>
  <c r="R43" i="2"/>
  <c r="Q43" i="2"/>
  <c r="P43" i="2"/>
  <c r="O43" i="2"/>
  <c r="N43" i="2"/>
  <c r="M43" i="2"/>
  <c r="L43" i="2"/>
  <c r="K43" i="2"/>
  <c r="AB42" i="2"/>
  <c r="G38" i="3" s="1"/>
  <c r="O38" i="3" s="1"/>
  <c r="U42" i="2"/>
  <c r="T42" i="2"/>
  <c r="S42" i="2"/>
  <c r="R42" i="2"/>
  <c r="Q42" i="2"/>
  <c r="P42" i="2"/>
  <c r="O42" i="2"/>
  <c r="N42" i="2"/>
  <c r="M42" i="2"/>
  <c r="L42" i="2"/>
  <c r="K42" i="2"/>
  <c r="V42" i="2" s="1"/>
  <c r="W42" i="2" s="1"/>
  <c r="AB41" i="2"/>
  <c r="G37" i="3" s="1"/>
  <c r="O37" i="3" s="1"/>
  <c r="T41" i="2"/>
  <c r="S41" i="2"/>
  <c r="R41" i="2"/>
  <c r="Q41" i="2"/>
  <c r="P41" i="2"/>
  <c r="O41" i="2"/>
  <c r="N41" i="2"/>
  <c r="M41" i="2"/>
  <c r="L41" i="2"/>
  <c r="K41" i="2"/>
  <c r="AB40" i="2"/>
  <c r="G36" i="3" s="1"/>
  <c r="O36" i="3" s="1"/>
  <c r="U40" i="2"/>
  <c r="T40" i="2"/>
  <c r="S40" i="2"/>
  <c r="R40" i="2"/>
  <c r="Q40" i="2"/>
  <c r="P40" i="2"/>
  <c r="O40" i="2"/>
  <c r="N40" i="2"/>
  <c r="M40" i="2"/>
  <c r="L40" i="2"/>
  <c r="K40" i="2"/>
  <c r="V40" i="2" s="1"/>
  <c r="W40" i="2" s="1"/>
  <c r="AB39" i="2"/>
  <c r="G35" i="3" s="1"/>
  <c r="O35" i="3" s="1"/>
  <c r="T39" i="2"/>
  <c r="S39" i="2"/>
  <c r="R39" i="2"/>
  <c r="Q39" i="2"/>
  <c r="P39" i="2"/>
  <c r="O39" i="2"/>
  <c r="N39" i="2"/>
  <c r="M39" i="2"/>
  <c r="L39" i="2"/>
  <c r="K39" i="2"/>
  <c r="AA38" i="2"/>
  <c r="Z38" i="2"/>
  <c r="Y38" i="2"/>
  <c r="X38" i="2"/>
  <c r="F34" i="3" s="1"/>
  <c r="N34" i="3" s="1"/>
  <c r="W38" i="2"/>
  <c r="E34" i="3" s="1"/>
  <c r="M34" i="3" s="1"/>
  <c r="T38" i="2"/>
  <c r="S38" i="2"/>
  <c r="R38" i="2"/>
  <c r="Q38" i="2"/>
  <c r="P38" i="2"/>
  <c r="O38" i="2"/>
  <c r="N38" i="2"/>
  <c r="M38" i="2"/>
  <c r="L38" i="2"/>
  <c r="K38" i="2"/>
  <c r="AA37" i="2"/>
  <c r="Z37" i="2"/>
  <c r="Y37" i="2"/>
  <c r="X37" i="2"/>
  <c r="F33" i="3" s="1"/>
  <c r="N33" i="3" s="1"/>
  <c r="W37" i="2"/>
  <c r="E33" i="3" s="1"/>
  <c r="M33" i="3" s="1"/>
  <c r="U37" i="2"/>
  <c r="T37" i="2"/>
  <c r="S37" i="2"/>
  <c r="R37" i="2"/>
  <c r="Q37" i="2"/>
  <c r="P37" i="2"/>
  <c r="O37" i="2"/>
  <c r="N37" i="2"/>
  <c r="M37" i="2"/>
  <c r="L37" i="2"/>
  <c r="K37" i="2"/>
  <c r="V37" i="2" s="1"/>
  <c r="AB37" i="2" s="1"/>
  <c r="AA36" i="2"/>
  <c r="Z36" i="2"/>
  <c r="Y36" i="2"/>
  <c r="X36" i="2"/>
  <c r="F32" i="3" s="1"/>
  <c r="N32" i="3" s="1"/>
  <c r="W36" i="2"/>
  <c r="E32" i="3" s="1"/>
  <c r="M32" i="3" s="1"/>
  <c r="U36" i="2"/>
  <c r="T36" i="2"/>
  <c r="S36" i="2"/>
  <c r="R36" i="2"/>
  <c r="Q36" i="2"/>
  <c r="P36" i="2"/>
  <c r="O36" i="2"/>
  <c r="N36" i="2"/>
  <c r="M36" i="2"/>
  <c r="L36" i="2"/>
  <c r="K36" i="2"/>
  <c r="V36" i="2" s="1"/>
  <c r="AB36" i="2" s="1"/>
  <c r="AA35" i="2"/>
  <c r="Z35" i="2"/>
  <c r="Y35" i="2"/>
  <c r="X35" i="2"/>
  <c r="F31" i="3" s="1"/>
  <c r="N31" i="3" s="1"/>
  <c r="W35" i="2"/>
  <c r="E31" i="3" s="1"/>
  <c r="M31" i="3" s="1"/>
  <c r="U35" i="2"/>
  <c r="T35" i="2"/>
  <c r="S35" i="2"/>
  <c r="R35" i="2"/>
  <c r="Q35" i="2"/>
  <c r="P35" i="2"/>
  <c r="O35" i="2"/>
  <c r="N35" i="2"/>
  <c r="M35" i="2"/>
  <c r="L35" i="2"/>
  <c r="K35" i="2"/>
  <c r="V35" i="2" s="1"/>
  <c r="AB35" i="2" s="1"/>
  <c r="AA34" i="2"/>
  <c r="Z34" i="2"/>
  <c r="Y34" i="2"/>
  <c r="X34" i="2"/>
  <c r="F30" i="3" s="1"/>
  <c r="N30" i="3" s="1"/>
  <c r="W34" i="2"/>
  <c r="E30" i="3" s="1"/>
  <c r="M30" i="3" s="1"/>
  <c r="U34" i="2"/>
  <c r="T34" i="2"/>
  <c r="S34" i="2"/>
  <c r="R34" i="2"/>
  <c r="Q34" i="2"/>
  <c r="P34" i="2"/>
  <c r="O34" i="2"/>
  <c r="V34" i="2" s="1"/>
  <c r="AB34" i="2" s="1"/>
  <c r="N34" i="2"/>
  <c r="M34" i="2"/>
  <c r="L34" i="2"/>
  <c r="K34" i="2"/>
  <c r="AA33" i="2"/>
  <c r="Z33" i="2"/>
  <c r="Y33" i="2"/>
  <c r="X33" i="2"/>
  <c r="F29" i="3" s="1"/>
  <c r="N29" i="3" s="1"/>
  <c r="W33" i="2"/>
  <c r="E29" i="3" s="1"/>
  <c r="M29" i="3" s="1"/>
  <c r="U33" i="2"/>
  <c r="T33" i="2"/>
  <c r="S33" i="2"/>
  <c r="R33" i="2"/>
  <c r="Q33" i="2"/>
  <c r="P33" i="2"/>
  <c r="O33" i="2"/>
  <c r="N33" i="2"/>
  <c r="M33" i="2"/>
  <c r="L33" i="2"/>
  <c r="K33" i="2"/>
  <c r="V33" i="2" s="1"/>
  <c r="AB33" i="2" s="1"/>
  <c r="AA32" i="2"/>
  <c r="Z32" i="2"/>
  <c r="Y32" i="2"/>
  <c r="X32" i="2"/>
  <c r="F28" i="3" s="1"/>
  <c r="N28" i="3" s="1"/>
  <c r="W32" i="2"/>
  <c r="E28" i="3" s="1"/>
  <c r="M28" i="3" s="1"/>
  <c r="U32" i="2"/>
  <c r="T32" i="2"/>
  <c r="S32" i="2"/>
  <c r="R32" i="2"/>
  <c r="Q32" i="2"/>
  <c r="P32" i="2"/>
  <c r="O32" i="2"/>
  <c r="N32" i="2"/>
  <c r="M32" i="2"/>
  <c r="L32" i="2"/>
  <c r="K32" i="2"/>
  <c r="V32" i="2" s="1"/>
  <c r="AB32" i="2" s="1"/>
  <c r="AB31" i="2"/>
  <c r="G27" i="3" s="1"/>
  <c r="O27" i="3" s="1"/>
  <c r="S31" i="2"/>
  <c r="R31" i="2"/>
  <c r="Q31" i="2"/>
  <c r="P31" i="2"/>
  <c r="N31" i="2"/>
  <c r="L31" i="2"/>
  <c r="AB30" i="2"/>
  <c r="G26" i="3" s="1"/>
  <c r="O26" i="3" s="1"/>
  <c r="T30" i="2"/>
  <c r="S30" i="2"/>
  <c r="R30" i="2"/>
  <c r="Q30" i="2"/>
  <c r="P30" i="2"/>
  <c r="O30" i="2"/>
  <c r="N30" i="2"/>
  <c r="M30" i="2"/>
  <c r="V30" i="2" s="1"/>
  <c r="L30" i="2"/>
  <c r="K30" i="2"/>
  <c r="AB29" i="2"/>
  <c r="G25" i="3" s="1"/>
  <c r="O25" i="3" s="1"/>
  <c r="U29" i="2"/>
  <c r="T29" i="2"/>
  <c r="S29" i="2"/>
  <c r="R29" i="2"/>
  <c r="Q29" i="2"/>
  <c r="P29" i="2"/>
  <c r="V29" i="2" s="1"/>
  <c r="W29" i="2" s="1"/>
  <c r="O29" i="2"/>
  <c r="N29" i="2"/>
  <c r="M29" i="2"/>
  <c r="L29" i="2"/>
  <c r="K29" i="2"/>
  <c r="AB28" i="2"/>
  <c r="G24" i="3" s="1"/>
  <c r="O24" i="3" s="1"/>
  <c r="U28" i="2"/>
  <c r="T28" i="2"/>
  <c r="S28" i="2"/>
  <c r="R28" i="2"/>
  <c r="Q28" i="2"/>
  <c r="P28" i="2"/>
  <c r="O28" i="2"/>
  <c r="N28" i="2"/>
  <c r="M28" i="2"/>
  <c r="L28" i="2"/>
  <c r="K28" i="2"/>
  <c r="V28" i="2" s="1"/>
  <c r="W28" i="2" s="1"/>
  <c r="AB27" i="2"/>
  <c r="G23" i="3" s="1"/>
  <c r="O23" i="3" s="1"/>
  <c r="V27" i="2"/>
  <c r="W27" i="2" s="1"/>
  <c r="U27" i="2"/>
  <c r="T27" i="2"/>
  <c r="S27" i="2"/>
  <c r="R27" i="2"/>
  <c r="Q27" i="2"/>
  <c r="P27" i="2"/>
  <c r="O27" i="2"/>
  <c r="N27" i="2"/>
  <c r="M27" i="2"/>
  <c r="L27" i="2"/>
  <c r="K27" i="2"/>
  <c r="AB26" i="2"/>
  <c r="G22" i="3" s="1"/>
  <c r="O22" i="3" s="1"/>
  <c r="U26" i="2"/>
  <c r="T26" i="2"/>
  <c r="S26" i="2"/>
  <c r="R26" i="2"/>
  <c r="Q26" i="2"/>
  <c r="P26" i="2"/>
  <c r="O26" i="2"/>
  <c r="N26" i="2"/>
  <c r="M26" i="2"/>
  <c r="L26" i="2"/>
  <c r="K26" i="2"/>
  <c r="V26" i="2" s="1"/>
  <c r="W26" i="2" s="1"/>
  <c r="AB25" i="2"/>
  <c r="G21" i="3" s="1"/>
  <c r="O21" i="3" s="1"/>
  <c r="U25" i="2"/>
  <c r="T25" i="2"/>
  <c r="S25" i="2"/>
  <c r="R25" i="2"/>
  <c r="Q25" i="2"/>
  <c r="O25" i="2"/>
  <c r="N25" i="2"/>
  <c r="M25" i="2"/>
  <c r="L25" i="2"/>
  <c r="V25" i="2" s="1"/>
  <c r="W25" i="2" s="1"/>
  <c r="K25" i="2"/>
  <c r="AB24" i="2"/>
  <c r="G20" i="3" s="1"/>
  <c r="O20" i="3" s="1"/>
  <c r="U24" i="2"/>
  <c r="T24" i="2"/>
  <c r="S24" i="2"/>
  <c r="R24" i="2"/>
  <c r="Q24" i="2"/>
  <c r="O24" i="2"/>
  <c r="V24" i="2" s="1"/>
  <c r="W24" i="2" s="1"/>
  <c r="N24" i="2"/>
  <c r="M24" i="2"/>
  <c r="L24" i="2"/>
  <c r="K24" i="2"/>
  <c r="AB23" i="2"/>
  <c r="G19" i="3" s="1"/>
  <c r="O19" i="3" s="1"/>
  <c r="S23" i="2"/>
  <c r="L23" i="2"/>
  <c r="K23" i="2"/>
  <c r="AB22" i="2"/>
  <c r="G18" i="3" s="1"/>
  <c r="O18" i="3" s="1"/>
  <c r="V22" i="2"/>
  <c r="T22" i="2"/>
  <c r="R22" i="2"/>
  <c r="Q22" i="2"/>
  <c r="P22" i="2"/>
  <c r="N22" i="2"/>
  <c r="M22" i="2"/>
  <c r="L22" i="2"/>
  <c r="K22" i="2"/>
  <c r="AB21" i="2"/>
  <c r="G17" i="3" s="1"/>
  <c r="O17" i="3" s="1"/>
  <c r="V21" i="2"/>
  <c r="W21" i="2" s="1"/>
  <c r="T21" i="2"/>
  <c r="R21" i="2"/>
  <c r="Q21" i="2"/>
  <c r="P21" i="2"/>
  <c r="N21" i="2"/>
  <c r="M21" i="2"/>
  <c r="L21" i="2"/>
  <c r="K21" i="2"/>
  <c r="AB20" i="2"/>
  <c r="G16" i="3" s="1"/>
  <c r="O16" i="3" s="1"/>
  <c r="V20" i="2"/>
  <c r="W20" i="2" s="1"/>
  <c r="T20" i="2"/>
  <c r="R20" i="2"/>
  <c r="Q20" i="2"/>
  <c r="P20" i="2"/>
  <c r="N20" i="2"/>
  <c r="M20" i="2"/>
  <c r="L20" i="2"/>
  <c r="K20" i="2"/>
  <c r="AB19" i="2"/>
  <c r="G15" i="3" s="1"/>
  <c r="O15" i="3" s="1"/>
  <c r="V19" i="2"/>
  <c r="W19" i="2" s="1"/>
  <c r="T19" i="2"/>
  <c r="R19" i="2"/>
  <c r="Q19" i="2"/>
  <c r="P19" i="2"/>
  <c r="N19" i="2"/>
  <c r="M19" i="2"/>
  <c r="L19" i="2"/>
  <c r="K19" i="2"/>
  <c r="AB18" i="2"/>
  <c r="G14" i="3" s="1"/>
  <c r="O14" i="3" s="1"/>
  <c r="U18" i="2"/>
  <c r="T18" i="2"/>
  <c r="S18" i="2"/>
  <c r="R18" i="2"/>
  <c r="Q18" i="2"/>
  <c r="P18" i="2"/>
  <c r="O18" i="2"/>
  <c r="N18" i="2"/>
  <c r="M18" i="2"/>
  <c r="L18" i="2"/>
  <c r="K18" i="2"/>
  <c r="V18" i="2" s="1"/>
  <c r="W18" i="2" s="1"/>
  <c r="AB17" i="2"/>
  <c r="G13" i="3" s="1"/>
  <c r="O13" i="3" s="1"/>
  <c r="U17" i="2"/>
  <c r="T17" i="2"/>
  <c r="S17" i="2"/>
  <c r="R17" i="2"/>
  <c r="Q17" i="2"/>
  <c r="O17" i="2"/>
  <c r="N17" i="2"/>
  <c r="M17" i="2"/>
  <c r="L17" i="2"/>
  <c r="K17" i="2"/>
  <c r="V17" i="2" s="1"/>
  <c r="W17" i="2" s="1"/>
  <c r="AB16" i="2"/>
  <c r="G12" i="3" s="1"/>
  <c r="O12" i="3" s="1"/>
  <c r="U16" i="2"/>
  <c r="T16" i="2"/>
  <c r="S16" i="2"/>
  <c r="R16" i="2"/>
  <c r="Q16" i="2"/>
  <c r="O16" i="2"/>
  <c r="V16" i="2" s="1"/>
  <c r="W16" i="2" s="1"/>
  <c r="N16" i="2"/>
  <c r="M16" i="2"/>
  <c r="L16" i="2"/>
  <c r="K16" i="2"/>
  <c r="AB15" i="2"/>
  <c r="G11" i="3" s="1"/>
  <c r="O11" i="3" s="1"/>
  <c r="S15" i="2"/>
  <c r="L15" i="2"/>
  <c r="K15" i="2"/>
  <c r="AB14" i="2"/>
  <c r="G10" i="3" s="1"/>
  <c r="O10" i="3" s="1"/>
  <c r="T14" i="2"/>
  <c r="S14" i="2"/>
  <c r="R14" i="2"/>
  <c r="Q14" i="2"/>
  <c r="P14" i="2"/>
  <c r="O14" i="2"/>
  <c r="N14" i="2"/>
  <c r="M14" i="2"/>
  <c r="L14" i="2"/>
  <c r="K14" i="2"/>
  <c r="AB13" i="2"/>
  <c r="G9" i="3" s="1"/>
  <c r="O9" i="3" s="1"/>
  <c r="U13" i="2"/>
  <c r="T13" i="2"/>
  <c r="S13" i="2"/>
  <c r="R13" i="2"/>
  <c r="Q13" i="2"/>
  <c r="P13" i="2"/>
  <c r="O13" i="2"/>
  <c r="N13" i="2"/>
  <c r="M13" i="2"/>
  <c r="L13" i="2"/>
  <c r="K13" i="2"/>
  <c r="V13" i="2" s="1"/>
  <c r="W13" i="2" s="1"/>
  <c r="AB12" i="2"/>
  <c r="G8" i="3" s="1"/>
  <c r="O8" i="3" s="1"/>
  <c r="U12" i="2"/>
  <c r="T12" i="2"/>
  <c r="S12" i="2"/>
  <c r="R12" i="2"/>
  <c r="Q12" i="2"/>
  <c r="P12" i="2"/>
  <c r="O12" i="2"/>
  <c r="V12" i="2" s="1"/>
  <c r="W12" i="2" s="1"/>
  <c r="N12" i="2"/>
  <c r="M12" i="2"/>
  <c r="L12" i="2"/>
  <c r="K12" i="2"/>
  <c r="AB11" i="2"/>
  <c r="G7" i="3" s="1"/>
  <c r="O7" i="3" s="1"/>
  <c r="U11" i="2"/>
  <c r="T11" i="2"/>
  <c r="S11" i="2"/>
  <c r="R11" i="2"/>
  <c r="Q11" i="2"/>
  <c r="P11" i="2"/>
  <c r="O11" i="2"/>
  <c r="N11" i="2"/>
  <c r="M11" i="2"/>
  <c r="L11" i="2"/>
  <c r="K11" i="2"/>
  <c r="V11" i="2" s="1"/>
  <c r="W11" i="2" s="1"/>
  <c r="AB10" i="2"/>
  <c r="G6" i="3" s="1"/>
  <c r="O6" i="3" s="1"/>
  <c r="U10" i="2"/>
  <c r="T10" i="2"/>
  <c r="S10" i="2"/>
  <c r="R10" i="2"/>
  <c r="Q10" i="2"/>
  <c r="P10" i="2"/>
  <c r="O10" i="2"/>
  <c r="N10" i="2"/>
  <c r="M10" i="2"/>
  <c r="L10" i="2"/>
  <c r="K10" i="2"/>
  <c r="V10" i="2" s="1"/>
  <c r="W10" i="2" s="1"/>
  <c r="AB9" i="2"/>
  <c r="G5" i="3" s="1"/>
  <c r="O5" i="3" s="1"/>
  <c r="U9" i="2"/>
  <c r="T9" i="2"/>
  <c r="S9" i="2"/>
  <c r="R9" i="2"/>
  <c r="Q9" i="2"/>
  <c r="P9" i="2"/>
  <c r="O9" i="2"/>
  <c r="N9" i="2"/>
  <c r="M9" i="2"/>
  <c r="L9" i="2"/>
  <c r="K9" i="2"/>
  <c r="V9" i="2" s="1"/>
  <c r="W9" i="2" s="1"/>
  <c r="AB8" i="2"/>
  <c r="G4" i="3" s="1"/>
  <c r="O4" i="3" s="1"/>
  <c r="U8" i="2"/>
  <c r="T8" i="2"/>
  <c r="S8" i="2"/>
  <c r="R8" i="2"/>
  <c r="Q8" i="2"/>
  <c r="P8" i="2"/>
  <c r="V8" i="2" s="1"/>
  <c r="W8" i="2" s="1"/>
  <c r="O8" i="2"/>
  <c r="N8" i="2"/>
  <c r="M8" i="2"/>
  <c r="L8" i="2"/>
  <c r="K8" i="2"/>
  <c r="AB7" i="2"/>
  <c r="G3" i="3" s="1"/>
  <c r="O3" i="3" s="1"/>
  <c r="U7" i="2"/>
  <c r="T7" i="2"/>
  <c r="S7" i="2"/>
  <c r="R7" i="2"/>
  <c r="Q7" i="2"/>
  <c r="P7" i="2"/>
  <c r="O7" i="2"/>
  <c r="N7" i="2"/>
  <c r="M7" i="2"/>
  <c r="L7" i="2"/>
  <c r="K7" i="2"/>
  <c r="V7" i="2" s="1"/>
  <c r="AB6" i="2"/>
  <c r="G2" i="3" s="1"/>
  <c r="O2" i="3" s="1"/>
  <c r="U6" i="2"/>
  <c r="T6" i="2"/>
  <c r="S6" i="2"/>
  <c r="R6" i="2"/>
  <c r="Q6" i="2"/>
  <c r="P6" i="2"/>
  <c r="O6" i="2"/>
  <c r="N6" i="2"/>
  <c r="M6" i="2"/>
  <c r="L6" i="2"/>
  <c r="K6" i="2"/>
  <c r="V6" i="2" s="1"/>
  <c r="W6" i="2" s="1"/>
  <c r="E53" i="3" l="1"/>
  <c r="M53" i="3" s="1"/>
  <c r="X62" i="2"/>
  <c r="E54" i="3"/>
  <c r="M54" i="3" s="1"/>
  <c r="X63" i="2"/>
  <c r="E70" i="3"/>
  <c r="M70" i="3" s="1"/>
  <c r="X84" i="2"/>
  <c r="E96" i="3"/>
  <c r="M96" i="3" s="1"/>
  <c r="X120" i="2"/>
  <c r="E130" i="3"/>
  <c r="M130" i="3" s="1"/>
  <c r="X155" i="2"/>
  <c r="E4" i="3"/>
  <c r="M4" i="3" s="1"/>
  <c r="X8" i="2"/>
  <c r="E20" i="3"/>
  <c r="M20" i="3" s="1"/>
  <c r="X24" i="2"/>
  <c r="E133" i="3"/>
  <c r="M133" i="3" s="1"/>
  <c r="X158" i="2"/>
  <c r="E147" i="3"/>
  <c r="M147" i="3" s="1"/>
  <c r="X172" i="2"/>
  <c r="E215" i="3"/>
  <c r="M215" i="3" s="1"/>
  <c r="X240" i="2"/>
  <c r="E146" i="3"/>
  <c r="M146" i="3" s="1"/>
  <c r="X171" i="2"/>
  <c r="E6" i="3"/>
  <c r="M6" i="3" s="1"/>
  <c r="X10" i="2"/>
  <c r="E82" i="3"/>
  <c r="M82" i="3" s="1"/>
  <c r="X104" i="2"/>
  <c r="E56" i="3"/>
  <c r="M56" i="3" s="1"/>
  <c r="X65" i="2"/>
  <c r="E57" i="3"/>
  <c r="M57" i="3" s="1"/>
  <c r="X66" i="2"/>
  <c r="E109" i="3"/>
  <c r="M109" i="3" s="1"/>
  <c r="X133" i="2"/>
  <c r="E125" i="3"/>
  <c r="M125" i="3" s="1"/>
  <c r="X150" i="2"/>
  <c r="E44" i="3"/>
  <c r="M44" i="3" s="1"/>
  <c r="X53" i="2"/>
  <c r="E77" i="3"/>
  <c r="M77" i="3" s="1"/>
  <c r="X98" i="2"/>
  <c r="E100" i="3"/>
  <c r="M100" i="3" s="1"/>
  <c r="X124" i="2"/>
  <c r="E132" i="3"/>
  <c r="M132" i="3" s="1"/>
  <c r="X157" i="2"/>
  <c r="E25" i="3"/>
  <c r="M25" i="3" s="1"/>
  <c r="X29" i="2"/>
  <c r="E36" i="3"/>
  <c r="M36" i="3" s="1"/>
  <c r="X40" i="2"/>
  <c r="E22" i="3"/>
  <c r="M22" i="3" s="1"/>
  <c r="X26" i="2"/>
  <c r="E47" i="3"/>
  <c r="M47" i="3" s="1"/>
  <c r="X56" i="2"/>
  <c r="E84" i="3"/>
  <c r="M84" i="3" s="1"/>
  <c r="X108" i="2"/>
  <c r="E90" i="3"/>
  <c r="M90" i="3" s="1"/>
  <c r="X114" i="2"/>
  <c r="W7" i="2"/>
  <c r="E12" i="3"/>
  <c r="M12" i="3" s="1"/>
  <c r="X16" i="2"/>
  <c r="G40" i="3"/>
  <c r="O40" i="3" s="1"/>
  <c r="AC49" i="2"/>
  <c r="H40" i="3" s="1"/>
  <c r="G41" i="3"/>
  <c r="O41" i="3" s="1"/>
  <c r="AC50" i="2"/>
  <c r="H41" i="3" s="1"/>
  <c r="G65" i="3"/>
  <c r="O65" i="3" s="1"/>
  <c r="AC79" i="2"/>
  <c r="H65" i="3" s="1"/>
  <c r="E86" i="3"/>
  <c r="M86" i="3" s="1"/>
  <c r="X110" i="2"/>
  <c r="E107" i="3"/>
  <c r="M107" i="3" s="1"/>
  <c r="X131" i="2"/>
  <c r="E45" i="3"/>
  <c r="M45" i="3" s="1"/>
  <c r="X54" i="2"/>
  <c r="E2" i="3"/>
  <c r="M2" i="3" s="1"/>
  <c r="X6" i="2"/>
  <c r="E9" i="3"/>
  <c r="M9" i="3" s="1"/>
  <c r="X13" i="2"/>
  <c r="E14" i="3"/>
  <c r="M14" i="3" s="1"/>
  <c r="X18" i="2"/>
  <c r="G28" i="3"/>
  <c r="O28" i="3" s="1"/>
  <c r="AC32" i="2"/>
  <c r="H28" i="3" s="1"/>
  <c r="G29" i="3"/>
  <c r="O29" i="3" s="1"/>
  <c r="AC33" i="2"/>
  <c r="H29" i="3" s="1"/>
  <c r="G31" i="3"/>
  <c r="O31" i="3" s="1"/>
  <c r="AD35" i="2"/>
  <c r="AC35" i="2"/>
  <c r="H31" i="3" s="1"/>
  <c r="G32" i="3"/>
  <c r="O32" i="3" s="1"/>
  <c r="AC36" i="2"/>
  <c r="H32" i="3" s="1"/>
  <c r="AD36" i="2"/>
  <c r="G33" i="3"/>
  <c r="O33" i="3" s="1"/>
  <c r="AC37" i="2"/>
  <c r="H33" i="3" s="1"/>
  <c r="E17" i="3"/>
  <c r="M17" i="3" s="1"/>
  <c r="X21" i="2"/>
  <c r="E16" i="3"/>
  <c r="M16" i="3" s="1"/>
  <c r="X20" i="2"/>
  <c r="E5" i="3"/>
  <c r="M5" i="3" s="1"/>
  <c r="X9" i="2"/>
  <c r="E38" i="3"/>
  <c r="M38" i="3" s="1"/>
  <c r="X42" i="2"/>
  <c r="E69" i="3"/>
  <c r="M69" i="3" s="1"/>
  <c r="X83" i="2"/>
  <c r="E97" i="3"/>
  <c r="M97" i="3" s="1"/>
  <c r="X121" i="2"/>
  <c r="E112" i="3"/>
  <c r="M112" i="3" s="1"/>
  <c r="X136" i="2"/>
  <c r="E135" i="3"/>
  <c r="M135" i="3" s="1"/>
  <c r="X160" i="2"/>
  <c r="E46" i="3"/>
  <c r="M46" i="3" s="1"/>
  <c r="X55" i="2"/>
  <c r="E59" i="3"/>
  <c r="M59" i="3" s="1"/>
  <c r="X68" i="2"/>
  <c r="E131" i="3"/>
  <c r="M131" i="3" s="1"/>
  <c r="X156" i="2"/>
  <c r="E226" i="3"/>
  <c r="M226" i="3" s="1"/>
  <c r="X252" i="2"/>
  <c r="E15" i="3"/>
  <c r="M15" i="3" s="1"/>
  <c r="X19" i="2"/>
  <c r="E21" i="3"/>
  <c r="M21" i="3" s="1"/>
  <c r="X25" i="2"/>
  <c r="E210" i="3"/>
  <c r="M210" i="3" s="1"/>
  <c r="X235" i="2"/>
  <c r="E23" i="3"/>
  <c r="M23" i="3" s="1"/>
  <c r="X27" i="2"/>
  <c r="V52" i="2"/>
  <c r="W52" i="2" s="1"/>
  <c r="E74" i="3"/>
  <c r="M74" i="3" s="1"/>
  <c r="X95" i="2"/>
  <c r="E191" i="3"/>
  <c r="M191" i="3" s="1"/>
  <c r="X216" i="2"/>
  <c r="E13" i="3"/>
  <c r="M13" i="3" s="1"/>
  <c r="X17" i="2"/>
  <c r="G30" i="3"/>
  <c r="O30" i="3" s="1"/>
  <c r="AC34" i="2"/>
  <c r="H30" i="3" s="1"/>
  <c r="V38" i="2"/>
  <c r="AB38" i="2" s="1"/>
  <c r="E48" i="3"/>
  <c r="M48" i="3" s="1"/>
  <c r="X57" i="2"/>
  <c r="E51" i="3"/>
  <c r="M51" i="3" s="1"/>
  <c r="X60" i="2"/>
  <c r="E68" i="3"/>
  <c r="M68" i="3" s="1"/>
  <c r="X82" i="2"/>
  <c r="E106" i="3"/>
  <c r="M106" i="3" s="1"/>
  <c r="X130" i="2"/>
  <c r="E18" i="3"/>
  <c r="M18" i="3" s="1"/>
  <c r="X22" i="2"/>
  <c r="W111" i="2"/>
  <c r="E122" i="3"/>
  <c r="M122" i="3" s="1"/>
  <c r="X146" i="2"/>
  <c r="E83" i="3"/>
  <c r="M83" i="3" s="1"/>
  <c r="X105" i="2"/>
  <c r="E7" i="3"/>
  <c r="M7" i="3" s="1"/>
  <c r="X11" i="2"/>
  <c r="E8" i="3"/>
  <c r="M8" i="3" s="1"/>
  <c r="X12" i="2"/>
  <c r="E24" i="3"/>
  <c r="M24" i="3" s="1"/>
  <c r="X28" i="2"/>
  <c r="E73" i="3"/>
  <c r="M73" i="3" s="1"/>
  <c r="X94" i="2"/>
  <c r="E92" i="3"/>
  <c r="M92" i="3" s="1"/>
  <c r="X116" i="2"/>
  <c r="E119" i="3"/>
  <c r="M119" i="3" s="1"/>
  <c r="X143" i="2"/>
  <c r="E216" i="3"/>
  <c r="M216" i="3" s="1"/>
  <c r="X241" i="2"/>
  <c r="E157" i="3"/>
  <c r="M157" i="3" s="1"/>
  <c r="X182" i="2"/>
  <c r="T138" i="2"/>
  <c r="S138" i="2"/>
  <c r="M138" i="2"/>
  <c r="AB138" i="2"/>
  <c r="G114" i="3" s="1"/>
  <c r="O114" i="3" s="1"/>
  <c r="L138" i="2"/>
  <c r="K138" i="2"/>
  <c r="P138" i="2"/>
  <c r="N138" i="2"/>
  <c r="R138" i="2"/>
  <c r="U15" i="2"/>
  <c r="U23" i="2"/>
  <c r="R45" i="2"/>
  <c r="L128" i="2"/>
  <c r="E110" i="3"/>
  <c r="M110" i="3" s="1"/>
  <c r="X134" i="2"/>
  <c r="E186" i="3"/>
  <c r="M186" i="3" s="1"/>
  <c r="X211" i="2"/>
  <c r="V220" i="2"/>
  <c r="W220" i="2" s="1"/>
  <c r="S72" i="2"/>
  <c r="Q72" i="2"/>
  <c r="P72" i="2"/>
  <c r="O72" i="2"/>
  <c r="N72" i="2"/>
  <c r="M72" i="2"/>
  <c r="W72" i="2"/>
  <c r="E63" i="3" s="1"/>
  <c r="M63" i="3" s="1"/>
  <c r="V77" i="2"/>
  <c r="W77" i="2" s="1"/>
  <c r="X77" i="2" s="1"/>
  <c r="Y77" i="2" s="1"/>
  <c r="Z77" i="2" s="1"/>
  <c r="AA77" i="2" s="1"/>
  <c r="AC77" i="2" s="1"/>
  <c r="V86" i="2"/>
  <c r="W86" i="2" s="1"/>
  <c r="X86" i="2" s="1"/>
  <c r="Y86" i="2" s="1"/>
  <c r="Z86" i="2" s="1"/>
  <c r="AA86" i="2" s="1"/>
  <c r="AC86" i="2" s="1"/>
  <c r="M31" i="2"/>
  <c r="S45" i="2"/>
  <c r="W58" i="2"/>
  <c r="AA72" i="2"/>
  <c r="V81" i="2"/>
  <c r="W81" i="2" s="1"/>
  <c r="O87" i="2"/>
  <c r="V103" i="2"/>
  <c r="W103" i="2" s="1"/>
  <c r="M128" i="2"/>
  <c r="V164" i="2"/>
  <c r="W164" i="2" s="1"/>
  <c r="V201" i="2"/>
  <c r="W201" i="2" s="1"/>
  <c r="E221" i="3"/>
  <c r="M221" i="3" s="1"/>
  <c r="X247" i="2"/>
  <c r="V85" i="2"/>
  <c r="W85" i="2" s="1"/>
  <c r="V97" i="2"/>
  <c r="W97" i="2" s="1"/>
  <c r="V109" i="2"/>
  <c r="W109" i="2" s="1"/>
  <c r="U119" i="2"/>
  <c r="N128" i="2"/>
  <c r="E162" i="3"/>
  <c r="M162" i="3" s="1"/>
  <c r="X187" i="2"/>
  <c r="E166" i="3"/>
  <c r="M166" i="3" s="1"/>
  <c r="X191" i="2"/>
  <c r="E204" i="3"/>
  <c r="M204" i="3" s="1"/>
  <c r="X229" i="2"/>
  <c r="O31" i="2"/>
  <c r="U38" i="2"/>
  <c r="U45" i="2"/>
  <c r="U52" i="2"/>
  <c r="O73" i="2"/>
  <c r="V99" i="2"/>
  <c r="W99" i="2" s="1"/>
  <c r="V102" i="2"/>
  <c r="W102" i="2" s="1"/>
  <c r="V107" i="2"/>
  <c r="W107" i="2" s="1"/>
  <c r="X107" i="2" s="1"/>
  <c r="Y107" i="2" s="1"/>
  <c r="Z107" i="2" s="1"/>
  <c r="AA107" i="2" s="1"/>
  <c r="AC107" i="2" s="1"/>
  <c r="X141" i="2"/>
  <c r="V170" i="2"/>
  <c r="W170" i="2" s="1"/>
  <c r="X199" i="2"/>
  <c r="U74" i="2"/>
  <c r="V74" i="2" s="1"/>
  <c r="AB74" i="2" s="1"/>
  <c r="AC74" i="2" s="1"/>
  <c r="V80" i="2"/>
  <c r="W80" i="2" s="1"/>
  <c r="V93" i="2"/>
  <c r="W93" i="2" s="1"/>
  <c r="V101" i="2"/>
  <c r="W101" i="2" s="1"/>
  <c r="S139" i="2"/>
  <c r="V167" i="2"/>
  <c r="W167" i="2" s="1"/>
  <c r="E167" i="3"/>
  <c r="M167" i="3" s="1"/>
  <c r="X192" i="2"/>
  <c r="E161" i="3"/>
  <c r="M161" i="3" s="1"/>
  <c r="X186" i="2"/>
  <c r="P73" i="2"/>
  <c r="N73" i="2"/>
  <c r="M73" i="2"/>
  <c r="L73" i="2"/>
  <c r="AA73" i="2"/>
  <c r="K73" i="2"/>
  <c r="V73" i="2" s="1"/>
  <c r="AB73" i="2" s="1"/>
  <c r="Z73" i="2"/>
  <c r="T73" i="2"/>
  <c r="R73" i="2"/>
  <c r="U39" i="2"/>
  <c r="V39" i="2" s="1"/>
  <c r="W39" i="2" s="1"/>
  <c r="V43" i="2"/>
  <c r="W43" i="2" s="1"/>
  <c r="V59" i="2"/>
  <c r="W59" i="2" s="1"/>
  <c r="V71" i="2"/>
  <c r="AB71" i="2" s="1"/>
  <c r="V91" i="2"/>
  <c r="W91" i="2" s="1"/>
  <c r="X91" i="2" s="1"/>
  <c r="Y91" i="2" s="1"/>
  <c r="Z91" i="2" s="1"/>
  <c r="AA91" i="2" s="1"/>
  <c r="AC91" i="2" s="1"/>
  <c r="K127" i="2"/>
  <c r="V142" i="2"/>
  <c r="W142" i="2" s="1"/>
  <c r="V190" i="2"/>
  <c r="W190" i="2" s="1"/>
  <c r="E178" i="3"/>
  <c r="M178" i="3" s="1"/>
  <c r="X203" i="2"/>
  <c r="E211" i="3"/>
  <c r="M211" i="3" s="1"/>
  <c r="X236" i="2"/>
  <c r="E222" i="3"/>
  <c r="M222" i="3" s="1"/>
  <c r="X248" i="2"/>
  <c r="T87" i="2"/>
  <c r="S87" i="2"/>
  <c r="R87" i="2"/>
  <c r="Q87" i="2"/>
  <c r="P87" i="2"/>
  <c r="U96" i="2"/>
  <c r="V96" i="2" s="1"/>
  <c r="W96" i="2" s="1"/>
  <c r="K112" i="2"/>
  <c r="O112" i="2"/>
  <c r="M112" i="2"/>
  <c r="W129" i="2"/>
  <c r="W169" i="2"/>
  <c r="Q128" i="2"/>
  <c r="T128" i="2"/>
  <c r="S128" i="2"/>
  <c r="R128" i="2"/>
  <c r="P128" i="2"/>
  <c r="O128" i="2"/>
  <c r="Q139" i="2"/>
  <c r="P139" i="2"/>
  <c r="T139" i="2"/>
  <c r="R139" i="2"/>
  <c r="O139" i="2"/>
  <c r="N139" i="2"/>
  <c r="M139" i="2"/>
  <c r="L139" i="2"/>
  <c r="K139" i="2"/>
  <c r="V51" i="2"/>
  <c r="AB51" i="2" s="1"/>
  <c r="M23" i="2"/>
  <c r="V23" i="2" s="1"/>
  <c r="W23" i="2" s="1"/>
  <c r="W30" i="2"/>
  <c r="T31" i="2"/>
  <c r="V61" i="2"/>
  <c r="AB61" i="2" s="1"/>
  <c r="V70" i="2"/>
  <c r="W70" i="2" s="1"/>
  <c r="K72" i="2"/>
  <c r="W73" i="2"/>
  <c r="E64" i="3" s="1"/>
  <c r="M64" i="3" s="1"/>
  <c r="S112" i="2"/>
  <c r="V119" i="2"/>
  <c r="W119" i="2" s="1"/>
  <c r="N127" i="2"/>
  <c r="AB139" i="2"/>
  <c r="G115" i="3" s="1"/>
  <c r="O115" i="3" s="1"/>
  <c r="E175" i="3"/>
  <c r="M175" i="3" s="1"/>
  <c r="X200" i="2"/>
  <c r="M15" i="2"/>
  <c r="V15" i="2" s="1"/>
  <c r="W15" i="2" s="1"/>
  <c r="N15" i="2"/>
  <c r="N23" i="2"/>
  <c r="L72" i="2"/>
  <c r="X73" i="2"/>
  <c r="F64" i="3" s="1"/>
  <c r="N64" i="3" s="1"/>
  <c r="T112" i="2"/>
  <c r="V126" i="2"/>
  <c r="W126" i="2" s="1"/>
  <c r="O127" i="2"/>
  <c r="E154" i="3"/>
  <c r="M154" i="3" s="1"/>
  <c r="X179" i="2"/>
  <c r="E164" i="3"/>
  <c r="M164" i="3" s="1"/>
  <c r="X189" i="2"/>
  <c r="E213" i="3"/>
  <c r="M213" i="3" s="1"/>
  <c r="X238" i="2"/>
  <c r="E156" i="3"/>
  <c r="M156" i="3" s="1"/>
  <c r="X181" i="2"/>
  <c r="P45" i="2"/>
  <c r="O15" i="2"/>
  <c r="O23" i="2"/>
  <c r="K45" i="2"/>
  <c r="V67" i="2"/>
  <c r="W67" i="2" s="1"/>
  <c r="V69" i="2"/>
  <c r="W69" i="2" s="1"/>
  <c r="R72" i="2"/>
  <c r="Y73" i="2"/>
  <c r="V118" i="2"/>
  <c r="W118" i="2" s="1"/>
  <c r="P127" i="2"/>
  <c r="V140" i="2"/>
  <c r="X174" i="2"/>
  <c r="V213" i="2"/>
  <c r="M127" i="2"/>
  <c r="P15" i="2"/>
  <c r="P23" i="2"/>
  <c r="U41" i="2"/>
  <c r="V41" i="2" s="1"/>
  <c r="W41" i="2" s="1"/>
  <c r="L45" i="2"/>
  <c r="T72" i="2"/>
  <c r="AB112" i="2"/>
  <c r="G88" i="3" s="1"/>
  <c r="O88" i="3" s="1"/>
  <c r="V151" i="2"/>
  <c r="W151" i="2" s="1"/>
  <c r="V159" i="2"/>
  <c r="W159" i="2" s="1"/>
  <c r="V162" i="2"/>
  <c r="W162" i="2" s="1"/>
  <c r="V231" i="2"/>
  <c r="W231" i="2" s="1"/>
  <c r="V239" i="2"/>
  <c r="W239" i="2" s="1"/>
  <c r="E155" i="3"/>
  <c r="M155" i="3" s="1"/>
  <c r="X180" i="2"/>
  <c r="E205" i="3"/>
  <c r="M205" i="3" s="1"/>
  <c r="X230" i="2"/>
  <c r="V195" i="2"/>
  <c r="W195" i="2" s="1"/>
  <c r="E223" i="3"/>
  <c r="M223" i="3" s="1"/>
  <c r="X249" i="2"/>
  <c r="U14" i="2"/>
  <c r="V14" i="2" s="1"/>
  <c r="W14" i="2" s="1"/>
  <c r="Q15" i="2"/>
  <c r="Q23" i="2"/>
  <c r="M45" i="2"/>
  <c r="V113" i="2"/>
  <c r="W113" i="2" s="1"/>
  <c r="V115" i="2"/>
  <c r="W115" i="2" s="1"/>
  <c r="V117" i="2"/>
  <c r="W117" i="2" s="1"/>
  <c r="E98" i="3"/>
  <c r="M98" i="3" s="1"/>
  <c r="X122" i="2"/>
  <c r="W123" i="2"/>
  <c r="V176" i="2"/>
  <c r="V198" i="2"/>
  <c r="W198" i="2" s="1"/>
  <c r="V208" i="2"/>
  <c r="W208" i="2" s="1"/>
  <c r="V225" i="2"/>
  <c r="W225" i="2" s="1"/>
  <c r="AB128" i="2"/>
  <c r="G104" i="3" s="1"/>
  <c r="O104" i="3" s="1"/>
  <c r="E150" i="3"/>
  <c r="M150" i="3" s="1"/>
  <c r="X175" i="2"/>
  <c r="AE8" i="2"/>
  <c r="R15" i="2"/>
  <c r="R23" i="2"/>
  <c r="N45" i="2"/>
  <c r="V75" i="2"/>
  <c r="AB75" i="2" s="1"/>
  <c r="AC75" i="2" s="1"/>
  <c r="K87" i="2"/>
  <c r="V125" i="2"/>
  <c r="W125" i="2" s="1"/>
  <c r="V165" i="2"/>
  <c r="W165" i="2" s="1"/>
  <c r="V166" i="2"/>
  <c r="W166" i="2" s="1"/>
  <c r="AB152" i="2"/>
  <c r="U152" i="2"/>
  <c r="U86" i="2"/>
  <c r="T127" i="2"/>
  <c r="S127" i="2"/>
  <c r="R127" i="2"/>
  <c r="Q127" i="2"/>
  <c r="L127" i="2"/>
  <c r="K31" i="2"/>
  <c r="V31" i="2" s="1"/>
  <c r="W31" i="2" s="1"/>
  <c r="Q45" i="2"/>
  <c r="Y72" i="2"/>
  <c r="M87" i="2"/>
  <c r="K128" i="2"/>
  <c r="Q138" i="2"/>
  <c r="V149" i="2"/>
  <c r="W149" i="2" s="1"/>
  <c r="V173" i="2"/>
  <c r="AB173" i="2" s="1"/>
  <c r="R145" i="2"/>
  <c r="V154" i="2"/>
  <c r="AB154" i="2" s="1"/>
  <c r="V163" i="2"/>
  <c r="W163" i="2" s="1"/>
  <c r="X61" i="2"/>
  <c r="F52" i="3" s="1"/>
  <c r="N52" i="3" s="1"/>
  <c r="O64" i="2"/>
  <c r="V64" i="2" s="1"/>
  <c r="W64" i="2" s="1"/>
  <c r="V206" i="2"/>
  <c r="W206" i="2" s="1"/>
  <c r="W140" i="2"/>
  <c r="U140" i="2"/>
  <c r="O145" i="2"/>
  <c r="N145" i="2"/>
  <c r="S153" i="2"/>
  <c r="Q153" i="2"/>
  <c r="P153" i="2"/>
  <c r="AB161" i="2"/>
  <c r="G136" i="3" s="1"/>
  <c r="O136" i="3" s="1"/>
  <c r="L161" i="2"/>
  <c r="K161" i="2"/>
  <c r="S161" i="2"/>
  <c r="R161" i="2"/>
  <c r="Q161" i="2"/>
  <c r="T169" i="2"/>
  <c r="S169" i="2"/>
  <c r="R169" i="2"/>
  <c r="Q169" i="2"/>
  <c r="K169" i="2"/>
  <c r="V169" i="2" s="1"/>
  <c r="Q177" i="2"/>
  <c r="P177" i="2"/>
  <c r="T177" i="2"/>
  <c r="S177" i="2"/>
  <c r="R177" i="2"/>
  <c r="O177" i="2"/>
  <c r="V177" i="2" s="1"/>
  <c r="W177" i="2" s="1"/>
  <c r="AB177" i="2"/>
  <c r="G152" i="3" s="1"/>
  <c r="O152" i="3" s="1"/>
  <c r="R185" i="2"/>
  <c r="Q185" i="2"/>
  <c r="P185" i="2"/>
  <c r="O185" i="2"/>
  <c r="S185" i="2"/>
  <c r="N185" i="2"/>
  <c r="M185" i="2"/>
  <c r="L185" i="2"/>
  <c r="AB185" i="2"/>
  <c r="G160" i="3" s="1"/>
  <c r="O160" i="3" s="1"/>
  <c r="P193" i="2"/>
  <c r="O193" i="2"/>
  <c r="N193" i="2"/>
  <c r="M193" i="2"/>
  <c r="K193" i="2"/>
  <c r="AB145" i="2"/>
  <c r="G121" i="3" s="1"/>
  <c r="O121" i="3" s="1"/>
  <c r="V152" i="2"/>
  <c r="E169" i="3"/>
  <c r="M169" i="3" s="1"/>
  <c r="X194" i="2"/>
  <c r="V205" i="2"/>
  <c r="W205" i="2" s="1"/>
  <c r="V217" i="2"/>
  <c r="W217" i="2" s="1"/>
  <c r="E198" i="3"/>
  <c r="M198" i="3" s="1"/>
  <c r="X223" i="2"/>
  <c r="O153" i="2"/>
  <c r="V153" i="2" s="1"/>
  <c r="W153" i="2" s="1"/>
  <c r="P161" i="2"/>
  <c r="V226" i="2"/>
  <c r="W226" i="2" s="1"/>
  <c r="V232" i="2"/>
  <c r="W232" i="2" s="1"/>
  <c r="V132" i="2"/>
  <c r="W132" i="2" s="1"/>
  <c r="V135" i="2"/>
  <c r="W135" i="2" s="1"/>
  <c r="R153" i="2"/>
  <c r="T161" i="2"/>
  <c r="V178" i="2"/>
  <c r="W178" i="2" s="1"/>
  <c r="E172" i="3"/>
  <c r="M172" i="3" s="1"/>
  <c r="X197" i="2"/>
  <c r="V221" i="2"/>
  <c r="W221" i="2" s="1"/>
  <c r="P120" i="3"/>
  <c r="D120" i="3"/>
  <c r="T153" i="2"/>
  <c r="K185" i="2"/>
  <c r="V188" i="2"/>
  <c r="W188" i="2" s="1"/>
  <c r="L193" i="2"/>
  <c r="V137" i="2"/>
  <c r="W137" i="2" s="1"/>
  <c r="K145" i="2"/>
  <c r="V147" i="2"/>
  <c r="W147" i="2" s="1"/>
  <c r="L169" i="2"/>
  <c r="T185" i="2"/>
  <c r="Q193" i="2"/>
  <c r="V209" i="2"/>
  <c r="W209" i="2" s="1"/>
  <c r="V210" i="2"/>
  <c r="W210" i="2" s="1"/>
  <c r="L145" i="2"/>
  <c r="V168" i="2"/>
  <c r="M169" i="2"/>
  <c r="R193" i="2"/>
  <c r="V196" i="2"/>
  <c r="W196" i="2" s="1"/>
  <c r="V215" i="2"/>
  <c r="W215" i="2" s="1"/>
  <c r="W168" i="2"/>
  <c r="U168" i="2"/>
  <c r="W176" i="2"/>
  <c r="P145" i="2"/>
  <c r="AB153" i="2"/>
  <c r="G128" i="3" s="1"/>
  <c r="O128" i="3" s="1"/>
  <c r="O169" i="2"/>
  <c r="V183" i="2"/>
  <c r="W183" i="2" s="1"/>
  <c r="T193" i="2"/>
  <c r="V202" i="2"/>
  <c r="W202" i="2" s="1"/>
  <c r="V214" i="2"/>
  <c r="W214" i="2" s="1"/>
  <c r="V218" i="2"/>
  <c r="W218" i="2" s="1"/>
  <c r="W184" i="2"/>
  <c r="V222" i="2"/>
  <c r="W222" i="2" s="1"/>
  <c r="E202" i="3"/>
  <c r="M202" i="3" s="1"/>
  <c r="X227" i="2"/>
  <c r="V204" i="2"/>
  <c r="W204" i="2" s="1"/>
  <c r="V207" i="2"/>
  <c r="W207" i="2" s="1"/>
  <c r="V212" i="2"/>
  <c r="W212" i="2" s="1"/>
  <c r="V234" i="2"/>
  <c r="W234" i="2" s="1"/>
  <c r="V250" i="2"/>
  <c r="AB250" i="2" s="1"/>
  <c r="V233" i="2"/>
  <c r="W233" i="2" s="1"/>
  <c r="V242" i="2"/>
  <c r="W242" i="2" s="1"/>
  <c r="V243" i="2"/>
  <c r="W243" i="2" s="1"/>
  <c r="V237" i="2"/>
  <c r="AB237" i="2" s="1"/>
  <c r="V245" i="2"/>
  <c r="W245" i="2" s="1"/>
  <c r="V251" i="2"/>
  <c r="W251" i="2" s="1"/>
  <c r="V246" i="2"/>
  <c r="W246" i="2" s="1"/>
  <c r="V219" i="2"/>
  <c r="W219" i="2" s="1"/>
  <c r="E203" i="3"/>
  <c r="M203" i="3" s="1"/>
  <c r="X228" i="2"/>
  <c r="V224" i="2"/>
  <c r="W224" i="2" s="1"/>
  <c r="W213" i="2"/>
  <c r="E35" i="3" l="1"/>
  <c r="M35" i="3" s="1"/>
  <c r="X39" i="2"/>
  <c r="E95" i="3"/>
  <c r="M95" i="3" s="1"/>
  <c r="X119" i="2"/>
  <c r="G34" i="3"/>
  <c r="O34" i="3" s="1"/>
  <c r="AC38" i="2"/>
  <c r="H34" i="3" s="1"/>
  <c r="E214" i="3"/>
  <c r="M214" i="3" s="1"/>
  <c r="X239" i="2"/>
  <c r="G64" i="3"/>
  <c r="O64" i="3" s="1"/>
  <c r="AC73" i="2"/>
  <c r="H64" i="3" s="1"/>
  <c r="E152" i="3"/>
  <c r="M152" i="3" s="1"/>
  <c r="X177" i="2"/>
  <c r="E58" i="3"/>
  <c r="M58" i="3" s="1"/>
  <c r="X67" i="2"/>
  <c r="E19" i="3"/>
  <c r="M19" i="3" s="1"/>
  <c r="X23" i="2"/>
  <c r="E27" i="3"/>
  <c r="M27" i="3" s="1"/>
  <c r="X31" i="2"/>
  <c r="E10" i="3"/>
  <c r="M10" i="3" s="1"/>
  <c r="X14" i="2"/>
  <c r="E128" i="3"/>
  <c r="M128" i="3" s="1"/>
  <c r="X153" i="2"/>
  <c r="E55" i="3"/>
  <c r="M55" i="3" s="1"/>
  <c r="X64" i="2"/>
  <c r="E43" i="3"/>
  <c r="M43" i="3" s="1"/>
  <c r="X52" i="2"/>
  <c r="E37" i="3"/>
  <c r="M37" i="3" s="1"/>
  <c r="X41" i="2"/>
  <c r="E11" i="3"/>
  <c r="M11" i="3" s="1"/>
  <c r="X15" i="2"/>
  <c r="E190" i="3"/>
  <c r="M190" i="3" s="1"/>
  <c r="X215" i="2"/>
  <c r="E75" i="3"/>
  <c r="M75" i="3" s="1"/>
  <c r="X96" i="2"/>
  <c r="F205" i="3"/>
  <c r="N205" i="3" s="1"/>
  <c r="Y230" i="2"/>
  <c r="Z230" i="2" s="1"/>
  <c r="AA230" i="2" s="1"/>
  <c r="AC230" i="2" s="1"/>
  <c r="H205" i="3" s="1"/>
  <c r="E61" i="3"/>
  <c r="M61" i="3" s="1"/>
  <c r="X70" i="2"/>
  <c r="E158" i="3"/>
  <c r="M158" i="3" s="1"/>
  <c r="X183" i="2"/>
  <c r="E140" i="3"/>
  <c r="M140" i="3" s="1"/>
  <c r="X165" i="2"/>
  <c r="E105" i="3"/>
  <c r="M105" i="3" s="1"/>
  <c r="X129" i="2"/>
  <c r="E208" i="3"/>
  <c r="M208" i="3" s="1"/>
  <c r="X233" i="2"/>
  <c r="E184" i="3"/>
  <c r="M184" i="3" s="1"/>
  <c r="X209" i="2"/>
  <c r="E153" i="3"/>
  <c r="M153" i="3" s="1"/>
  <c r="X178" i="2"/>
  <c r="E101" i="3"/>
  <c r="M101" i="3" s="1"/>
  <c r="X125" i="2"/>
  <c r="E99" i="3"/>
  <c r="M99" i="3" s="1"/>
  <c r="X123" i="2"/>
  <c r="F155" i="3"/>
  <c r="N155" i="3" s="1"/>
  <c r="Y180" i="2"/>
  <c r="Z180" i="2" s="1"/>
  <c r="AA180" i="2" s="1"/>
  <c r="AC180" i="2" s="1"/>
  <c r="H155" i="3" s="1"/>
  <c r="F221" i="3"/>
  <c r="N221" i="3" s="1"/>
  <c r="Y247" i="2"/>
  <c r="Z247" i="2" s="1"/>
  <c r="AA247" i="2" s="1"/>
  <c r="AC247" i="2" s="1"/>
  <c r="H221" i="3" s="1"/>
  <c r="F83" i="3"/>
  <c r="N83" i="3" s="1"/>
  <c r="Y105" i="2"/>
  <c r="Z105" i="2" s="1"/>
  <c r="AA105" i="2" s="1"/>
  <c r="AC105" i="2" s="1"/>
  <c r="H83" i="3" s="1"/>
  <c r="F68" i="3"/>
  <c r="N68" i="3" s="1"/>
  <c r="Y82" i="2"/>
  <c r="Z82" i="2" s="1"/>
  <c r="AA82" i="2" s="1"/>
  <c r="AC82" i="2" s="1"/>
  <c r="H68" i="3" s="1"/>
  <c r="F74" i="3"/>
  <c r="N74" i="3" s="1"/>
  <c r="Y95" i="2"/>
  <c r="Z95" i="2" s="1"/>
  <c r="AA95" i="2" s="1"/>
  <c r="AC95" i="2" s="1"/>
  <c r="H74" i="3" s="1"/>
  <c r="F59" i="3"/>
  <c r="N59" i="3" s="1"/>
  <c r="Y68" i="2"/>
  <c r="Z68" i="2" s="1"/>
  <c r="AA68" i="2" s="1"/>
  <c r="AC68" i="2" s="1"/>
  <c r="H59" i="3" s="1"/>
  <c r="F5" i="3"/>
  <c r="N5" i="3" s="1"/>
  <c r="Y9" i="2"/>
  <c r="Z9" i="2" s="1"/>
  <c r="AA9" i="2" s="1"/>
  <c r="AC9" i="2" s="1"/>
  <c r="F107" i="3"/>
  <c r="N107" i="3" s="1"/>
  <c r="Y131" i="2"/>
  <c r="Z131" i="2" s="1"/>
  <c r="AA131" i="2" s="1"/>
  <c r="AC131" i="2" s="1"/>
  <c r="H107" i="3" s="1"/>
  <c r="E3" i="3"/>
  <c r="M3" i="3" s="1"/>
  <c r="X7" i="2"/>
  <c r="E180" i="3"/>
  <c r="M180" i="3" s="1"/>
  <c r="X205" i="2"/>
  <c r="F216" i="3"/>
  <c r="N216" i="3" s="1"/>
  <c r="Y241" i="2"/>
  <c r="Z241" i="2" s="1"/>
  <c r="AA241" i="2" s="1"/>
  <c r="AC241" i="2" s="1"/>
  <c r="H216" i="3" s="1"/>
  <c r="G224" i="3"/>
  <c r="O224" i="3" s="1"/>
  <c r="AC250" i="2"/>
  <c r="H224" i="3" s="1"/>
  <c r="V87" i="2"/>
  <c r="W87" i="2" s="1"/>
  <c r="X87" i="2" s="1"/>
  <c r="Y87" i="2" s="1"/>
  <c r="Z87" i="2" s="1"/>
  <c r="AA87" i="2" s="1"/>
  <c r="AC87" i="2" s="1"/>
  <c r="F98" i="3"/>
  <c r="N98" i="3" s="1"/>
  <c r="Y122" i="2"/>
  <c r="Z122" i="2" s="1"/>
  <c r="AA122" i="2" s="1"/>
  <c r="AC122" i="2" s="1"/>
  <c r="H98" i="3" s="1"/>
  <c r="F149" i="3"/>
  <c r="N149" i="3" s="1"/>
  <c r="Y174" i="2"/>
  <c r="Z174" i="2" s="1"/>
  <c r="AA174" i="2" s="1"/>
  <c r="AC174" i="2" s="1"/>
  <c r="H149" i="3" s="1"/>
  <c r="F156" i="3"/>
  <c r="N156" i="3" s="1"/>
  <c r="Y181" i="2"/>
  <c r="Z181" i="2" s="1"/>
  <c r="AA181" i="2" s="1"/>
  <c r="AC181" i="2" s="1"/>
  <c r="H156" i="3" s="1"/>
  <c r="F222" i="3"/>
  <c r="N222" i="3" s="1"/>
  <c r="Y248" i="2"/>
  <c r="Z248" i="2" s="1"/>
  <c r="AA248" i="2" s="1"/>
  <c r="AC248" i="2" s="1"/>
  <c r="H222" i="3" s="1"/>
  <c r="E79" i="3"/>
  <c r="M79" i="3" s="1"/>
  <c r="X101" i="2"/>
  <c r="F119" i="3"/>
  <c r="N119" i="3" s="1"/>
  <c r="Y143" i="2"/>
  <c r="Z143" i="2" s="1"/>
  <c r="AA143" i="2" s="1"/>
  <c r="AC143" i="2" s="1"/>
  <c r="H119" i="3" s="1"/>
  <c r="AD32" i="2"/>
  <c r="F90" i="3"/>
  <c r="N90" i="3" s="1"/>
  <c r="Y114" i="2"/>
  <c r="Z114" i="2" s="1"/>
  <c r="AA114" i="2" s="1"/>
  <c r="AC114" i="2" s="1"/>
  <c r="H90" i="3" s="1"/>
  <c r="F77" i="3"/>
  <c r="N77" i="3" s="1"/>
  <c r="Y98" i="2"/>
  <c r="Z98" i="2" s="1"/>
  <c r="AA98" i="2" s="1"/>
  <c r="AC98" i="2" s="1"/>
  <c r="H77" i="3" s="1"/>
  <c r="F6" i="3"/>
  <c r="N6" i="3" s="1"/>
  <c r="Y10" i="2"/>
  <c r="Z10" i="2" s="1"/>
  <c r="AA10" i="2" s="1"/>
  <c r="AC10" i="2" s="1"/>
  <c r="F20" i="3"/>
  <c r="N20" i="3" s="1"/>
  <c r="Y24" i="2"/>
  <c r="Z24" i="2" s="1"/>
  <c r="AA24" i="2" s="1"/>
  <c r="AC24" i="2" s="1"/>
  <c r="H20" i="3" s="1"/>
  <c r="E176" i="3"/>
  <c r="M176" i="3" s="1"/>
  <c r="X201" i="2"/>
  <c r="F46" i="3"/>
  <c r="N46" i="3" s="1"/>
  <c r="Y55" i="2"/>
  <c r="Z55" i="2" s="1"/>
  <c r="AA55" i="2" s="1"/>
  <c r="AC55" i="2" s="1"/>
  <c r="H46" i="3" s="1"/>
  <c r="E188" i="3"/>
  <c r="M188" i="3" s="1"/>
  <c r="X213" i="2"/>
  <c r="E187" i="3"/>
  <c r="M187" i="3" s="1"/>
  <c r="X212" i="2"/>
  <c r="E111" i="3"/>
  <c r="M111" i="3" s="1"/>
  <c r="X135" i="2"/>
  <c r="V193" i="2"/>
  <c r="W193" i="2" s="1"/>
  <c r="V161" i="2"/>
  <c r="W161" i="2" s="1"/>
  <c r="E181" i="3"/>
  <c r="M181" i="3" s="1"/>
  <c r="X206" i="2"/>
  <c r="E93" i="3"/>
  <c r="M93" i="3" s="1"/>
  <c r="X117" i="2"/>
  <c r="E206" i="3"/>
  <c r="M206" i="3" s="1"/>
  <c r="X231" i="2"/>
  <c r="F213" i="3"/>
  <c r="N213" i="3" s="1"/>
  <c r="Y238" i="2"/>
  <c r="Z238" i="2" s="1"/>
  <c r="AA238" i="2" s="1"/>
  <c r="AC238" i="2" s="1"/>
  <c r="H213" i="3" s="1"/>
  <c r="F211" i="3"/>
  <c r="N211" i="3" s="1"/>
  <c r="Y236" i="2"/>
  <c r="Z236" i="2" s="1"/>
  <c r="AA236" i="2" s="1"/>
  <c r="AC236" i="2" s="1"/>
  <c r="H211" i="3" s="1"/>
  <c r="E66" i="3"/>
  <c r="M66" i="3" s="1"/>
  <c r="X80" i="2"/>
  <c r="F204" i="3"/>
  <c r="N204" i="3" s="1"/>
  <c r="Y229" i="2"/>
  <c r="Z229" i="2" s="1"/>
  <c r="AA229" i="2" s="1"/>
  <c r="AC229" i="2" s="1"/>
  <c r="H204" i="3" s="1"/>
  <c r="E139" i="3"/>
  <c r="M139" i="3" s="1"/>
  <c r="X164" i="2"/>
  <c r="F92" i="3"/>
  <c r="N92" i="3" s="1"/>
  <c r="Y116" i="2"/>
  <c r="Z116" i="2" s="1"/>
  <c r="AA116" i="2" s="1"/>
  <c r="AC116" i="2" s="1"/>
  <c r="H92" i="3" s="1"/>
  <c r="F23" i="3"/>
  <c r="N23" i="3" s="1"/>
  <c r="Y27" i="2"/>
  <c r="Z27" i="2" s="1"/>
  <c r="AA27" i="2" s="1"/>
  <c r="AC27" i="2" s="1"/>
  <c r="H23" i="3" s="1"/>
  <c r="F84" i="3"/>
  <c r="N84" i="3" s="1"/>
  <c r="Y108" i="2"/>
  <c r="Z108" i="2" s="1"/>
  <c r="AA108" i="2" s="1"/>
  <c r="AC108" i="2" s="1"/>
  <c r="H84" i="3" s="1"/>
  <c r="F44" i="3"/>
  <c r="N44" i="3" s="1"/>
  <c r="Y53" i="2"/>
  <c r="Z53" i="2" s="1"/>
  <c r="AA53" i="2" s="1"/>
  <c r="AC53" i="2" s="1"/>
  <c r="H44" i="3" s="1"/>
  <c r="F146" i="3"/>
  <c r="N146" i="3" s="1"/>
  <c r="Y171" i="2"/>
  <c r="Z171" i="2" s="1"/>
  <c r="AA171" i="2" s="1"/>
  <c r="AC171" i="2" s="1"/>
  <c r="H146" i="3" s="1"/>
  <c r="E72" i="3"/>
  <c r="M72" i="3" s="1"/>
  <c r="X93" i="2"/>
  <c r="E182" i="3"/>
  <c r="M182" i="3" s="1"/>
  <c r="X207" i="2"/>
  <c r="E137" i="3"/>
  <c r="M137" i="3" s="1"/>
  <c r="X162" i="2"/>
  <c r="E94" i="3"/>
  <c r="M94" i="3" s="1"/>
  <c r="X118" i="2"/>
  <c r="F48" i="3"/>
  <c r="N48" i="3" s="1"/>
  <c r="Y57" i="2"/>
  <c r="Z57" i="2" s="1"/>
  <c r="AA57" i="2" s="1"/>
  <c r="AC57" i="2" s="1"/>
  <c r="H48" i="3" s="1"/>
  <c r="F135" i="3"/>
  <c r="N135" i="3" s="1"/>
  <c r="Y160" i="2"/>
  <c r="Z160" i="2" s="1"/>
  <c r="AA160" i="2" s="1"/>
  <c r="AC160" i="2" s="1"/>
  <c r="H135" i="3" s="1"/>
  <c r="F17" i="3"/>
  <c r="N17" i="3" s="1"/>
  <c r="Y21" i="2"/>
  <c r="Z21" i="2" s="1"/>
  <c r="AA21" i="2" s="1"/>
  <c r="AC21" i="2" s="1"/>
  <c r="H17" i="3" s="1"/>
  <c r="F4" i="3"/>
  <c r="N4" i="3" s="1"/>
  <c r="Y8" i="2"/>
  <c r="Z8" i="2" s="1"/>
  <c r="AA8" i="2" s="1"/>
  <c r="AC8" i="2" s="1"/>
  <c r="F16" i="3"/>
  <c r="N16" i="3" s="1"/>
  <c r="Y20" i="2"/>
  <c r="Z20" i="2" s="1"/>
  <c r="AA20" i="2" s="1"/>
  <c r="AC20" i="2" s="1"/>
  <c r="H16" i="3" s="1"/>
  <c r="E91" i="3"/>
  <c r="M91" i="3" s="1"/>
  <c r="X115" i="2"/>
  <c r="D65" i="3"/>
  <c r="P65" i="3"/>
  <c r="E179" i="3"/>
  <c r="M179" i="3" s="1"/>
  <c r="X204" i="2"/>
  <c r="V145" i="2"/>
  <c r="W145" i="2" s="1"/>
  <c r="E207" i="3"/>
  <c r="M207" i="3" s="1"/>
  <c r="X232" i="2"/>
  <c r="E89" i="3"/>
  <c r="M89" i="3" s="1"/>
  <c r="X113" i="2"/>
  <c r="E134" i="3"/>
  <c r="M134" i="3" s="1"/>
  <c r="X159" i="2"/>
  <c r="F164" i="3"/>
  <c r="N164" i="3" s="1"/>
  <c r="Y189" i="2"/>
  <c r="Z189" i="2" s="1"/>
  <c r="AA189" i="2" s="1"/>
  <c r="AC189" i="2" s="1"/>
  <c r="H164" i="3" s="1"/>
  <c r="F175" i="3"/>
  <c r="N175" i="3" s="1"/>
  <c r="Y200" i="2"/>
  <c r="Z200" i="2" s="1"/>
  <c r="AA200" i="2" s="1"/>
  <c r="AC200" i="2" s="1"/>
  <c r="H175" i="3" s="1"/>
  <c r="G42" i="3"/>
  <c r="O42" i="3" s="1"/>
  <c r="AC51" i="2"/>
  <c r="H42" i="3" s="1"/>
  <c r="F178" i="3"/>
  <c r="N178" i="3" s="1"/>
  <c r="Y203" i="2"/>
  <c r="Z203" i="2" s="1"/>
  <c r="AA203" i="2" s="1"/>
  <c r="AC203" i="2" s="1"/>
  <c r="H178" i="3" s="1"/>
  <c r="F174" i="3"/>
  <c r="N174" i="3" s="1"/>
  <c r="Y199" i="2"/>
  <c r="Z199" i="2" s="1"/>
  <c r="AA199" i="2" s="1"/>
  <c r="AC199" i="2" s="1"/>
  <c r="H174" i="3" s="1"/>
  <c r="F166" i="3"/>
  <c r="N166" i="3" s="1"/>
  <c r="Y191" i="2"/>
  <c r="Z191" i="2" s="1"/>
  <c r="AA191" i="2" s="1"/>
  <c r="AC191" i="2" s="1"/>
  <c r="H166" i="3" s="1"/>
  <c r="V138" i="2"/>
  <c r="W138" i="2" s="1"/>
  <c r="F73" i="3"/>
  <c r="N73" i="3" s="1"/>
  <c r="Y94" i="2"/>
  <c r="Z94" i="2" s="1"/>
  <c r="AA94" i="2" s="1"/>
  <c r="AC94" i="2" s="1"/>
  <c r="H73" i="3" s="1"/>
  <c r="F210" i="3"/>
  <c r="N210" i="3" s="1"/>
  <c r="Y235" i="2"/>
  <c r="Z235" i="2" s="1"/>
  <c r="AA235" i="2" s="1"/>
  <c r="AC235" i="2" s="1"/>
  <c r="H210" i="3" s="1"/>
  <c r="F14" i="3"/>
  <c r="N14" i="3" s="1"/>
  <c r="Y18" i="2"/>
  <c r="Z18" i="2" s="1"/>
  <c r="AA18" i="2" s="1"/>
  <c r="AC18" i="2" s="1"/>
  <c r="F47" i="3"/>
  <c r="N47" i="3" s="1"/>
  <c r="Y56" i="2"/>
  <c r="Z56" i="2" s="1"/>
  <c r="AA56" i="2" s="1"/>
  <c r="AC56" i="2" s="1"/>
  <c r="H47" i="3" s="1"/>
  <c r="F125" i="3"/>
  <c r="N125" i="3" s="1"/>
  <c r="Y150" i="2"/>
  <c r="Z150" i="2" s="1"/>
  <c r="AA150" i="2" s="1"/>
  <c r="AC150" i="2" s="1"/>
  <c r="H125" i="3" s="1"/>
  <c r="E209" i="3"/>
  <c r="M209" i="3" s="1"/>
  <c r="X234" i="2"/>
  <c r="F122" i="3"/>
  <c r="N122" i="3" s="1"/>
  <c r="Y146" i="2"/>
  <c r="Z146" i="2" s="1"/>
  <c r="AA146" i="2" s="1"/>
  <c r="AC146" i="2" s="1"/>
  <c r="H122" i="3" s="1"/>
  <c r="E201" i="3"/>
  <c r="M201" i="3" s="1"/>
  <c r="X226" i="2"/>
  <c r="F112" i="3"/>
  <c r="N112" i="3" s="1"/>
  <c r="Y136" i="2"/>
  <c r="Z136" i="2" s="1"/>
  <c r="AA136" i="2" s="1"/>
  <c r="AC136" i="2" s="1"/>
  <c r="H112" i="3" s="1"/>
  <c r="P33" i="3"/>
  <c r="D33" i="3"/>
  <c r="D41" i="3"/>
  <c r="P41" i="3"/>
  <c r="F130" i="3"/>
  <c r="N130" i="3" s="1"/>
  <c r="Y155" i="2"/>
  <c r="Z155" i="2" s="1"/>
  <c r="AA155" i="2" s="1"/>
  <c r="AC155" i="2" s="1"/>
  <c r="H130" i="3" s="1"/>
  <c r="E26" i="3"/>
  <c r="M26" i="3" s="1"/>
  <c r="X30" i="2"/>
  <c r="F86" i="3"/>
  <c r="N86" i="3" s="1"/>
  <c r="Y110" i="2"/>
  <c r="Z110" i="2" s="1"/>
  <c r="AA110" i="2" s="1"/>
  <c r="AC110" i="2" s="1"/>
  <c r="H86" i="3" s="1"/>
  <c r="F202" i="3"/>
  <c r="N202" i="3" s="1"/>
  <c r="Y227" i="2"/>
  <c r="Z227" i="2" s="1"/>
  <c r="AA227" i="2" s="1"/>
  <c r="AC227" i="2" s="1"/>
  <c r="H202" i="3" s="1"/>
  <c r="V112" i="2"/>
  <c r="W112" i="2" s="1"/>
  <c r="E81" i="3"/>
  <c r="M81" i="3" s="1"/>
  <c r="X103" i="2"/>
  <c r="E87" i="3"/>
  <c r="M87" i="3" s="1"/>
  <c r="X111" i="2"/>
  <c r="G129" i="3"/>
  <c r="O129" i="3" s="1"/>
  <c r="AC154" i="2"/>
  <c r="H129" i="3" s="1"/>
  <c r="F154" i="3"/>
  <c r="N154" i="3" s="1"/>
  <c r="Y179" i="2"/>
  <c r="Z179" i="2" s="1"/>
  <c r="AA179" i="2" s="1"/>
  <c r="AC179" i="2" s="1"/>
  <c r="H154" i="3" s="1"/>
  <c r="V139" i="2"/>
  <c r="W139" i="2" s="1"/>
  <c r="E165" i="3"/>
  <c r="M165" i="3" s="1"/>
  <c r="X190" i="2"/>
  <c r="F117" i="3"/>
  <c r="N117" i="3" s="1"/>
  <c r="Y141" i="2"/>
  <c r="Z141" i="2" s="1"/>
  <c r="AA141" i="2" s="1"/>
  <c r="AC141" i="2" s="1"/>
  <c r="H117" i="3" s="1"/>
  <c r="F162" i="3"/>
  <c r="N162" i="3" s="1"/>
  <c r="Y187" i="2"/>
  <c r="Z187" i="2" s="1"/>
  <c r="AA187" i="2" s="1"/>
  <c r="AC187" i="2" s="1"/>
  <c r="H162" i="3" s="1"/>
  <c r="F21" i="3"/>
  <c r="N21" i="3" s="1"/>
  <c r="Y25" i="2"/>
  <c r="Z25" i="2" s="1"/>
  <c r="AA25" i="2" s="1"/>
  <c r="AC25" i="2" s="1"/>
  <c r="H21" i="3" s="1"/>
  <c r="F22" i="3"/>
  <c r="N22" i="3" s="1"/>
  <c r="Y26" i="2"/>
  <c r="Z26" i="2" s="1"/>
  <c r="AA26" i="2" s="1"/>
  <c r="AC26" i="2" s="1"/>
  <c r="H22" i="3" s="1"/>
  <c r="F109" i="3"/>
  <c r="N109" i="3" s="1"/>
  <c r="Y133" i="2"/>
  <c r="Z133" i="2" s="1"/>
  <c r="AA133" i="2" s="1"/>
  <c r="AC133" i="2" s="1"/>
  <c r="H109" i="3" s="1"/>
  <c r="E116" i="3"/>
  <c r="M116" i="3" s="1"/>
  <c r="X140" i="2"/>
  <c r="E123" i="3"/>
  <c r="M123" i="3" s="1"/>
  <c r="X147" i="2"/>
  <c r="F203" i="3"/>
  <c r="N203" i="3" s="1"/>
  <c r="Y228" i="2"/>
  <c r="Z228" i="2" s="1"/>
  <c r="AA228" i="2" s="1"/>
  <c r="AC228" i="2" s="1"/>
  <c r="H203" i="3" s="1"/>
  <c r="E171" i="3"/>
  <c r="M171" i="3" s="1"/>
  <c r="X196" i="2"/>
  <c r="E60" i="3"/>
  <c r="M60" i="3" s="1"/>
  <c r="X69" i="2"/>
  <c r="E118" i="3"/>
  <c r="M118" i="3" s="1"/>
  <c r="X142" i="2"/>
  <c r="E67" i="3"/>
  <c r="M67" i="3" s="1"/>
  <c r="X81" i="2"/>
  <c r="F24" i="3"/>
  <c r="N24" i="3" s="1"/>
  <c r="Y28" i="2"/>
  <c r="Z28" i="2" s="1"/>
  <c r="AA28" i="2" s="1"/>
  <c r="AC28" i="2" s="1"/>
  <c r="H24" i="3" s="1"/>
  <c r="P30" i="3"/>
  <c r="D30" i="3"/>
  <c r="F97" i="3"/>
  <c r="N97" i="3" s="1"/>
  <c r="Y121" i="2"/>
  <c r="Z121" i="2" s="1"/>
  <c r="AA121" i="2" s="1"/>
  <c r="AC121" i="2" s="1"/>
  <c r="H97" i="3" s="1"/>
  <c r="F9" i="3"/>
  <c r="N9" i="3" s="1"/>
  <c r="Y13" i="2"/>
  <c r="Z13" i="2" s="1"/>
  <c r="AA13" i="2" s="1"/>
  <c r="AC13" i="2" s="1"/>
  <c r="P40" i="3"/>
  <c r="D40" i="3"/>
  <c r="F96" i="3"/>
  <c r="N96" i="3" s="1"/>
  <c r="Y120" i="2"/>
  <c r="Z120" i="2" s="1"/>
  <c r="AA120" i="2" s="1"/>
  <c r="AC120" i="2" s="1"/>
  <c r="H96" i="3" s="1"/>
  <c r="E151" i="3"/>
  <c r="M151" i="3" s="1"/>
  <c r="X176" i="2"/>
  <c r="E126" i="3"/>
  <c r="M126" i="3" s="1"/>
  <c r="X151" i="2"/>
  <c r="E163" i="3"/>
  <c r="M163" i="3" s="1"/>
  <c r="X188" i="2"/>
  <c r="E159" i="3"/>
  <c r="M159" i="3" s="1"/>
  <c r="X184" i="2"/>
  <c r="V185" i="2"/>
  <c r="W185" i="2" s="1"/>
  <c r="G148" i="3"/>
  <c r="O148" i="3" s="1"/>
  <c r="AC173" i="2"/>
  <c r="H148" i="3" s="1"/>
  <c r="V127" i="2"/>
  <c r="W127" i="2" s="1"/>
  <c r="E195" i="3"/>
  <c r="M195" i="3" s="1"/>
  <c r="X220" i="2"/>
  <c r="AD34" i="2"/>
  <c r="P32" i="3"/>
  <c r="D32" i="3"/>
  <c r="F36" i="3"/>
  <c r="N36" i="3" s="1"/>
  <c r="Y40" i="2"/>
  <c r="Z40" i="2" s="1"/>
  <c r="AA40" i="2" s="1"/>
  <c r="AC40" i="2" s="1"/>
  <c r="H36" i="3" s="1"/>
  <c r="F57" i="3"/>
  <c r="N57" i="3" s="1"/>
  <c r="Y66" i="2"/>
  <c r="Z66" i="2" s="1"/>
  <c r="AA66" i="2" s="1"/>
  <c r="AC66" i="2" s="1"/>
  <c r="H57" i="3" s="1"/>
  <c r="E138" i="3"/>
  <c r="M138" i="3" s="1"/>
  <c r="X163" i="2"/>
  <c r="E220" i="3"/>
  <c r="M220" i="3" s="1"/>
  <c r="X246" i="2"/>
  <c r="E193" i="3"/>
  <c r="M193" i="3" s="1"/>
  <c r="X218" i="2"/>
  <c r="E124" i="3"/>
  <c r="M124" i="3" s="1"/>
  <c r="X149" i="2"/>
  <c r="F161" i="3"/>
  <c r="N161" i="3" s="1"/>
  <c r="Y186" i="2"/>
  <c r="Z186" i="2" s="1"/>
  <c r="AA186" i="2" s="1"/>
  <c r="AC186" i="2" s="1"/>
  <c r="H161" i="3" s="1"/>
  <c r="E80" i="3"/>
  <c r="M80" i="3" s="1"/>
  <c r="X102" i="2"/>
  <c r="E49" i="3"/>
  <c r="M49" i="3" s="1"/>
  <c r="X58" i="2"/>
  <c r="F186" i="3"/>
  <c r="N186" i="3" s="1"/>
  <c r="Y211" i="2"/>
  <c r="Z211" i="2" s="1"/>
  <c r="AA211" i="2" s="1"/>
  <c r="AC211" i="2" s="1"/>
  <c r="H186" i="3" s="1"/>
  <c r="F8" i="3"/>
  <c r="N8" i="3" s="1"/>
  <c r="Y12" i="2"/>
  <c r="Z12" i="2" s="1"/>
  <c r="AA12" i="2" s="1"/>
  <c r="AC12" i="2" s="1"/>
  <c r="F15" i="3"/>
  <c r="N15" i="3" s="1"/>
  <c r="Y19" i="2"/>
  <c r="Z19" i="2" s="1"/>
  <c r="AA19" i="2" s="1"/>
  <c r="AC19" i="2" s="1"/>
  <c r="H15" i="3" s="1"/>
  <c r="F69" i="3"/>
  <c r="N69" i="3" s="1"/>
  <c r="Y83" i="2"/>
  <c r="Z83" i="2" s="1"/>
  <c r="AA83" i="2" s="1"/>
  <c r="AC83" i="2" s="1"/>
  <c r="H69" i="3" s="1"/>
  <c r="F12" i="3"/>
  <c r="N12" i="3" s="1"/>
  <c r="Y16" i="2"/>
  <c r="Z16" i="2" s="1"/>
  <c r="AA16" i="2" s="1"/>
  <c r="AC16" i="2" s="1"/>
  <c r="F70" i="3"/>
  <c r="N70" i="3" s="1"/>
  <c r="Y84" i="2"/>
  <c r="Z84" i="2" s="1"/>
  <c r="AA84" i="2" s="1"/>
  <c r="AC84" i="2" s="1"/>
  <c r="H70" i="3" s="1"/>
  <c r="F51" i="3"/>
  <c r="N51" i="3" s="1"/>
  <c r="Y60" i="2"/>
  <c r="Z60" i="2" s="1"/>
  <c r="AA60" i="2" s="1"/>
  <c r="AC60" i="2" s="1"/>
  <c r="H51" i="3" s="1"/>
  <c r="E199" i="3"/>
  <c r="M199" i="3" s="1"/>
  <c r="X224" i="2"/>
  <c r="E113" i="3"/>
  <c r="M113" i="3" s="1"/>
  <c r="X137" i="2"/>
  <c r="F198" i="3"/>
  <c r="N198" i="3" s="1"/>
  <c r="Y223" i="2"/>
  <c r="Z223" i="2" s="1"/>
  <c r="AA223" i="2" s="1"/>
  <c r="AC223" i="2" s="1"/>
  <c r="H198" i="3" s="1"/>
  <c r="E200" i="3"/>
  <c r="M200" i="3" s="1"/>
  <c r="X225" i="2"/>
  <c r="F223" i="3"/>
  <c r="N223" i="3" s="1"/>
  <c r="Y249" i="2"/>
  <c r="Z249" i="2" s="1"/>
  <c r="AA249" i="2" s="1"/>
  <c r="AC249" i="2" s="1"/>
  <c r="H223" i="3" s="1"/>
  <c r="V45" i="2"/>
  <c r="W45" i="2" s="1"/>
  <c r="X45" i="2" s="1"/>
  <c r="Y45" i="2" s="1"/>
  <c r="Z45" i="2" s="1"/>
  <c r="AA45" i="2" s="1"/>
  <c r="AC45" i="2" s="1"/>
  <c r="G62" i="3"/>
  <c r="O62" i="3" s="1"/>
  <c r="AC71" i="2"/>
  <c r="H62" i="3" s="1"/>
  <c r="E78" i="3"/>
  <c r="M78" i="3" s="1"/>
  <c r="X99" i="2"/>
  <c r="F18" i="3"/>
  <c r="N18" i="3" s="1"/>
  <c r="Y22" i="2"/>
  <c r="Z22" i="2" s="1"/>
  <c r="AA22" i="2" s="1"/>
  <c r="AC22" i="2" s="1"/>
  <c r="H18" i="3" s="1"/>
  <c r="D31" i="3"/>
  <c r="P31" i="3"/>
  <c r="F25" i="3"/>
  <c r="N25" i="3" s="1"/>
  <c r="Y29" i="2"/>
  <c r="Z29" i="2" s="1"/>
  <c r="AA29" i="2" s="1"/>
  <c r="AC29" i="2" s="1"/>
  <c r="H25" i="3" s="1"/>
  <c r="F56" i="3"/>
  <c r="N56" i="3" s="1"/>
  <c r="Y65" i="2"/>
  <c r="Z65" i="2" s="1"/>
  <c r="AA65" i="2" s="1"/>
  <c r="AC65" i="2" s="1"/>
  <c r="H56" i="3" s="1"/>
  <c r="F215" i="3"/>
  <c r="N215" i="3" s="1"/>
  <c r="Y240" i="2"/>
  <c r="Z240" i="2" s="1"/>
  <c r="AA240" i="2" s="1"/>
  <c r="AC240" i="2" s="1"/>
  <c r="H215" i="3" s="1"/>
  <c r="D28" i="3"/>
  <c r="P28" i="3"/>
  <c r="E143" i="3"/>
  <c r="M143" i="3" s="1"/>
  <c r="X168" i="2"/>
  <c r="E194" i="3"/>
  <c r="M194" i="3" s="1"/>
  <c r="X219" i="2"/>
  <c r="E225" i="3"/>
  <c r="M225" i="3" s="1"/>
  <c r="X251" i="2"/>
  <c r="E189" i="3"/>
  <c r="M189" i="3" s="1"/>
  <c r="X214" i="2"/>
  <c r="E219" i="3"/>
  <c r="M219" i="3" s="1"/>
  <c r="X245" i="2"/>
  <c r="E177" i="3"/>
  <c r="M177" i="3" s="1"/>
  <c r="X202" i="2"/>
  <c r="V128" i="2"/>
  <c r="W128" i="2" s="1"/>
  <c r="E183" i="3"/>
  <c r="M183" i="3" s="1"/>
  <c r="X208" i="2"/>
  <c r="E102" i="3"/>
  <c r="M102" i="3" s="1"/>
  <c r="X126" i="2"/>
  <c r="E50" i="3"/>
  <c r="M50" i="3" s="1"/>
  <c r="X59" i="2"/>
  <c r="F167" i="3"/>
  <c r="N167" i="3" s="1"/>
  <c r="Y192" i="2"/>
  <c r="Z192" i="2" s="1"/>
  <c r="AA192" i="2" s="1"/>
  <c r="AC192" i="2" s="1"/>
  <c r="H167" i="3" s="1"/>
  <c r="E85" i="3"/>
  <c r="M85" i="3" s="1"/>
  <c r="X109" i="2"/>
  <c r="F110" i="3"/>
  <c r="N110" i="3" s="1"/>
  <c r="Y134" i="2"/>
  <c r="Z134" i="2" s="1"/>
  <c r="AA134" i="2" s="1"/>
  <c r="AC134" i="2" s="1"/>
  <c r="H110" i="3" s="1"/>
  <c r="F13" i="3"/>
  <c r="N13" i="3" s="1"/>
  <c r="Y17" i="2"/>
  <c r="Z17" i="2" s="1"/>
  <c r="AA17" i="2" s="1"/>
  <c r="AC17" i="2" s="1"/>
  <c r="F226" i="3"/>
  <c r="N226" i="3" s="1"/>
  <c r="Y252" i="2"/>
  <c r="Z252" i="2" s="1"/>
  <c r="AA252" i="2" s="1"/>
  <c r="AC252" i="2" s="1"/>
  <c r="H226" i="3" s="1"/>
  <c r="F38" i="3"/>
  <c r="N38" i="3" s="1"/>
  <c r="Y42" i="2"/>
  <c r="Z42" i="2" s="1"/>
  <c r="AA42" i="2" s="1"/>
  <c r="AC42" i="2" s="1"/>
  <c r="H38" i="3" s="1"/>
  <c r="F2" i="3"/>
  <c r="N2" i="3" s="1"/>
  <c r="Y6" i="2"/>
  <c r="Z6" i="2" s="1"/>
  <c r="AA6" i="2" s="1"/>
  <c r="AC6" i="2" s="1"/>
  <c r="F54" i="3"/>
  <c r="N54" i="3" s="1"/>
  <c r="Y63" i="2"/>
  <c r="Z63" i="2" s="1"/>
  <c r="AA63" i="2" s="1"/>
  <c r="AC63" i="2" s="1"/>
  <c r="H54" i="3" s="1"/>
  <c r="E108" i="3"/>
  <c r="M108" i="3" s="1"/>
  <c r="X132" i="2"/>
  <c r="E145" i="3"/>
  <c r="M145" i="3" s="1"/>
  <c r="X170" i="2"/>
  <c r="E197" i="3"/>
  <c r="M197" i="3" s="1"/>
  <c r="X222" i="2"/>
  <c r="F150" i="3"/>
  <c r="N150" i="3" s="1"/>
  <c r="Y175" i="2"/>
  <c r="Z175" i="2" s="1"/>
  <c r="AA175" i="2" s="1"/>
  <c r="AC175" i="2" s="1"/>
  <c r="H150" i="3" s="1"/>
  <c r="G212" i="3"/>
  <c r="O212" i="3" s="1"/>
  <c r="AC237" i="2"/>
  <c r="H212" i="3" s="1"/>
  <c r="E196" i="3"/>
  <c r="M196" i="3" s="1"/>
  <c r="X221" i="2"/>
  <c r="E192" i="3"/>
  <c r="M192" i="3" s="1"/>
  <c r="X217" i="2"/>
  <c r="G127" i="3"/>
  <c r="O127" i="3" s="1"/>
  <c r="AC152" i="2"/>
  <c r="H127" i="3" s="1"/>
  <c r="E173" i="3"/>
  <c r="M173" i="3" s="1"/>
  <c r="X198" i="2"/>
  <c r="E170" i="3"/>
  <c r="M170" i="3" s="1"/>
  <c r="X195" i="2"/>
  <c r="V72" i="2"/>
  <c r="AB72" i="2" s="1"/>
  <c r="E39" i="3"/>
  <c r="M39" i="3" s="1"/>
  <c r="X43" i="2"/>
  <c r="E76" i="3"/>
  <c r="M76" i="3" s="1"/>
  <c r="X97" i="2"/>
  <c r="F157" i="3"/>
  <c r="N157" i="3" s="1"/>
  <c r="Y182" i="2"/>
  <c r="Z182" i="2" s="1"/>
  <c r="AA182" i="2" s="1"/>
  <c r="AC182" i="2" s="1"/>
  <c r="H157" i="3" s="1"/>
  <c r="F7" i="3"/>
  <c r="N7" i="3" s="1"/>
  <c r="Y11" i="2"/>
  <c r="Z11" i="2" s="1"/>
  <c r="AA11" i="2" s="1"/>
  <c r="AC11" i="2" s="1"/>
  <c r="F132" i="3"/>
  <c r="N132" i="3" s="1"/>
  <c r="Y157" i="2"/>
  <c r="Z157" i="2" s="1"/>
  <c r="AA157" i="2" s="1"/>
  <c r="AC157" i="2" s="1"/>
  <c r="H132" i="3" s="1"/>
  <c r="F82" i="3"/>
  <c r="N82" i="3" s="1"/>
  <c r="Y104" i="2"/>
  <c r="Z104" i="2" s="1"/>
  <c r="AA104" i="2" s="1"/>
  <c r="AC104" i="2" s="1"/>
  <c r="H82" i="3" s="1"/>
  <c r="F147" i="3"/>
  <c r="N147" i="3" s="1"/>
  <c r="Y172" i="2"/>
  <c r="Z172" i="2" s="1"/>
  <c r="AA172" i="2" s="1"/>
  <c r="AC172" i="2" s="1"/>
  <c r="H147" i="3" s="1"/>
  <c r="E144" i="3"/>
  <c r="M144" i="3" s="1"/>
  <c r="X169" i="2"/>
  <c r="E142" i="3"/>
  <c r="M142" i="3" s="1"/>
  <c r="X167" i="2"/>
  <c r="E71" i="3"/>
  <c r="M71" i="3" s="1"/>
  <c r="X85" i="2"/>
  <c r="F106" i="3"/>
  <c r="N106" i="3" s="1"/>
  <c r="Y130" i="2"/>
  <c r="Z130" i="2" s="1"/>
  <c r="AA130" i="2" s="1"/>
  <c r="AC130" i="2" s="1"/>
  <c r="H106" i="3" s="1"/>
  <c r="F191" i="3"/>
  <c r="N191" i="3" s="1"/>
  <c r="Y216" i="2"/>
  <c r="Z216" i="2" s="1"/>
  <c r="AA216" i="2" s="1"/>
  <c r="AC216" i="2" s="1"/>
  <c r="H191" i="3" s="1"/>
  <c r="F131" i="3"/>
  <c r="N131" i="3" s="1"/>
  <c r="Y156" i="2"/>
  <c r="Z156" i="2" s="1"/>
  <c r="AA156" i="2" s="1"/>
  <c r="AC156" i="2" s="1"/>
  <c r="H131" i="3" s="1"/>
  <c r="P29" i="3"/>
  <c r="D29" i="3"/>
  <c r="F45" i="3"/>
  <c r="N45" i="3" s="1"/>
  <c r="Y54" i="2"/>
  <c r="Z54" i="2" s="1"/>
  <c r="AA54" i="2" s="1"/>
  <c r="AC54" i="2" s="1"/>
  <c r="H45" i="3" s="1"/>
  <c r="F53" i="3"/>
  <c r="N53" i="3" s="1"/>
  <c r="Y62" i="2"/>
  <c r="Z62" i="2" s="1"/>
  <c r="AA62" i="2" s="1"/>
  <c r="AC62" i="2" s="1"/>
  <c r="H53" i="3" s="1"/>
  <c r="E218" i="3"/>
  <c r="M218" i="3" s="1"/>
  <c r="X243" i="2"/>
  <c r="F172" i="3"/>
  <c r="N172" i="3" s="1"/>
  <c r="Y197" i="2"/>
  <c r="Z197" i="2" s="1"/>
  <c r="AA197" i="2" s="1"/>
  <c r="AC197" i="2" s="1"/>
  <c r="H172" i="3" s="1"/>
  <c r="E141" i="3"/>
  <c r="M141" i="3" s="1"/>
  <c r="X166" i="2"/>
  <c r="E217" i="3"/>
  <c r="M217" i="3" s="1"/>
  <c r="X242" i="2"/>
  <c r="E185" i="3"/>
  <c r="M185" i="3" s="1"/>
  <c r="X210" i="2"/>
  <c r="F169" i="3"/>
  <c r="N169" i="3" s="1"/>
  <c r="Y194" i="2"/>
  <c r="Z194" i="2" s="1"/>
  <c r="AA194" i="2" s="1"/>
  <c r="AC194" i="2" s="1"/>
  <c r="H169" i="3" s="1"/>
  <c r="G52" i="3"/>
  <c r="O52" i="3" s="1"/>
  <c r="AC61" i="2"/>
  <c r="H52" i="3" s="1"/>
  <c r="AD33" i="2"/>
  <c r="F100" i="3"/>
  <c r="N100" i="3" s="1"/>
  <c r="Y124" i="2"/>
  <c r="Z124" i="2" s="1"/>
  <c r="AA124" i="2" s="1"/>
  <c r="AC124" i="2" s="1"/>
  <c r="H100" i="3" s="1"/>
  <c r="F133" i="3"/>
  <c r="N133" i="3" s="1"/>
  <c r="Y158" i="2"/>
  <c r="Z158" i="2" s="1"/>
  <c r="AA158" i="2" s="1"/>
  <c r="AC158" i="2" s="1"/>
  <c r="H133" i="3" s="1"/>
  <c r="F151" i="3" l="1"/>
  <c r="N151" i="3" s="1"/>
  <c r="Y176" i="2"/>
  <c r="Z176" i="2" s="1"/>
  <c r="AA176" i="2" s="1"/>
  <c r="AC176" i="2" s="1"/>
  <c r="H151" i="3" s="1"/>
  <c r="D106" i="3"/>
  <c r="P106" i="3"/>
  <c r="E104" i="3"/>
  <c r="M104" i="3" s="1"/>
  <c r="X128" i="2"/>
  <c r="P154" i="3"/>
  <c r="D154" i="3"/>
  <c r="D172" i="3"/>
  <c r="P172" i="3"/>
  <c r="F71" i="3"/>
  <c r="N71" i="3" s="1"/>
  <c r="Y85" i="2"/>
  <c r="Z85" i="2" s="1"/>
  <c r="AA85" i="2" s="1"/>
  <c r="AC85" i="2" s="1"/>
  <c r="H71" i="3" s="1"/>
  <c r="F76" i="3"/>
  <c r="N76" i="3" s="1"/>
  <c r="Y97" i="2"/>
  <c r="Z97" i="2" s="1"/>
  <c r="AA97" i="2" s="1"/>
  <c r="AC97" i="2" s="1"/>
  <c r="H76" i="3" s="1"/>
  <c r="F177" i="3"/>
  <c r="N177" i="3" s="1"/>
  <c r="Y202" i="2"/>
  <c r="Z202" i="2" s="1"/>
  <c r="AA202" i="2" s="1"/>
  <c r="AC202" i="2" s="1"/>
  <c r="H177" i="3" s="1"/>
  <c r="P56" i="3"/>
  <c r="D56" i="3"/>
  <c r="F159" i="3"/>
  <c r="N159" i="3" s="1"/>
  <c r="Y184" i="2"/>
  <c r="Z184" i="2" s="1"/>
  <c r="AA184" i="2" s="1"/>
  <c r="AC184" i="2" s="1"/>
  <c r="H159" i="3" s="1"/>
  <c r="F116" i="3"/>
  <c r="N116" i="3" s="1"/>
  <c r="Y140" i="2"/>
  <c r="Z140" i="2" s="1"/>
  <c r="AA140" i="2" s="1"/>
  <c r="AC140" i="2" s="1"/>
  <c r="H116" i="3" s="1"/>
  <c r="H14" i="3"/>
  <c r="AD18" i="2"/>
  <c r="P16" i="3"/>
  <c r="D16" i="3"/>
  <c r="F72" i="3"/>
  <c r="N72" i="3" s="1"/>
  <c r="Y93" i="2"/>
  <c r="Z93" i="2" s="1"/>
  <c r="AA93" i="2" s="1"/>
  <c r="AC93" i="2" s="1"/>
  <c r="H72" i="3" s="1"/>
  <c r="F66" i="3"/>
  <c r="N66" i="3" s="1"/>
  <c r="Y80" i="2"/>
  <c r="Z80" i="2" s="1"/>
  <c r="AA80" i="2" s="1"/>
  <c r="AC80" i="2" s="1"/>
  <c r="H66" i="3" s="1"/>
  <c r="F187" i="3"/>
  <c r="N187" i="3" s="1"/>
  <c r="Y212" i="2"/>
  <c r="Z212" i="2" s="1"/>
  <c r="AA212" i="2" s="1"/>
  <c r="AC212" i="2" s="1"/>
  <c r="H187" i="3" s="1"/>
  <c r="D216" i="3"/>
  <c r="P216" i="3"/>
  <c r="F19" i="3"/>
  <c r="N19" i="3" s="1"/>
  <c r="Y23" i="2"/>
  <c r="Z23" i="2" s="1"/>
  <c r="AA23" i="2" s="1"/>
  <c r="AC23" i="2" s="1"/>
  <c r="D52" i="3"/>
  <c r="P52" i="3"/>
  <c r="P212" i="3"/>
  <c r="D212" i="3"/>
  <c r="E160" i="3"/>
  <c r="M160" i="3" s="1"/>
  <c r="X185" i="2"/>
  <c r="D150" i="3"/>
  <c r="P150" i="3"/>
  <c r="H13" i="3"/>
  <c r="AD17" i="2"/>
  <c r="D198" i="3"/>
  <c r="P198" i="3"/>
  <c r="H8" i="3"/>
  <c r="AD12" i="2"/>
  <c r="F138" i="3"/>
  <c r="N138" i="3" s="1"/>
  <c r="Y163" i="2"/>
  <c r="Z163" i="2" s="1"/>
  <c r="AA163" i="2" s="1"/>
  <c r="AC163" i="2" s="1"/>
  <c r="H138" i="3" s="1"/>
  <c r="D129" i="3"/>
  <c r="P129" i="3"/>
  <c r="D164" i="3"/>
  <c r="P164" i="3"/>
  <c r="P119" i="3"/>
  <c r="D119" i="3"/>
  <c r="D83" i="3"/>
  <c r="P83" i="3"/>
  <c r="F105" i="3"/>
  <c r="N105" i="3" s="1"/>
  <c r="Y129" i="2"/>
  <c r="Z129" i="2" s="1"/>
  <c r="AA129" i="2" s="1"/>
  <c r="AC129" i="2" s="1"/>
  <c r="H105" i="3" s="1"/>
  <c r="D84" i="3"/>
  <c r="P84" i="3"/>
  <c r="F218" i="3"/>
  <c r="N218" i="3" s="1"/>
  <c r="Y243" i="2"/>
  <c r="Z243" i="2" s="1"/>
  <c r="AA243" i="2" s="1"/>
  <c r="AC243" i="2" s="1"/>
  <c r="H218" i="3" s="1"/>
  <c r="F39" i="3"/>
  <c r="N39" i="3" s="1"/>
  <c r="Y43" i="2"/>
  <c r="Z43" i="2" s="1"/>
  <c r="AA43" i="2" s="1"/>
  <c r="AC43" i="2" s="1"/>
  <c r="H39" i="3" s="1"/>
  <c r="F219" i="3"/>
  <c r="N219" i="3" s="1"/>
  <c r="Y245" i="2"/>
  <c r="Z245" i="2" s="1"/>
  <c r="AA245" i="2" s="1"/>
  <c r="AC245" i="2" s="1"/>
  <c r="H219" i="3" s="1"/>
  <c r="D25" i="3"/>
  <c r="P25" i="3"/>
  <c r="F163" i="3"/>
  <c r="N163" i="3" s="1"/>
  <c r="Y188" i="2"/>
  <c r="Z188" i="2" s="1"/>
  <c r="AA188" i="2" s="1"/>
  <c r="AC188" i="2" s="1"/>
  <c r="H163" i="3" s="1"/>
  <c r="P24" i="3"/>
  <c r="D24" i="3"/>
  <c r="D109" i="3"/>
  <c r="P109" i="3"/>
  <c r="D210" i="3"/>
  <c r="P210" i="3"/>
  <c r="H4" i="3"/>
  <c r="AD8" i="2"/>
  <c r="P146" i="3"/>
  <c r="D146" i="3"/>
  <c r="D211" i="3"/>
  <c r="P211" i="3"/>
  <c r="F188" i="3"/>
  <c r="N188" i="3" s="1"/>
  <c r="Y213" i="2"/>
  <c r="Z213" i="2" s="1"/>
  <c r="AA213" i="2" s="1"/>
  <c r="AC213" i="2" s="1"/>
  <c r="H188" i="3" s="1"/>
  <c r="F180" i="3"/>
  <c r="N180" i="3" s="1"/>
  <c r="Y205" i="2"/>
  <c r="Z205" i="2" s="1"/>
  <c r="AA205" i="2" s="1"/>
  <c r="AC205" i="2" s="1"/>
  <c r="H180" i="3" s="1"/>
  <c r="F37" i="3"/>
  <c r="N37" i="3" s="1"/>
  <c r="Y41" i="2"/>
  <c r="Z41" i="2" s="1"/>
  <c r="AA41" i="2" s="1"/>
  <c r="AC41" i="2" s="1"/>
  <c r="H37" i="3" s="1"/>
  <c r="F58" i="3"/>
  <c r="N58" i="3" s="1"/>
  <c r="Y67" i="2"/>
  <c r="Z67" i="2" s="1"/>
  <c r="AA67" i="2" s="1"/>
  <c r="AC67" i="2" s="1"/>
  <c r="H58" i="3" s="1"/>
  <c r="F225" i="3"/>
  <c r="N225" i="3" s="1"/>
  <c r="Y251" i="2"/>
  <c r="Z251" i="2" s="1"/>
  <c r="AA251" i="2" s="1"/>
  <c r="AC251" i="2" s="1"/>
  <c r="H225" i="3" s="1"/>
  <c r="F176" i="3"/>
  <c r="N176" i="3" s="1"/>
  <c r="Y201" i="2"/>
  <c r="Z201" i="2" s="1"/>
  <c r="AA201" i="2" s="1"/>
  <c r="AC201" i="2" s="1"/>
  <c r="H176" i="3" s="1"/>
  <c r="D215" i="3"/>
  <c r="P215" i="3"/>
  <c r="D15" i="3"/>
  <c r="P15" i="3"/>
  <c r="F142" i="3"/>
  <c r="N142" i="3" s="1"/>
  <c r="Y167" i="2"/>
  <c r="Z167" i="2" s="1"/>
  <c r="AA167" i="2" s="1"/>
  <c r="AC167" i="2" s="1"/>
  <c r="H142" i="3" s="1"/>
  <c r="D100" i="3"/>
  <c r="P100" i="3"/>
  <c r="F197" i="3"/>
  <c r="N197" i="3" s="1"/>
  <c r="Y222" i="2"/>
  <c r="Z222" i="2" s="1"/>
  <c r="AA222" i="2" s="1"/>
  <c r="AC222" i="2" s="1"/>
  <c r="H197" i="3" s="1"/>
  <c r="P110" i="3"/>
  <c r="D110" i="3"/>
  <c r="F113" i="3"/>
  <c r="N113" i="3" s="1"/>
  <c r="Y137" i="2"/>
  <c r="Z137" i="2" s="1"/>
  <c r="AA137" i="2" s="1"/>
  <c r="AC137" i="2" s="1"/>
  <c r="H113" i="3" s="1"/>
  <c r="D186" i="3"/>
  <c r="P186" i="3"/>
  <c r="D57" i="3"/>
  <c r="P57" i="3"/>
  <c r="F87" i="3"/>
  <c r="N87" i="3" s="1"/>
  <c r="Y111" i="2"/>
  <c r="Z111" i="2" s="1"/>
  <c r="AA111" i="2" s="1"/>
  <c r="AC111" i="2" s="1"/>
  <c r="H87" i="3" s="1"/>
  <c r="F134" i="3"/>
  <c r="N134" i="3" s="1"/>
  <c r="Y159" i="2"/>
  <c r="Z159" i="2" s="1"/>
  <c r="AA159" i="2" s="1"/>
  <c r="AC159" i="2" s="1"/>
  <c r="H134" i="3" s="1"/>
  <c r="F79" i="3"/>
  <c r="N79" i="3" s="1"/>
  <c r="Y101" i="2"/>
  <c r="Z101" i="2" s="1"/>
  <c r="AA101" i="2" s="1"/>
  <c r="AC101" i="2" s="1"/>
  <c r="H79" i="3" s="1"/>
  <c r="P221" i="3"/>
  <c r="D221" i="3"/>
  <c r="F140" i="3"/>
  <c r="N140" i="3" s="1"/>
  <c r="Y165" i="2"/>
  <c r="Z165" i="2" s="1"/>
  <c r="AA165" i="2" s="1"/>
  <c r="AC165" i="2" s="1"/>
  <c r="H140" i="3" s="1"/>
  <c r="E114" i="3"/>
  <c r="M114" i="3" s="1"/>
  <c r="X138" i="2"/>
  <c r="F144" i="3"/>
  <c r="N144" i="3" s="1"/>
  <c r="Y169" i="2"/>
  <c r="Z169" i="2" s="1"/>
  <c r="AA169" i="2" s="1"/>
  <c r="AC169" i="2" s="1"/>
  <c r="H144" i="3" s="1"/>
  <c r="F189" i="3"/>
  <c r="N189" i="3" s="1"/>
  <c r="Y214" i="2"/>
  <c r="Z214" i="2" s="1"/>
  <c r="AA214" i="2" s="1"/>
  <c r="AC214" i="2" s="1"/>
  <c r="H189" i="3" s="1"/>
  <c r="F126" i="3"/>
  <c r="N126" i="3" s="1"/>
  <c r="Y151" i="2"/>
  <c r="Z151" i="2" s="1"/>
  <c r="AA151" i="2" s="1"/>
  <c r="AC151" i="2" s="1"/>
  <c r="H126" i="3" s="1"/>
  <c r="F67" i="3"/>
  <c r="N67" i="3" s="1"/>
  <c r="Y81" i="2"/>
  <c r="Z81" i="2" s="1"/>
  <c r="AA81" i="2" s="1"/>
  <c r="AC81" i="2" s="1"/>
  <c r="H67" i="3" s="1"/>
  <c r="D22" i="3"/>
  <c r="P22" i="3"/>
  <c r="P112" i="3"/>
  <c r="D112" i="3"/>
  <c r="D73" i="3"/>
  <c r="P73" i="3"/>
  <c r="P17" i="3"/>
  <c r="D17" i="3"/>
  <c r="D44" i="3"/>
  <c r="P44" i="3"/>
  <c r="D213" i="3"/>
  <c r="P213" i="3"/>
  <c r="D46" i="3"/>
  <c r="P46" i="3"/>
  <c r="F3" i="3"/>
  <c r="N3" i="3" s="1"/>
  <c r="Y7" i="2"/>
  <c r="Z7" i="2" s="1"/>
  <c r="AA7" i="2" s="1"/>
  <c r="AC7" i="2" s="1"/>
  <c r="F43" i="3"/>
  <c r="N43" i="3" s="1"/>
  <c r="Y52" i="2"/>
  <c r="Z52" i="2" s="1"/>
  <c r="AA52" i="2" s="1"/>
  <c r="AC52" i="2" s="1"/>
  <c r="H43" i="3" s="1"/>
  <c r="F152" i="3"/>
  <c r="N152" i="3" s="1"/>
  <c r="Y177" i="2"/>
  <c r="Z177" i="2" s="1"/>
  <c r="AA177" i="2" s="1"/>
  <c r="AC177" i="2" s="1"/>
  <c r="H152" i="3" s="1"/>
  <c r="P18" i="3"/>
  <c r="D18" i="3"/>
  <c r="F206" i="3"/>
  <c r="N206" i="3" s="1"/>
  <c r="Y231" i="2"/>
  <c r="Z231" i="2" s="1"/>
  <c r="AA231" i="2" s="1"/>
  <c r="AC231" i="2" s="1"/>
  <c r="H206" i="3" s="1"/>
  <c r="D97" i="3"/>
  <c r="P97" i="3"/>
  <c r="P133" i="3"/>
  <c r="D133" i="3"/>
  <c r="P53" i="3"/>
  <c r="D53" i="3"/>
  <c r="G63" i="3"/>
  <c r="O63" i="3" s="1"/>
  <c r="AC72" i="2"/>
  <c r="H63" i="3" s="1"/>
  <c r="F170" i="3"/>
  <c r="N170" i="3" s="1"/>
  <c r="Y195" i="2"/>
  <c r="Z195" i="2" s="1"/>
  <c r="AA195" i="2" s="1"/>
  <c r="AC195" i="2" s="1"/>
  <c r="H170" i="3" s="1"/>
  <c r="F145" i="3"/>
  <c r="N145" i="3" s="1"/>
  <c r="Y170" i="2"/>
  <c r="Z170" i="2" s="1"/>
  <c r="AA170" i="2" s="1"/>
  <c r="AC170" i="2" s="1"/>
  <c r="H145" i="3" s="1"/>
  <c r="F85" i="3"/>
  <c r="N85" i="3" s="1"/>
  <c r="Y109" i="2"/>
  <c r="Z109" i="2" s="1"/>
  <c r="AA109" i="2" s="1"/>
  <c r="AC109" i="2" s="1"/>
  <c r="H85" i="3" s="1"/>
  <c r="F199" i="3"/>
  <c r="N199" i="3" s="1"/>
  <c r="Y224" i="2"/>
  <c r="Z224" i="2" s="1"/>
  <c r="AA224" i="2" s="1"/>
  <c r="AC224" i="2" s="1"/>
  <c r="H199" i="3" s="1"/>
  <c r="F49" i="3"/>
  <c r="N49" i="3" s="1"/>
  <c r="Y58" i="2"/>
  <c r="Z58" i="2" s="1"/>
  <c r="AA58" i="2" s="1"/>
  <c r="AC58" i="2" s="1"/>
  <c r="H49" i="3" s="1"/>
  <c r="D36" i="3"/>
  <c r="P36" i="3"/>
  <c r="F81" i="3"/>
  <c r="N81" i="3" s="1"/>
  <c r="Y103" i="2"/>
  <c r="Z103" i="2" s="1"/>
  <c r="AA103" i="2" s="1"/>
  <c r="AC103" i="2" s="1"/>
  <c r="H81" i="3" s="1"/>
  <c r="F89" i="3"/>
  <c r="N89" i="3" s="1"/>
  <c r="Y113" i="2"/>
  <c r="Z113" i="2" s="1"/>
  <c r="AA113" i="2" s="1"/>
  <c r="AC113" i="2" s="1"/>
  <c r="H89" i="3" s="1"/>
  <c r="P222" i="3"/>
  <c r="D222" i="3"/>
  <c r="P155" i="3"/>
  <c r="D155" i="3"/>
  <c r="F158" i="3"/>
  <c r="N158" i="3" s="1"/>
  <c r="Y183" i="2"/>
  <c r="Z183" i="2" s="1"/>
  <c r="AA183" i="2" s="1"/>
  <c r="AC183" i="2" s="1"/>
  <c r="H158" i="3" s="1"/>
  <c r="F118" i="3"/>
  <c r="N118" i="3" s="1"/>
  <c r="Y142" i="2"/>
  <c r="Z142" i="2" s="1"/>
  <c r="AA142" i="2" s="1"/>
  <c r="AC142" i="2" s="1"/>
  <c r="H118" i="3" s="1"/>
  <c r="F55" i="3"/>
  <c r="N55" i="3" s="1"/>
  <c r="Y64" i="2"/>
  <c r="Z64" i="2" s="1"/>
  <c r="AA64" i="2" s="1"/>
  <c r="AC64" i="2" s="1"/>
  <c r="H55" i="3" s="1"/>
  <c r="P64" i="3"/>
  <c r="D64" i="3"/>
  <c r="F173" i="3"/>
  <c r="N173" i="3" s="1"/>
  <c r="Y198" i="2"/>
  <c r="Z198" i="2" s="1"/>
  <c r="AA198" i="2" s="1"/>
  <c r="AC198" i="2" s="1"/>
  <c r="H173" i="3" s="1"/>
  <c r="F108" i="3"/>
  <c r="N108" i="3" s="1"/>
  <c r="Y132" i="2"/>
  <c r="Z132" i="2" s="1"/>
  <c r="AA132" i="2" s="1"/>
  <c r="AC132" i="2" s="1"/>
  <c r="H108" i="3" s="1"/>
  <c r="D167" i="3"/>
  <c r="P167" i="3"/>
  <c r="D51" i="3"/>
  <c r="P51" i="3"/>
  <c r="F80" i="3"/>
  <c r="N80" i="3" s="1"/>
  <c r="Y102" i="2"/>
  <c r="Z102" i="2" s="1"/>
  <c r="AA102" i="2" s="1"/>
  <c r="AC102" i="2" s="1"/>
  <c r="H80" i="3" s="1"/>
  <c r="E88" i="3"/>
  <c r="M88" i="3" s="1"/>
  <c r="X112" i="2"/>
  <c r="D166" i="3"/>
  <c r="P166" i="3"/>
  <c r="F207" i="3"/>
  <c r="N207" i="3" s="1"/>
  <c r="Y232" i="2"/>
  <c r="Z232" i="2" s="1"/>
  <c r="AA232" i="2" s="1"/>
  <c r="AC232" i="2" s="1"/>
  <c r="H207" i="3" s="1"/>
  <c r="D156" i="3"/>
  <c r="P156" i="3"/>
  <c r="P107" i="3"/>
  <c r="D107" i="3"/>
  <c r="F99" i="3"/>
  <c r="N99" i="3" s="1"/>
  <c r="Y123" i="2"/>
  <c r="Z123" i="2" s="1"/>
  <c r="AA123" i="2" s="1"/>
  <c r="AC123" i="2" s="1"/>
  <c r="H99" i="3" s="1"/>
  <c r="F61" i="3"/>
  <c r="N61" i="3" s="1"/>
  <c r="Y70" i="2"/>
  <c r="Z70" i="2" s="1"/>
  <c r="AA70" i="2" s="1"/>
  <c r="AC70" i="2" s="1"/>
  <c r="H61" i="3" s="1"/>
  <c r="P82" i="3"/>
  <c r="D82" i="3"/>
  <c r="P96" i="3"/>
  <c r="D96" i="3"/>
  <c r="P162" i="3"/>
  <c r="D162" i="3"/>
  <c r="D202" i="3"/>
  <c r="P202" i="3"/>
  <c r="D122" i="3"/>
  <c r="P122" i="3"/>
  <c r="P48" i="3"/>
  <c r="D48" i="3"/>
  <c r="P23" i="3"/>
  <c r="D23" i="3"/>
  <c r="F93" i="3"/>
  <c r="N93" i="3" s="1"/>
  <c r="Y117" i="2"/>
  <c r="Z117" i="2" s="1"/>
  <c r="AA117" i="2" s="1"/>
  <c r="AC117" i="2" s="1"/>
  <c r="H93" i="3" s="1"/>
  <c r="D20" i="3"/>
  <c r="P20" i="3"/>
  <c r="F128" i="3"/>
  <c r="N128" i="3" s="1"/>
  <c r="Y153" i="2"/>
  <c r="Z153" i="2" s="1"/>
  <c r="AA153" i="2" s="1"/>
  <c r="AC153" i="2" s="1"/>
  <c r="H128" i="3" s="1"/>
  <c r="F214" i="3"/>
  <c r="N214" i="3" s="1"/>
  <c r="Y239" i="2"/>
  <c r="Z239" i="2" s="1"/>
  <c r="AA239" i="2" s="1"/>
  <c r="AC239" i="2" s="1"/>
  <c r="H214" i="3" s="1"/>
  <c r="P147" i="3"/>
  <c r="D147" i="3"/>
  <c r="F78" i="3"/>
  <c r="N78" i="3" s="1"/>
  <c r="Y99" i="2"/>
  <c r="Z99" i="2" s="1"/>
  <c r="AA99" i="2" s="1"/>
  <c r="AC99" i="2" s="1"/>
  <c r="H78" i="3" s="1"/>
  <c r="E121" i="3"/>
  <c r="M121" i="3" s="1"/>
  <c r="X145" i="2"/>
  <c r="P149" i="3"/>
  <c r="D149" i="3"/>
  <c r="H5" i="3"/>
  <c r="AD9" i="2"/>
  <c r="F101" i="3"/>
  <c r="N101" i="3" s="1"/>
  <c r="Y125" i="2"/>
  <c r="Z125" i="2" s="1"/>
  <c r="AA125" i="2" s="1"/>
  <c r="AC125" i="2" s="1"/>
  <c r="H101" i="3" s="1"/>
  <c r="P205" i="3"/>
  <c r="D205" i="3"/>
  <c r="F201" i="3"/>
  <c r="N201" i="3" s="1"/>
  <c r="Y226" i="2"/>
  <c r="Z226" i="2" s="1"/>
  <c r="AA226" i="2" s="1"/>
  <c r="AC226" i="2" s="1"/>
  <c r="H201" i="3" s="1"/>
  <c r="P131" i="3"/>
  <c r="D131" i="3"/>
  <c r="D132" i="3"/>
  <c r="P132" i="3"/>
  <c r="F143" i="3"/>
  <c r="N143" i="3" s="1"/>
  <c r="Y168" i="2"/>
  <c r="Z168" i="2" s="1"/>
  <c r="AA168" i="2" s="1"/>
  <c r="AC168" i="2" s="1"/>
  <c r="H143" i="3" s="1"/>
  <c r="D62" i="3"/>
  <c r="P62" i="3"/>
  <c r="F195" i="3"/>
  <c r="N195" i="3" s="1"/>
  <c r="Y220" i="2"/>
  <c r="Z220" i="2" s="1"/>
  <c r="AA220" i="2" s="1"/>
  <c r="AC220" i="2" s="1"/>
  <c r="H195" i="3" s="1"/>
  <c r="F171" i="3"/>
  <c r="N171" i="3" s="1"/>
  <c r="Y196" i="2"/>
  <c r="Z196" i="2" s="1"/>
  <c r="AA196" i="2" s="1"/>
  <c r="AC196" i="2" s="1"/>
  <c r="H171" i="3" s="1"/>
  <c r="P117" i="3"/>
  <c r="D117" i="3"/>
  <c r="D86" i="3"/>
  <c r="P86" i="3"/>
  <c r="F209" i="3"/>
  <c r="N209" i="3" s="1"/>
  <c r="Y234" i="2"/>
  <c r="Z234" i="2" s="1"/>
  <c r="AA234" i="2" s="1"/>
  <c r="AC234" i="2" s="1"/>
  <c r="H209" i="3" s="1"/>
  <c r="F179" i="3"/>
  <c r="N179" i="3" s="1"/>
  <c r="Y204" i="2"/>
  <c r="Z204" i="2" s="1"/>
  <c r="AA204" i="2" s="1"/>
  <c r="AC204" i="2" s="1"/>
  <c r="H179" i="3" s="1"/>
  <c r="F94" i="3"/>
  <c r="N94" i="3" s="1"/>
  <c r="Y118" i="2"/>
  <c r="Z118" i="2" s="1"/>
  <c r="AA118" i="2" s="1"/>
  <c r="AC118" i="2" s="1"/>
  <c r="H94" i="3" s="1"/>
  <c r="D92" i="3"/>
  <c r="P92" i="3"/>
  <c r="F181" i="3"/>
  <c r="N181" i="3" s="1"/>
  <c r="Y206" i="2"/>
  <c r="Z206" i="2" s="1"/>
  <c r="AA206" i="2" s="1"/>
  <c r="AC206" i="2" s="1"/>
  <c r="H181" i="3" s="1"/>
  <c r="H6" i="3"/>
  <c r="AD10" i="2"/>
  <c r="P34" i="3"/>
  <c r="D34" i="3"/>
  <c r="D169" i="3"/>
  <c r="P169" i="3"/>
  <c r="D54" i="3"/>
  <c r="P54" i="3"/>
  <c r="D70" i="3"/>
  <c r="P70" i="3"/>
  <c r="P174" i="3"/>
  <c r="D174" i="3"/>
  <c r="F185" i="3"/>
  <c r="N185" i="3" s="1"/>
  <c r="Y210" i="2"/>
  <c r="Z210" i="2" s="1"/>
  <c r="AA210" i="2" s="1"/>
  <c r="AC210" i="2" s="1"/>
  <c r="H185" i="3" s="1"/>
  <c r="F192" i="3"/>
  <c r="N192" i="3" s="1"/>
  <c r="Y217" i="2"/>
  <c r="Z217" i="2" s="1"/>
  <c r="AA217" i="2" s="1"/>
  <c r="AC217" i="2" s="1"/>
  <c r="H192" i="3" s="1"/>
  <c r="H2" i="3"/>
  <c r="AD6" i="2"/>
  <c r="F102" i="3"/>
  <c r="N102" i="3" s="1"/>
  <c r="Y126" i="2"/>
  <c r="Z126" i="2" s="1"/>
  <c r="AA126" i="2" s="1"/>
  <c r="AC126" i="2" s="1"/>
  <c r="H102" i="3" s="1"/>
  <c r="H12" i="3"/>
  <c r="AD16" i="2"/>
  <c r="F124" i="3"/>
  <c r="N124" i="3" s="1"/>
  <c r="Y149" i="2"/>
  <c r="Z149" i="2" s="1"/>
  <c r="AA149" i="2" s="1"/>
  <c r="AC149" i="2" s="1"/>
  <c r="H124" i="3" s="1"/>
  <c r="P178" i="3"/>
  <c r="D178" i="3"/>
  <c r="P98" i="3"/>
  <c r="D98" i="3"/>
  <c r="P59" i="3"/>
  <c r="D59" i="3"/>
  <c r="F153" i="3"/>
  <c r="N153" i="3" s="1"/>
  <c r="Y178" i="2"/>
  <c r="Z178" i="2" s="1"/>
  <c r="AA178" i="2" s="1"/>
  <c r="AC178" i="2" s="1"/>
  <c r="H153" i="3" s="1"/>
  <c r="F75" i="3"/>
  <c r="N75" i="3" s="1"/>
  <c r="Y96" i="2"/>
  <c r="Z96" i="2" s="1"/>
  <c r="AA96" i="2" s="1"/>
  <c r="AC96" i="2" s="1"/>
  <c r="H75" i="3" s="1"/>
  <c r="F10" i="3"/>
  <c r="N10" i="3" s="1"/>
  <c r="Y14" i="2"/>
  <c r="Z14" i="2" s="1"/>
  <c r="AA14" i="2" s="1"/>
  <c r="AC14" i="2" s="1"/>
  <c r="P21" i="3"/>
  <c r="D21" i="3"/>
  <c r="F194" i="3"/>
  <c r="N194" i="3" s="1"/>
  <c r="Y219" i="2"/>
  <c r="Z219" i="2" s="1"/>
  <c r="AA219" i="2" s="1"/>
  <c r="AC219" i="2" s="1"/>
  <c r="H194" i="3" s="1"/>
  <c r="F60" i="3"/>
  <c r="N60" i="3" s="1"/>
  <c r="Y69" i="2"/>
  <c r="Z69" i="2" s="1"/>
  <c r="AA69" i="2" s="1"/>
  <c r="AC69" i="2" s="1"/>
  <c r="H60" i="3" s="1"/>
  <c r="F50" i="3"/>
  <c r="N50" i="3" s="1"/>
  <c r="Y59" i="2"/>
  <c r="Z59" i="2" s="1"/>
  <c r="AA59" i="2" s="1"/>
  <c r="AC59" i="2" s="1"/>
  <c r="H50" i="3" s="1"/>
  <c r="F217" i="3"/>
  <c r="N217" i="3" s="1"/>
  <c r="Y242" i="2"/>
  <c r="Z242" i="2" s="1"/>
  <c r="AA242" i="2" s="1"/>
  <c r="AC242" i="2" s="1"/>
  <c r="H217" i="3" s="1"/>
  <c r="D191" i="3"/>
  <c r="P191" i="3"/>
  <c r="H7" i="3"/>
  <c r="AD11" i="2"/>
  <c r="E103" i="3"/>
  <c r="M103" i="3" s="1"/>
  <c r="X127" i="2"/>
  <c r="H9" i="3"/>
  <c r="AD13" i="2"/>
  <c r="P203" i="3"/>
  <c r="D203" i="3"/>
  <c r="F165" i="3"/>
  <c r="N165" i="3" s="1"/>
  <c r="Y190" i="2"/>
  <c r="Z190" i="2" s="1"/>
  <c r="AA190" i="2" s="1"/>
  <c r="AC190" i="2" s="1"/>
  <c r="H165" i="3" s="1"/>
  <c r="F26" i="3"/>
  <c r="N26" i="3" s="1"/>
  <c r="Y30" i="2"/>
  <c r="Z30" i="2" s="1"/>
  <c r="AA30" i="2" s="1"/>
  <c r="AC30" i="2" s="1"/>
  <c r="H26" i="3" s="1"/>
  <c r="D125" i="3"/>
  <c r="P125" i="3"/>
  <c r="F137" i="3"/>
  <c r="N137" i="3" s="1"/>
  <c r="Y162" i="2"/>
  <c r="Z162" i="2" s="1"/>
  <c r="AA162" i="2" s="1"/>
  <c r="AC162" i="2" s="1"/>
  <c r="H137" i="3" s="1"/>
  <c r="F139" i="3"/>
  <c r="N139" i="3" s="1"/>
  <c r="Y164" i="2"/>
  <c r="Z164" i="2" s="1"/>
  <c r="AA164" i="2" s="1"/>
  <c r="AC164" i="2" s="1"/>
  <c r="H139" i="3" s="1"/>
  <c r="E136" i="3"/>
  <c r="M136" i="3" s="1"/>
  <c r="X161" i="2"/>
  <c r="P77" i="3"/>
  <c r="D77" i="3"/>
  <c r="F95" i="3"/>
  <c r="N95" i="3" s="1"/>
  <c r="Y119" i="2"/>
  <c r="Z119" i="2" s="1"/>
  <c r="AA119" i="2" s="1"/>
  <c r="AC119" i="2" s="1"/>
  <c r="H95" i="3" s="1"/>
  <c r="P135" i="3"/>
  <c r="D135" i="3"/>
  <c r="D127" i="3"/>
  <c r="P127" i="3"/>
  <c r="P161" i="3"/>
  <c r="D161" i="3"/>
  <c r="F196" i="3"/>
  <c r="N196" i="3" s="1"/>
  <c r="Y221" i="2"/>
  <c r="Z221" i="2" s="1"/>
  <c r="AA221" i="2" s="1"/>
  <c r="AC221" i="2" s="1"/>
  <c r="H196" i="3" s="1"/>
  <c r="D38" i="3"/>
  <c r="P38" i="3"/>
  <c r="F183" i="3"/>
  <c r="N183" i="3" s="1"/>
  <c r="Y208" i="2"/>
  <c r="Z208" i="2" s="1"/>
  <c r="AA208" i="2" s="1"/>
  <c r="AC208" i="2" s="1"/>
  <c r="H183" i="3" s="1"/>
  <c r="P223" i="3"/>
  <c r="D223" i="3"/>
  <c r="P69" i="3"/>
  <c r="D69" i="3"/>
  <c r="F193" i="3"/>
  <c r="N193" i="3" s="1"/>
  <c r="Y218" i="2"/>
  <c r="Z218" i="2" s="1"/>
  <c r="AA218" i="2" s="1"/>
  <c r="AC218" i="2" s="1"/>
  <c r="H193" i="3" s="1"/>
  <c r="D148" i="3"/>
  <c r="P148" i="3"/>
  <c r="D42" i="3"/>
  <c r="P42" i="3"/>
  <c r="E168" i="3"/>
  <c r="M168" i="3" s="1"/>
  <c r="X193" i="2"/>
  <c r="D74" i="3"/>
  <c r="P74" i="3"/>
  <c r="F184" i="3"/>
  <c r="N184" i="3" s="1"/>
  <c r="Y209" i="2"/>
  <c r="Z209" i="2" s="1"/>
  <c r="AA209" i="2" s="1"/>
  <c r="AC209" i="2" s="1"/>
  <c r="H184" i="3" s="1"/>
  <c r="F190" i="3"/>
  <c r="N190" i="3" s="1"/>
  <c r="Y215" i="2"/>
  <c r="Z215" i="2" s="1"/>
  <c r="AA215" i="2" s="1"/>
  <c r="AC215" i="2" s="1"/>
  <c r="H190" i="3" s="1"/>
  <c r="F27" i="3"/>
  <c r="N27" i="3" s="1"/>
  <c r="Y31" i="2"/>
  <c r="Z31" i="2" s="1"/>
  <c r="AA31" i="2" s="1"/>
  <c r="AC31" i="2" s="1"/>
  <c r="H27" i="3" s="1"/>
  <c r="P45" i="3"/>
  <c r="D45" i="3"/>
  <c r="P157" i="3"/>
  <c r="D157" i="3"/>
  <c r="F123" i="3"/>
  <c r="N123" i="3" s="1"/>
  <c r="Y147" i="2"/>
  <c r="Z147" i="2" s="1"/>
  <c r="AA147" i="2" s="1"/>
  <c r="AC147" i="2" s="1"/>
  <c r="H123" i="3" s="1"/>
  <c r="E115" i="3"/>
  <c r="M115" i="3" s="1"/>
  <c r="X139" i="2"/>
  <c r="P130" i="3"/>
  <c r="D130" i="3"/>
  <c r="D47" i="3"/>
  <c r="P47" i="3"/>
  <c r="F91" i="3"/>
  <c r="N91" i="3" s="1"/>
  <c r="Y115" i="2"/>
  <c r="Z115" i="2" s="1"/>
  <c r="AA115" i="2" s="1"/>
  <c r="AC115" i="2" s="1"/>
  <c r="H91" i="3" s="1"/>
  <c r="F182" i="3"/>
  <c r="N182" i="3" s="1"/>
  <c r="Y207" i="2"/>
  <c r="Z207" i="2" s="1"/>
  <c r="AA207" i="2" s="1"/>
  <c r="AC207" i="2" s="1"/>
  <c r="H182" i="3" s="1"/>
  <c r="P204" i="3"/>
  <c r="D204" i="3"/>
  <c r="F111" i="3"/>
  <c r="N111" i="3" s="1"/>
  <c r="Y135" i="2"/>
  <c r="Z135" i="2" s="1"/>
  <c r="AA135" i="2" s="1"/>
  <c r="AC135" i="2" s="1"/>
  <c r="H111" i="3" s="1"/>
  <c r="D90" i="3"/>
  <c r="P90" i="3"/>
  <c r="D224" i="3"/>
  <c r="P224" i="3"/>
  <c r="F35" i="3"/>
  <c r="N35" i="3" s="1"/>
  <c r="Y39" i="2"/>
  <c r="Z39" i="2" s="1"/>
  <c r="AA39" i="2" s="1"/>
  <c r="AC39" i="2" s="1"/>
  <c r="H35" i="3" s="1"/>
  <c r="F141" i="3"/>
  <c r="N141" i="3" s="1"/>
  <c r="Y166" i="2"/>
  <c r="Z166" i="2" s="1"/>
  <c r="AA166" i="2" s="1"/>
  <c r="AC166" i="2" s="1"/>
  <c r="H141" i="3" s="1"/>
  <c r="D226" i="3"/>
  <c r="P226" i="3"/>
  <c r="F200" i="3"/>
  <c r="N200" i="3" s="1"/>
  <c r="Y225" i="2"/>
  <c r="Z225" i="2" s="1"/>
  <c r="AA225" i="2" s="1"/>
  <c r="AC225" i="2" s="1"/>
  <c r="H200" i="3" s="1"/>
  <c r="F220" i="3"/>
  <c r="N220" i="3" s="1"/>
  <c r="Y246" i="2"/>
  <c r="Z246" i="2" s="1"/>
  <c r="AA246" i="2" s="1"/>
  <c r="AC246" i="2" s="1"/>
  <c r="H220" i="3" s="1"/>
  <c r="D175" i="3"/>
  <c r="P175" i="3"/>
  <c r="D68" i="3"/>
  <c r="P68" i="3"/>
  <c r="F208" i="3"/>
  <c r="N208" i="3" s="1"/>
  <c r="Y233" i="2"/>
  <c r="Z233" i="2" s="1"/>
  <c r="AA233" i="2" s="1"/>
  <c r="AC233" i="2" s="1"/>
  <c r="H208" i="3" s="1"/>
  <c r="F11" i="3"/>
  <c r="N11" i="3" s="1"/>
  <c r="Y15" i="2"/>
  <c r="Z15" i="2" s="1"/>
  <c r="AA15" i="2" s="1"/>
  <c r="AC15" i="2" s="1"/>
  <c r="P144" i="3" l="1"/>
  <c r="D144" i="3"/>
  <c r="D9" i="3"/>
  <c r="P9" i="3"/>
  <c r="D183" i="3"/>
  <c r="P183" i="3"/>
  <c r="F103" i="3"/>
  <c r="N103" i="3" s="1"/>
  <c r="Y127" i="2"/>
  <c r="Z127" i="2" s="1"/>
  <c r="AA127" i="2" s="1"/>
  <c r="AC127" i="2" s="1"/>
  <c r="H103" i="3" s="1"/>
  <c r="H10" i="3"/>
  <c r="AD14" i="2"/>
  <c r="D102" i="3"/>
  <c r="P102" i="3"/>
  <c r="P128" i="3"/>
  <c r="D128" i="3"/>
  <c r="F88" i="3"/>
  <c r="N88" i="3" s="1"/>
  <c r="Y112" i="2"/>
  <c r="Z112" i="2" s="1"/>
  <c r="AA112" i="2" s="1"/>
  <c r="AC112" i="2" s="1"/>
  <c r="H88" i="3" s="1"/>
  <c r="D118" i="3"/>
  <c r="P118" i="3"/>
  <c r="P199" i="3"/>
  <c r="D199" i="3"/>
  <c r="P206" i="3"/>
  <c r="D206" i="3"/>
  <c r="F114" i="3"/>
  <c r="N114" i="3" s="1"/>
  <c r="Y138" i="2"/>
  <c r="Z138" i="2" s="1"/>
  <c r="AA138" i="2" s="1"/>
  <c r="AC138" i="2" s="1"/>
  <c r="H114" i="3" s="1"/>
  <c r="D113" i="3"/>
  <c r="P113" i="3"/>
  <c r="P225" i="3"/>
  <c r="D225" i="3"/>
  <c r="D187" i="3"/>
  <c r="P187" i="3"/>
  <c r="P177" i="3"/>
  <c r="D177" i="3"/>
  <c r="P190" i="3"/>
  <c r="D190" i="3"/>
  <c r="P201" i="3"/>
  <c r="D201" i="3"/>
  <c r="P49" i="3"/>
  <c r="D49" i="3"/>
  <c r="D12" i="3"/>
  <c r="P12" i="3"/>
  <c r="D4" i="3"/>
  <c r="P4" i="3"/>
  <c r="P8" i="3"/>
  <c r="D8" i="3"/>
  <c r="D141" i="3"/>
  <c r="P141" i="3"/>
  <c r="P184" i="3"/>
  <c r="D184" i="3"/>
  <c r="F136" i="3"/>
  <c r="N136" i="3" s="1"/>
  <c r="Y161" i="2"/>
  <c r="Z161" i="2" s="1"/>
  <c r="AA161" i="2" s="1"/>
  <c r="AC161" i="2" s="1"/>
  <c r="H136" i="3" s="1"/>
  <c r="P139" i="3"/>
  <c r="D139" i="3"/>
  <c r="D105" i="3"/>
  <c r="P105" i="3"/>
  <c r="D140" i="3"/>
  <c r="P140" i="3"/>
  <c r="P7" i="3"/>
  <c r="D7" i="3"/>
  <c r="F168" i="3"/>
  <c r="N168" i="3" s="1"/>
  <c r="Y193" i="2"/>
  <c r="Z193" i="2" s="1"/>
  <c r="AA193" i="2" s="1"/>
  <c r="AC193" i="2" s="1"/>
  <c r="H168" i="3" s="1"/>
  <c r="D137" i="3"/>
  <c r="P137" i="3"/>
  <c r="D192" i="3"/>
  <c r="P192" i="3"/>
  <c r="P195" i="3"/>
  <c r="D195" i="3"/>
  <c r="D93" i="3"/>
  <c r="P93" i="3"/>
  <c r="P61" i="3"/>
  <c r="D61" i="3"/>
  <c r="P145" i="3"/>
  <c r="D145" i="3"/>
  <c r="P152" i="3"/>
  <c r="D152" i="3"/>
  <c r="D197" i="3"/>
  <c r="P197" i="3"/>
  <c r="P37" i="3"/>
  <c r="D37" i="3"/>
  <c r="P72" i="3"/>
  <c r="D72" i="3"/>
  <c r="D71" i="3"/>
  <c r="P71" i="3"/>
  <c r="P171" i="3"/>
  <c r="D171" i="3"/>
  <c r="P58" i="3"/>
  <c r="D58" i="3"/>
  <c r="D6" i="3"/>
  <c r="P6" i="3"/>
  <c r="D13" i="3"/>
  <c r="P13" i="3"/>
  <c r="D208" i="3"/>
  <c r="P208" i="3"/>
  <c r="F115" i="3"/>
  <c r="N115" i="3" s="1"/>
  <c r="Y139" i="2"/>
  <c r="Z139" i="2" s="1"/>
  <c r="AA139" i="2" s="1"/>
  <c r="AC139" i="2" s="1"/>
  <c r="H115" i="3" s="1"/>
  <c r="D196" i="3"/>
  <c r="P196" i="3"/>
  <c r="D153" i="3"/>
  <c r="P153" i="3"/>
  <c r="P181" i="3"/>
  <c r="D181" i="3"/>
  <c r="P5" i="3"/>
  <c r="D5" i="3"/>
  <c r="P123" i="3"/>
  <c r="D123" i="3"/>
  <c r="D217" i="3"/>
  <c r="P217" i="3"/>
  <c r="P185" i="3"/>
  <c r="D185" i="3"/>
  <c r="P99" i="3"/>
  <c r="D99" i="3"/>
  <c r="P170" i="3"/>
  <c r="D170" i="3"/>
  <c r="P43" i="3"/>
  <c r="D43" i="3"/>
  <c r="D79" i="3"/>
  <c r="P79" i="3"/>
  <c r="D180" i="3"/>
  <c r="P180" i="3"/>
  <c r="P163" i="3"/>
  <c r="D163" i="3"/>
  <c r="F160" i="3"/>
  <c r="N160" i="3" s="1"/>
  <c r="Y185" i="2"/>
  <c r="Z185" i="2" s="1"/>
  <c r="AA185" i="2" s="1"/>
  <c r="AC185" i="2" s="1"/>
  <c r="H160" i="3" s="1"/>
  <c r="P66" i="3"/>
  <c r="D66" i="3"/>
  <c r="P85" i="3"/>
  <c r="D85" i="3"/>
  <c r="D111" i="3"/>
  <c r="P111" i="3"/>
  <c r="P50" i="3"/>
  <c r="D50" i="3"/>
  <c r="D94" i="3"/>
  <c r="P94" i="3"/>
  <c r="D143" i="3"/>
  <c r="P143" i="3"/>
  <c r="F121" i="3"/>
  <c r="N121" i="3" s="1"/>
  <c r="Y145" i="2"/>
  <c r="Z145" i="2" s="1"/>
  <c r="AA145" i="2" s="1"/>
  <c r="AC145" i="2" s="1"/>
  <c r="H121" i="3" s="1"/>
  <c r="D108" i="3"/>
  <c r="P108" i="3"/>
  <c r="D89" i="3"/>
  <c r="P89" i="3"/>
  <c r="D63" i="3"/>
  <c r="P63" i="3"/>
  <c r="H3" i="3"/>
  <c r="AD7" i="2"/>
  <c r="D67" i="3"/>
  <c r="P67" i="3"/>
  <c r="D134" i="3"/>
  <c r="P134" i="3"/>
  <c r="P142" i="3"/>
  <c r="D142" i="3"/>
  <c r="P188" i="3"/>
  <c r="D188" i="3"/>
  <c r="H11" i="3"/>
  <c r="AD15" i="2"/>
  <c r="P158" i="3"/>
  <c r="D158" i="3"/>
  <c r="P26" i="3"/>
  <c r="D26" i="3"/>
  <c r="P14" i="3"/>
  <c r="D14" i="3"/>
  <c r="P75" i="3"/>
  <c r="D75" i="3"/>
  <c r="P2" i="3"/>
  <c r="D2" i="3"/>
  <c r="P220" i="3"/>
  <c r="D220" i="3"/>
  <c r="D193" i="3"/>
  <c r="P193" i="3"/>
  <c r="P165" i="3"/>
  <c r="D165" i="3"/>
  <c r="D60" i="3"/>
  <c r="P60" i="3"/>
  <c r="P179" i="3"/>
  <c r="D179" i="3"/>
  <c r="D78" i="3"/>
  <c r="P78" i="3"/>
  <c r="P173" i="3"/>
  <c r="D173" i="3"/>
  <c r="P81" i="3"/>
  <c r="D81" i="3"/>
  <c r="P126" i="3"/>
  <c r="D126" i="3"/>
  <c r="P87" i="3"/>
  <c r="D87" i="3"/>
  <c r="D219" i="3"/>
  <c r="P219" i="3"/>
  <c r="D116" i="3"/>
  <c r="P116" i="3"/>
  <c r="F104" i="3"/>
  <c r="N104" i="3" s="1"/>
  <c r="Y128" i="2"/>
  <c r="Z128" i="2" s="1"/>
  <c r="AA128" i="2" s="1"/>
  <c r="AC128" i="2" s="1"/>
  <c r="H104" i="3" s="1"/>
  <c r="P101" i="3"/>
  <c r="D101" i="3"/>
  <c r="D76" i="3"/>
  <c r="P76" i="3"/>
  <c r="D182" i="3"/>
  <c r="P182" i="3"/>
  <c r="P27" i="3"/>
  <c r="D27" i="3"/>
  <c r="D95" i="3"/>
  <c r="P95" i="3"/>
  <c r="D194" i="3"/>
  <c r="P194" i="3"/>
  <c r="D124" i="3"/>
  <c r="P124" i="3"/>
  <c r="D209" i="3"/>
  <c r="P209" i="3"/>
  <c r="D207" i="3"/>
  <c r="P207" i="3"/>
  <c r="D189" i="3"/>
  <c r="P189" i="3"/>
  <c r="P39" i="3"/>
  <c r="D39" i="3"/>
  <c r="P138" i="3"/>
  <c r="D138" i="3"/>
  <c r="H19" i="3"/>
  <c r="AD23" i="2"/>
  <c r="D159" i="3"/>
  <c r="P159" i="3"/>
  <c r="P35" i="3"/>
  <c r="D35" i="3"/>
  <c r="P80" i="3"/>
  <c r="D80" i="3"/>
  <c r="D200" i="3"/>
  <c r="P200" i="3"/>
  <c r="P91" i="3"/>
  <c r="D91" i="3"/>
  <c r="P214" i="3"/>
  <c r="D214" i="3"/>
  <c r="P176" i="3"/>
  <c r="D176" i="3"/>
  <c r="D218" i="3"/>
  <c r="P218" i="3"/>
  <c r="D151" i="3"/>
  <c r="P151" i="3"/>
  <c r="D55" i="3"/>
  <c r="P55" i="3"/>
  <c r="P88" i="3" l="1"/>
  <c r="D88" i="3"/>
  <c r="P136" i="3"/>
  <c r="D136" i="3"/>
  <c r="P3" i="3"/>
  <c r="D3" i="3"/>
  <c r="P168" i="3"/>
  <c r="D168" i="3"/>
  <c r="P160" i="3"/>
  <c r="D160" i="3"/>
  <c r="P104" i="3"/>
  <c r="D104" i="3"/>
  <c r="P11" i="3"/>
  <c r="D11" i="3"/>
  <c r="P10" i="3"/>
  <c r="D10" i="3"/>
  <c r="D121" i="3"/>
  <c r="P121" i="3"/>
  <c r="P114" i="3"/>
  <c r="D114" i="3"/>
  <c r="P103" i="3"/>
  <c r="D103" i="3"/>
  <c r="P115" i="3"/>
  <c r="D115" i="3"/>
  <c r="P19" i="3"/>
  <c r="D19" i="3"/>
</calcChain>
</file>

<file path=xl/sharedStrings.xml><?xml version="1.0" encoding="utf-8"?>
<sst xmlns="http://schemas.openxmlformats.org/spreadsheetml/2006/main" count="4144" uniqueCount="1285">
  <si>
    <t>1. Unidade requisitante
(informar ID)</t>
  </si>
  <si>
    <t>2. Descrição sucinta da demanda</t>
  </si>
  <si>
    <t>3. Alinhamento da demanda com diretrizes e metas institucionais</t>
  </si>
  <si>
    <t>4. Justificativa expressa para a contratação</t>
  </si>
  <si>
    <t>Nº do
item</t>
  </si>
  <si>
    <t>Descrição do item</t>
  </si>
  <si>
    <t>5. Código de item</t>
  </si>
  <si>
    <t>Elemento de despesa</t>
  </si>
  <si>
    <t>6. Quantidade total estimada e unidade de medida</t>
  </si>
  <si>
    <t>UNIDADE</t>
  </si>
  <si>
    <r>
      <t xml:space="preserve">7. Valor </t>
    </r>
    <r>
      <rPr>
        <b/>
        <u/>
        <sz val="9"/>
        <color rgb="FFFFFFFF"/>
        <rFont val="Arial1"/>
      </rPr>
      <t>unitário</t>
    </r>
    <r>
      <rPr>
        <b/>
        <sz val="9"/>
        <color rgb="FFFFFFFF"/>
        <rFont val="Calibri"/>
        <family val="2"/>
      </rPr>
      <t xml:space="preserve"> estimado
e outras observações</t>
    </r>
  </si>
  <si>
    <t>Coluna2</t>
  </si>
  <si>
    <r>
      <t xml:space="preserve">7. Valor </t>
    </r>
    <r>
      <rPr>
        <b/>
        <u/>
        <sz val="9"/>
        <color rgb="FFFFFFFF"/>
        <rFont val="Arial1"/>
      </rPr>
      <t>total por item</t>
    </r>
  </si>
  <si>
    <t>7. Valor total estimado</t>
  </si>
  <si>
    <t>8. Vinculação ou dependência, se houver, com a contratação de outro item para sua execução*</t>
  </si>
  <si>
    <t>9. Data-limite para entrega dos bens ou início da prestação dos serviços*</t>
  </si>
  <si>
    <t>10. Prazo previsto para a execução*</t>
  </si>
  <si>
    <t>11. Objeto passível de contratação por compra compartilhada?
(sim/não)</t>
  </si>
  <si>
    <t>12. Forma prevista para a contratação*
(licitação, dispensa, inexigibilidade, prorrogação ou renovação)</t>
  </si>
  <si>
    <t>13. Grau de prioridade</t>
  </si>
  <si>
    <t>14. Critérios de sustentabilidade*</t>
  </si>
  <si>
    <t>15. Riscos da não contratação</t>
  </si>
  <si>
    <t>N</t>
  </si>
  <si>
    <t>SEMAT-NUCAF1</t>
  </si>
  <si>
    <t>Aquisição de Suprimentos de Informática : Cartuchos de Toners  para Seção Judiciária do Pará e Subseções/ 2024</t>
  </si>
  <si>
    <t>A contratação encontra-se em consonância com o planejamento existente e as diretrizes dos macros desafios do Poder Judiciário, no aperfeiçoamento da gestão de custos e melhoria da qualidade dos gastos públicos, além dos objetivos e metas do Plano de Logística Sustentável do Tribunal Regional Federal da 1ª Região - PLS-TRF1.</t>
  </si>
  <si>
    <t>A presente contratação se justifica pela necessidade de prover o estoque do almoxarifado para atender a demanda desta Seccional e Subseções, tendo por base os dados disponibilizados pelo Sistema de Controle de Aquisições de Materiais/SICAM, ferramenta que auxilia a gestão de compras/distribuição de materiais do almoxarifado nesta Seccional e subseções vinculadas. O SICAM foi empregado na obtenção dos dados de consumo de cada material.</t>
  </si>
  <si>
    <t>Cartucho de Toner para impressora Samsung Modelo ML-3710ND, Ref. Toner MLT-D205E</t>
  </si>
  <si>
    <t>UN</t>
  </si>
  <si>
    <t>N/A</t>
  </si>
  <si>
    <t>90 DIAS</t>
  </si>
  <si>
    <t>SIM</t>
  </si>
  <si>
    <t>licitação</t>
  </si>
  <si>
    <t>Conforme dispõe o Capítulo III, ART. 5º, Inciso III da INSTRUÇÃO NORMATIVA MPOG/SLTI Nº 01, DE 19/01/2010, será exigido o seguinte critério de sustentabilidade ambiental: “que os bens devam ser, preferencialmente acondicionado em embalagem individual adequada, com menor volume possível, que utiliza materiais recicláveis, de forma a garantir a máxima proteção durante o transporte e o armazenamento. Os materiais devem atender ao disposto nas normas técnicas brasileiras – NBR, PUBLICADAS PELA ASSOCIAÇÃO BRASILEIRA DE NORMAS TÉCNICAS SOBRE RESÍDUOS SÓLIDOS.</t>
  </si>
  <si>
    <t>A não contratação poderá ocasionar vários prejuízos, uma vez que a falta de suprimentos de TI podem ocasionar paralização na emissão de documentos e das atividades, devido a importância dos materiais de TI na execução dos serviços prestados pela Justiça Federal do Pará.</t>
  </si>
  <si>
    <t>SEMAT-NUCAF2</t>
  </si>
  <si>
    <t>Aquisição de Suprimentos de Informática : Cartuchos de Toners  para Seção Judiciária do Pará e Subseções/ 2023.</t>
  </si>
  <si>
    <t>Cartucho de Toner para impressora Samsung Modelo ML-3750 ND, Ref. Toner MLT-D305L</t>
  </si>
  <si>
    <t>SEMAT-NUCAF3</t>
  </si>
  <si>
    <t>Cartucho de Toner para impressora Samsung Modelo ML-4020 e 4070, Ref. Toner MLT-D305L</t>
  </si>
  <si>
    <t>SEMAT-NUCAF4</t>
  </si>
  <si>
    <t>Cartucho de Toner para impressora Lexmark 56F4U00, Ref. Toner MX-622</t>
  </si>
  <si>
    <t>SEMAT-NUCAF5</t>
  </si>
  <si>
    <t>Materiais de expediente para o almoxarifado.</t>
  </si>
  <si>
    <t>A aquisição dos materiais justifica-se para dá suporte às Varas Judiciais e diversos setores da  Administração do Prédio Sede/SJPA e Subseções Judiciárias. </t>
  </si>
  <si>
    <t>Borracha de látex, cor branca, apaga escrita a lápis e lapiseira. Produzida com borracha natural. Caixa 60 un.</t>
  </si>
  <si>
    <t>CX</t>
  </si>
  <si>
    <t>30 DIAS</t>
  </si>
  <si>
    <t>DISPENSA</t>
  </si>
  <si>
    <t>Os materiais devem atender ao disposto nas normas técnicas brasileiras – NBR, PUBLICADAS PELA ASSOCIAÇÃO BRASILEIRA DE NORMAS TÉCNICAS SOBRE RESÍDUOS SÓLIDOS.</t>
  </si>
  <si>
    <t>Todos materiais de expedientes necessários para o andamento dos serviços exercidos no arquivo judicial e outros setores da SJPA.</t>
  </si>
  <si>
    <t>SEMAT-NUCAF6</t>
  </si>
  <si>
    <t>Caixa de arquivo de plástico, tipo polionda. medindo 130mm de largura x 350mm de comprimento x 245mm de altura, cor azul, com garantia de no mínimo um ano. Referência: marca Polionda, ou de igual ou melhor qualidade.</t>
  </si>
  <si>
    <t>99</t>
  </si>
  <si>
    <t>SEMAT-NUCAF7</t>
  </si>
  <si>
    <t>Caixa de arquivo de plástico, tipo polionda. medindo 130mm de largura x 350mm de comprimento x 245mm de altura, cor vermelha, com garantia de no mínimo um ano. Referência: marca Polionda, ou de igual ou melhor qualidade.</t>
  </si>
  <si>
    <t>SEMAT-NUCAF8</t>
  </si>
  <si>
    <t>Caneta para marcar ou destacar texto, cor amarela</t>
  </si>
  <si>
    <t>SEMAT-NUCAF9</t>
  </si>
  <si>
    <t>Caneta esferográfica, tinta azul, corpo plástico transparente e sextavado com um furo no meio, ponta de latão e esfera de tungstênio, tampa plástica arredondada na cor azul, com validade de no mínimo um ano. Referência: marca Bic, ou de igual ou melhor qualidade.</t>
  </si>
  <si>
    <t>SEMAT-NUCAF10</t>
  </si>
  <si>
    <t>Cola plástica, líquida, cor branca, lavável, atóxica, a base de PVA, adesiva, bico prático, peso líquido de 90g, com validade de no mínimo um ano, usada em papel, madeira, couro e tecido, tubo contendo 90g. Referência: marca Fran Kola, ou de igual ou melhor qualidade.</t>
  </si>
  <si>
    <t>SEMAT-NUCAF11</t>
  </si>
  <si>
    <t>Campainha de mesa, tamanho médio, tipo sineta. Referência: marca Krause, ou de igual ou melhor qualidade.</t>
  </si>
  <si>
    <t>SEMAT-NUCAF12</t>
  </si>
  <si>
    <t>Substituição das lixeiras dos gabinetes dos Juízes que estão quebradas, pilhas para funcionamento dos controles das splits, fita e fio necessários para manutenção de serviços gerais.</t>
  </si>
  <si>
    <t>Caneta hidrográfica, tinta azul, ponta porosa, estrutura plástica arredondada e na cor predominantemente azul, com validade de no mínimo um ano. Referência: marca CIS, ou de igual ou melhor qualidade.</t>
  </si>
  <si>
    <t>Baixo, porém necessários para higiene e bom andamentos dos serviços prestados na SJPA.</t>
  </si>
  <si>
    <t>SEMAT-NUCAF13</t>
  </si>
  <si>
    <t>Caneta hidrográfica, tinta preta, ponta porosa, estrutura plástica arredondada e na cor predominantemente azul, com validade de no mínimo um ano. Referência: marca CIS, ou de igual ou melhor qualidade.</t>
  </si>
  <si>
    <t>SEMAT-NUCAF14</t>
  </si>
  <si>
    <t>Estilete largo com lâmina, corpo plástico, lâmina de metal largo, com trava da lâmina, com possibilidade de a lâmina ser trocada, com garantia de no mínimo um ano. Referência: marca Desart, ou de igual ou melhor qualidade.</t>
  </si>
  <si>
    <t>SEMAT-NUCAF15</t>
  </si>
  <si>
    <t>Fita dupla face de baixa espessura com dorso de poliéster e alto poder de adesão, medidas aproximadas de 19 mm X 5 m.</t>
  </si>
  <si>
    <t>SEMAT-NUCAF16</t>
  </si>
  <si>
    <t>Fita adesivada (tipo filme), medindo 50mm de largura x 50 metros de comprimento, filme adesivado de 25 micras, na cor transparente, com validade de no mínimo um ano. Referência: marca scotch, ou de igual ou melhor qualidade.</t>
  </si>
  <si>
    <t>JG</t>
  </si>
  <si>
    <t>SEMAT-NUCAF17</t>
  </si>
  <si>
    <t>Lápis modelo nº 2, a base de grafite na cor preta, estrutura cilíndrica ou sextavada de madeira, com borracha encravada na parte superior, com validade de no mínimo um ano. Referência: marca Faber Castell, ou de igual ou melhor qualidade.</t>
  </si>
  <si>
    <t>SEMAT-NUCAF18</t>
  </si>
  <si>
    <t xml:space="preserve">Marcador permanente,( pincel atômico), tinta permanente na cor azul, ponta chanfrada de 6mm com duas possibilidades para a largura do traço, estrutura plástica com abertura na parte superior para reabastecimento de tinta, validade de no mínimo um ano. Referência: marca Pilot, ou de igual ou melhor qualidade.
</t>
  </si>
  <si>
    <t>SEMAT-NUCAF19</t>
  </si>
  <si>
    <t>Pasta simples, plastificada, com ferragem formada por grampo tipo trilho fixado por ilhós, cor preferencialmente cinza, medindo aproximadamente, quando aberta, 345mm de largura X 460mm de comprimento, com garantia de no mínimo um ano. Referência: marca Cil, ou de igual ou melhor qualidade.</t>
  </si>
  <si>
    <t>SEMAT-NUCAF20</t>
  </si>
  <si>
    <t>Pilha alcalina palito “AAA” tipo alcalina, não recarregável, tensão nominal 1,5 v.</t>
  </si>
  <si>
    <t>SEMAT-NUCAF21</t>
  </si>
  <si>
    <t>Tesoura em aço inoxidável, tamanho grande de aproximadamente 200mm, cabos ergonômicos, multiuso, com garantia de no mínimo um ano. Referência: marca Office CIS, ou de igual ou melhor qualidade.</t>
  </si>
  <si>
    <t>SEMAT-NUCAF22</t>
  </si>
  <si>
    <t>Álcool etílico, tipo: hidratado, teor alcoólico: 70%_(70°gl), apresentação: líquido.</t>
  </si>
  <si>
    <t>SEMAT-NUCAF23</t>
  </si>
  <si>
    <t>Máscara cirúrgica descartável, material: sms, camadas: 3 camadas com dobras, fixação: tiras elásticas, adicional: com cliple nasal, componentes: filtração de partículas mínima de 95%, esterilidade: uso único, pacote/caixa com 50 unidades.</t>
  </si>
  <si>
    <t>SEMAT-NUCAF24</t>
  </si>
  <si>
    <t>Luvas de proteção de látex, uso geral, descartável, acondicionadas em caixas, sendo cada caixa composta de 100 unidades.</t>
  </si>
  <si>
    <t>SELIT-NUCAF1</t>
  </si>
  <si>
    <t>Assinatura de ferramenta de pesquisa e comparação de preços praticados pela Administração Pública.</t>
  </si>
  <si>
    <t>A necessidade apresentada alinha-se com o Macrodesafio do Poder Judiciário “Aperfeiçoamento da gestão orçamentária e financeira” e com o Macrodesafio específico "Fortalecimento da segurança e proteção institucional", buscando assegurar o direcionamento dos gastos para o atendimento das necessidades prioritárias e essenciais da Seção Judiciária do Pará.</t>
  </si>
  <si>
    <t>Auxiliar na pesquisa de preços das contratações de serviços e aquisições de materiais, a serem demandadas por esta Seção Judiciária do Pará, por meio de dados de pesquisa publicada em mídia especializada, atendendo assim um dos parâmetros determinado pela nova Lei de Licitações (Lei. 14.133/2021) bem como recomendações do TCU, com destaque para o (Acórdão 713/2019 Plenário).</t>
  </si>
  <si>
    <t>svo</t>
  </si>
  <si>
    <t>15 dias</t>
  </si>
  <si>
    <t>NÃO</t>
  </si>
  <si>
    <t>INEXIGIBILIDADE</t>
  </si>
  <si>
    <t>A contratação é feita de forma digital.</t>
  </si>
  <si>
    <t>Atraso nas pesquisas de preços, retardando assim a efetiva contratação do objeto pretendido.</t>
  </si>
  <si>
    <t>SELIT-NUCAF2</t>
  </si>
  <si>
    <t>Contratação de Assinatura em mídia especializada em dados sobre licitações e contratos.</t>
  </si>
  <si>
    <t>O objeto pretendido está perfeitamente alinhado com os macrodesafios de aperfeiçoamento da gestão administrativa e da governança judiciária estabelecidos no Plano Estratégico da Justiça Federal 2021/2026, normatizado pela Resolução CJF nº 325/2020.</t>
  </si>
  <si>
    <t>Em face da necessidade permanente de contratações públicas, com o intuito de atender às demandas de compras e serviços inerentes às atividades administrativas desta Seccional, faz-se necessário o apoio externo sobre os temas complexos e dinâmicos relativos a licitações e contratos administrativos. Nesse sentido, a presente contratação reveste-se de valiosa ferramenta de consulta e de pesquisa na doutrina, na legislação e na jurisprudência dos Tribunais Judiciais (STF, STJ, TST, TRFs, TJs etc.), bem como do Tribunal de Contas da União</t>
  </si>
  <si>
    <t>Assinatura de ferramenta de pesquisa de informações sobre licitações e contratos.</t>
  </si>
  <si>
    <t>SVO</t>
  </si>
  <si>
    <t>15 DIAS</t>
  </si>
  <si>
    <t>Tendo em vista a política de contratações sustentáveis adotada pela Seccional, a presente aquisição será feita por assinatura digital  para disponibilização aos usuários.</t>
  </si>
  <si>
    <t>A não contratação poderá trazer prejuízos nas contratações de 2024 uma vez que a ferramenta requerida é utilizada como fonte de consulta para situações adversas ocorridas nos processo de licitações, recursos administrativos interpostos e impugnações aos Editais, entre outros.</t>
  </si>
  <si>
    <t>SEVIT-NUASG1</t>
  </si>
  <si>
    <t>PRESTAÇÃO DE SERVIÇOS DE MENSAGERIA MOTORIZADA, MOTOBOY,  COM FORNECIMENTO DE VEÍCULO, MOTOCICLETA E EQUIPAMENTOS DE PROTEÇÃO.</t>
  </si>
  <si>
    <t>Plano Estratégico da Justiça Federal - PEJF 2021/2026, macrodesafio "Agilidade e produtividade na prestação jurisdicional" e "Promoção da sustentabilidade".</t>
  </si>
  <si>
    <t>ENTREGAS DE DOCUMENTOS OFICIAIS, COMPRAS DIVERSAS PARA A SECCIONAL, COM MAIOR AGILIDADE DEIXANDO COM ISSO O AGENTE DE SEGURANÇA NO SEU POSTO DE SERVIÇO NO INTERIOR DA SECCIONAL OPERANDO EM SUA FUNÇÃO FINAL.</t>
  </si>
  <si>
    <t>PRESTAÇÃO DE SERVIÇOS DE MENSAGERIA MOTORIZADA, MOTIOBOY,  COM FORNECIMENTO DE VEÍCULO, MOTOCICLETA E EQUIPAMENTOS DE PROTEÇÃO.</t>
  </si>
  <si>
    <t>PRORROGAÇÃO</t>
  </si>
  <si>
    <t>prejuízo à realização das tarefas rotineiras das áreas meio e fim, com impactos negativos na produtividade.</t>
  </si>
  <si>
    <t>SEVIT-NUASG2</t>
  </si>
  <si>
    <t>PRESTAÇÃO DE SERVIÇOS  DE MANUTENÇÃO PREVENTIVA E CORRETIVAS NOS ELEVADORES INSTALADOS NO PRÉDIO SEDE DA JUSTIÇA FEDERAL NO PARÁ.</t>
  </si>
  <si>
    <t>LOCOMOÇÃO DE MAGISTRADOS, SERVIDORES E JURISDIONADOS NOS 9 ANDARES DO PRÉDIO SEDE DA JUSTIÇA FEDERAL, COM SEGURANÇA E AGILIDADE E MAIOR AGILIDADE.</t>
  </si>
  <si>
    <t>SEVIT-NUASG3</t>
  </si>
  <si>
    <t>SEGURO TOTAL CONTRA SINISTROS PARA 12 VEÍCULOS PERTENCENTES A FROTA DA JUSTIÇA FEDERAL SEÇÃO PARÁ.</t>
  </si>
  <si>
    <t>MANTER SEGURO OS VEÍCULOS DA FROTA DA JUSTIÇA FEDERAL NO PARÁ PELO PERÍODO DE UM ANO CONTRA ROUBO, INCÊNDIO E OUTROS SINISTROS QUE VENHAM A OCORRER.</t>
  </si>
  <si>
    <t>SEVIT-NUASG4</t>
  </si>
  <si>
    <t>PRESTAÇÃO DE SERVIÇOS DE IMPLANTAÇÃO, INTERMEDIAÇÃO E ADMINISTRAÇÃO DE UM SISTEMA INFORMATIZADO E INTEGRADO, COM UTILIZAÇÃO DE CARTÃO MAGNÉTICO OU MICRO PROCESSADO DE GERENCIAMENTO PARA AQUISIÇÃO DE COMBUSTÍVEIS (GASOLINA E DIESEL) PARA OS VEÍCULOS E GERADORES DA JUSTIÇA FEDERAL SEÇÃO PARÁ</t>
  </si>
  <si>
    <t>Contratação de empresa especializada em intermediação de fornecimento de combustível mediante sistema informatizado com utilização de cartão magnético através de senha, visando o abastecimento dos veículos da frota oficial e geradores, desta Seção Judiciária, bem como das Subseções Judiciárias de Altamira, Castanhal, Marabá, Paragominas, Redenção, Santarém e Tucuruí autorizados pelo Supervisor da Seção de Segurança, Vigilância e Transporte (SEVIT), em caráter ininterrupto de segunda-feira a domingo no horário de 00:00 às 24:00h, pelo período de um ano.</t>
  </si>
  <si>
    <t>Fornecimento de Combustível.</t>
  </si>
  <si>
    <t>svO</t>
  </si>
  <si>
    <t>SEVIT-NUASG5</t>
  </si>
  <si>
    <t>PRESTAÇÃO DE SERVIÇOS DE GERENCIAMENTO DE FROTA DE VEÍCULOS OFICIAIS, MANUTENÇÃO E CONSERVAÇÃO COM SERVIÇOS MECÂNICOS ELÉTRICOS E FORNECIMENTO DE PEÇAS.</t>
  </si>
  <si>
    <t>Realização das manutenções preventivas e corretivas executando mão de obra de acordo com as características/especificações de cada veículo. b) Manter a frota de veículos sempre em perfeita condições de uso, sem que ofereça risco a segurança de Magistrados e Servidores da JFPA.
c) Fornecimento de peças, acessórios, componentes e materiais GENUINOS, ORIGINAIS ou de 1ª linha, obedecidas às recomendações do fabricante do veículo e conforme necessidade aos serviços de manutenção.</t>
  </si>
  <si>
    <t>Gerenciamento de frota de veículos.</t>
  </si>
  <si>
    <t>SEVIT-NUASG6</t>
  </si>
  <si>
    <t>SERVIÇOS DE VIGILÂNCIA ARMADA 24 HORAS NO PRÉDIO SEDE DA JUSTIÇA EM BELÉM E NAS SUBSEÇÕES: CASTANHAL, PARAGOMINAS, MARABÁ, TUCURUÍ, ALATAMIRA, REDENÇÃO, ITAITUBA E SANTARÉM.</t>
  </si>
  <si>
    <t>A contratação dos serviços de vigilância armada de forma contínua, tem por finalidade proteger diuturnamente através de postos de vigilância, a guarda do patrimônio público, suas instalações, bem como a segurança da integridade física dos Magistrados, servidores e jurisdicionado, bem como o controle da movimentação de pessoas e veículos que demandam aquelas unidades, dentro dos parâmetros e rotinas estabelecidos, com fornecimento de mão de obra especializada através de empresa especializada do ramo, regularmente autorizada pelos órgãos competentes, com observância às recomendações aceitas pela boa técnica, normas e legislações aplicáveis. O quantitativo previsto justifica-se pela necessidade de atender as demandas de segurança da instituição não permitindo a sua depredação, violação, evasão, apropriação indébita e outras ações que redundem em dano ao patrimônio e, em especial garantindo a integridade física da comunidade.</t>
  </si>
  <si>
    <t>SERVIÇOS DE VIGILÂNCIA ARMADA.</t>
  </si>
  <si>
    <t>SEVIT-NUASG7</t>
  </si>
  <si>
    <t>Contratação de seguro contra incêndio.</t>
  </si>
  <si>
    <t>PROTEÇÃO 24 HORAS CONTRA INCÊNDIO DOS PRÉDIOS DA JUSTIÇA FEDERAL NO PARÁ.</t>
  </si>
  <si>
    <t>Contratação de seguro contra incêndio, tipo risco relativo, sem franquia, do edifício Sede, Anexos e bens móveis patrimoniais da Justiça Federal no Pará – Seção Judiciária e Subseções, no Estado do Pará.</t>
  </si>
  <si>
    <t>SEVIT-NUASG8</t>
  </si>
  <si>
    <t>SEGURO TOTAL CONTRA SINISTROS PARA 9 VEÍCULOS PERTENCENTES A FROTA DA JUSTIÇA FEDERAL SEÇÃO PARÁ.</t>
  </si>
  <si>
    <t>Licitação</t>
  </si>
  <si>
    <t>SEVIT-NUASG9</t>
  </si>
  <si>
    <t>Mnautenção de porta giratória detectora de metais e scanner raio-x, instalados na Sede da SJPA.</t>
  </si>
  <si>
    <t xml:space="preserve">Esta demanda está alinhada com o Projeto Estratégico do CJF, “Fortalecimento da Segurança Institucional da Justiça Federal” (Resolução CJF 502/2018), buscando melhor prestação jurisdicional e segurança de todos os frequentadores da SJPA.
A contratação pretendida também está prevista no Plano Anual de Aquisição e Contratação – PAC 2023.
</t>
  </si>
  <si>
    <t>Manutenção Porta Giratória Detectora de Metais (PGDM) e Scanner Rai-x</t>
  </si>
  <si>
    <t>30 dias</t>
  </si>
  <si>
    <t>NAO</t>
  </si>
  <si>
    <t>dispensa</t>
  </si>
  <si>
    <t>As normas de segurança vigentes - Res. CNJ nº. 291/2019, Res. CJF nº 502/2018 e Portaria SJPA-DIREF 329/2022 -  proíbem o acesso às instalações de pessoas portando armas de fogo, ressalvadas algumas exceções, porém, a inexistência de equipamentos, os quais se pretende realizar a aquisição, impossibilita o cumprimento do estabelecido nos referidos normativos.</t>
  </si>
  <si>
    <t>SEVIT-NUASG10</t>
  </si>
  <si>
    <t>FORNECIMENTO E INSTALAÇÃO DO SISTEMA DE CIRCUITO FECHADO DE TV E CONTROLE DE ACESSO PARA O PRÉDIO SJPA, INCLUINDO O ANEXO “CASA ROSADA”</t>
  </si>
  <si>
    <t>Atender as metas estabelecidas pelo CJF para melhoria da segurança e efetividade das ações de correição na JF.</t>
  </si>
  <si>
    <t>A demanda faz parte das providências adotadas para solução dos tópicos indicados nos relatórios geral e específicos da Correição Geral Ordinária realizada no início do exercício de 2019 (item 5 da Informação SJPA-SECAD 8226338 - SEI 0003919-91.2019.4.01.8010).</t>
  </si>
  <si>
    <t>Atender, no que couber, ao Decreto nº 7.746/2012 de 05/06/2012, alterado pelo Decreto nº 9.178 de  23/10/2017, que estabelece critérios e práticas para a promoção do desenvolvimento nacional sustentável;</t>
  </si>
  <si>
    <t>Risco de continuar com o sistema de monitoramento antigo e defasado. Além de continuar sem o controle da entrada de usuários nas instalações do edifício sede, o que por virtude da falta de controle e monitoramento pode ocasionar na inconsistência da segurança do edifício.</t>
  </si>
  <si>
    <t>SEVIT-NUASG11</t>
  </si>
  <si>
    <t>Aquisição de Rádio Comunicador com alcance de 20km (RC3002 G2 Intelbras ou similar).</t>
  </si>
  <si>
    <t>O objeto pretendido está alinhado com os macrodesafios da melhoria da gestão de pessoas e fortalecimento da relação institucional da Justiça Federal com a sociedade, estabelecidos no Planejamento Estratégico da Justiça Federal 2021/2026, normatizado pela Resolução CJF nº 325/2020.</t>
  </si>
  <si>
    <t>A presente aquisição se faz necessária para utilização na comunicação da equipe policial no dia a dia de suas atividades e deslocamento com autoridades, pois hoje não há equipamento de comunicação remoto.</t>
  </si>
  <si>
    <t>RÁDIO COMUNICADOR</t>
  </si>
  <si>
    <t>Consoante o disposto no Art. 32 da Lei n° 12.305/2010, as embalagens dos produtos devem ser fabricadas com materiais que propiciem a sua reutilização ou a reciclagem, devendo-se assegurar que sejam restritas em volume e peso às dimensões requeridas à proteção do conteúdo e à comercialização dos produtos, projetadas de maneira que a sua reutilização seja tecnicamente viável e compatível com as exigências aplicáveis ao produto que contêm, ou recicladas, se a reutilização não for possível.</t>
  </si>
  <si>
    <t>Não ocorrendo a aquisição, a comunicação fica prejudicada e pode haver falhas na organização dos eventos e solenidades promovidas pela Seccional.</t>
  </si>
  <si>
    <t>SEVIT-NUASG12</t>
  </si>
  <si>
    <t>Operador de porta de cabina. Operador de cabina abertura telescópica (direita ou esquerda) 2 folhas LU800, Modelo 40/10 PM, soleira AL1000, módulo VF5.</t>
  </si>
  <si>
    <t>Fortalecimento da segurança (transporte vertical) e proteção patrimonial, buscando assegurar o direcionamento dos gastos para o atendimento das necessidades prioritárias e essenciais da Seção Judiciária do Pará.</t>
  </si>
  <si>
    <t>O sistema atual encontra-se obsoleto e provocando constantes paradas do elevador.</t>
  </si>
  <si>
    <t>Paradas frequentes dos elevadores</t>
  </si>
  <si>
    <t>SEVIT-NUASG13</t>
  </si>
  <si>
    <t>Aquisição de Fardamento Tático padrão da Polícia Judicial e uniformes para os servidores lotados no NUASG.</t>
  </si>
  <si>
    <t>A presente contratação atende as normas vigentes no que se refere a segurança institucional do Poder Judiciário, estabelecido pela lei nº 12.694/2012, regulamentada pela resolução conjunta nº 4/2014 do CNJ e CNMP e a Política Nacional de Segurança do Poder Judiciário, instituídas pelas, resoluções nº 291/2019 e 344/2020 do CNJ, as resoluções nº. 502/2018 e 686/2020 do CJF, as resoluções Presi. nº. 42/2015, 49/2017 e 8723018/2019, assim como, a Instrução Normativa nº. 14-10 do TRF1.</t>
  </si>
  <si>
    <t>Os Agentes de Polícia Judicial frequentemente participam de eventos acompanhando Autoridades Ministros, Desembargadores Federais, Juízes Federais e Dignitários, necessitando, portanto, de vestimentas adequadas para cada evento. Para dar maior visibilidade às ações do corpo de Agentes no cumprimento de sua atividade laboral Institucional. Com relação aos servidores lotados no NUASG, o uniforme visa proporcionar mais segurança e mobilidade no exercício das atividades.</t>
  </si>
  <si>
    <t>Fardamento Tático para os Agentes de Segurança Judiciária e uniformes para os servidores lotados no NUASG</t>
  </si>
  <si>
    <t>CJ</t>
  </si>
  <si>
    <t>A presente aquisição observa a promoção do desenvolvimento nacional sustentável, nos termos do artigo 3º, “caput”, da Lei 8.666/93.</t>
  </si>
  <si>
    <t>A não aquisição das referidas peças da identidade visual do agente da Polícia Judicial, comprometerá consideravelmente a atuação institucional dos agentes da polícia no âmbito da Seção Judiciária da Bahia, afetando diretamente na qualidade e eficiência das atribuições funcionais desempenhadas pelos servidores em tela, assim como, na garantia da boa ordem dos trabalhos, na incolumidade física de magistrados (Ministros, Desembargadores, Juízes e seus familiares) servidores, partes, testemunhas, patrimônio, instalações, na independência e efetividade dos atos judiciais da Justiça Federal da Primeira Região, nos termos estabelecidos pelo CNJ, CJF e TRF1. Refletindo diretamente na sensação de segurança que é o objetivo da presença ostensiva da policia administrativa.</t>
  </si>
  <si>
    <t>SEVIT-NUASG14</t>
  </si>
  <si>
    <t>Aquisição de munições calibre 9 mm, de capacitação e treinamento a ser utilizadas nas instruções, treinamentos continuados dos agentes da polícia judicial do quadro da Seção e Subseções Judiciárias no Estado do Pará, assim como as munições de operação para as armas institucionais desta Justiça Federal do Pará.</t>
  </si>
  <si>
    <t>A presente aquisição atende ao quanto regulamentado pelas normas vigentes no que se refere ao uso de arma de fogo na segurança institucional do Poder Judiciário, estabelecido pela lei nº 12.694/2012, regulamentada pela resolução conjunta nº 4/2014 do CNJ e CNMP e a Política Nacional de Segurança do Poder Judiciário, instituídas pelas, resoluções nº 291/2019 e 344/2020 do CNJ, as resoluções nº. 502/2018 e 686/2020 do CJF, as resoluções Presi. nº. 42/2015, 49/2017 e 8723018/2019,  assim como, a Instrução Normativa nº. 14-10 do TRF1.</t>
  </si>
  <si>
    <t>A segurança judiciária vem sendo cada vez mais exigida devido a escalada das ameaças e aos riscos que servidores e magistrados estão expostos, em razão de suas atividades institucionais. Desta forma, os órgãos de cúpula do Poder Judiciário vêm demandando e exigindo cada vez mais a capacitação e o aparelhamento dos agentes da policia judicial responsáveis pela assistência e segurança direta aos servidores, aos magistrados e seus familiares, ao patrimônio material, imaterial e a efetividade do cumprimento dos atos judicias, através da edição de vários normativos determinam a capacitação, o treinamento e o aparelhamento dos seus agentes para agirem dentro dos limites legais de forma eficiente e moderada.</t>
  </si>
  <si>
    <t>A não aquisição das referidas munições comprometerá consideravelmente a segurança pessoal, institucional e patrimonial da Seção Judiciária do Pará, afetando diretamente na qualidade e eficiência das atribuições funcionais desempenhadas pelos agentes da polícia judicial, assim como na garantia da boa ordem dos trabalhos, na incolumidade física de magistrados (Ministros, Desembargadores, Juízes e seus familiares) servidores, partes, testemunhas, patrimônio, instalações, na independência e efetividade dos atos judiciais da Justiça Federal da Primeira Região, nos termos estabelecidos pelo CNJ, CJF e TRF1.</t>
  </si>
  <si>
    <t>SEVIT-NUASG15</t>
  </si>
  <si>
    <t>Aquisição de 38 coletes balísticos DISSIMULADO NÍVEL IIIA para os Agentes de Polícia Judicial e Oficiais de Justiça da Seção Judiciária do Pará.</t>
  </si>
  <si>
    <t>EQUIPAMENTO DE PROTENÇÃO INDIVIDUAL DOS AGENTES DE POLÍCIA JUDICIAL E OFICIAIS DE JUSTIÇA DA SEÇÃO PARÁ, PARA QUE SEJAM PRESTADOS UM SERVIÇO EFICIENTE DE SEGURANÇA DE MAGISTRADOS, SERVIDORES E JURISDICIONADOS NAS DEPENDÊNCIAS DA JUSTIÇA FEDERAL NO PARÁ.</t>
  </si>
  <si>
    <t>COLETES BALÍSTICOS DISSIMULADO NIVEL III A</t>
  </si>
  <si>
    <t>SEVIT-NUASG16</t>
  </si>
  <si>
    <t>Manutenção preventiva no equipamento de RX.</t>
  </si>
  <si>
    <t>Caso o equipamento venha a ficar inoperante, o serviço de segurança ficará prejudicado, pois não teremos como verificar se alguém está adentrando ao prédio com algum armamento.</t>
  </si>
  <si>
    <t>Manutenção preventiva o equipamento de RX</t>
  </si>
  <si>
    <t>Prejuízo incalculável à segurança institucional</t>
  </si>
  <si>
    <t>SESEG-NUASG1</t>
  </si>
  <si>
    <t>Prorrogação do contrato nº 02/2022 (14799933) - prestação de serviços de limpeza, conservação, higienização, desinfecção de bens móveis e imóveis, com fornecimento de material e equipamentos, conforme Anexo I do Edital de licitação do Pregão Eletrônico nº 29/2021, na sede da Seção Judiciária do Pará e Subseções Judiciárias.</t>
  </si>
  <si>
    <t>A necessidade apresentada alinha-se com o Macrodesafio do Poder Judiciário “Aperfeiçoamento da gestão orçamentária e financeira” e com o Macrodesafio específico "Fortalecimento da segurança e proteção institucional", buscando assegurar o direcionamento dos gastos para o atendimento das necessidades prioritárias e essenciais da Seção Judiciária do Pará. Além disso, a necessidade mencionada é imprescindível para assegurar o alcance dos demais objetivos institucionais da Seção Judiciária do Pará</t>
  </si>
  <si>
    <t>Assegurar a continuidade dos serviços de limpeza nas dependências do edifício-sede da Justiça Federal da Seção Judiciária do Pará e Subseções Judiciárias, indispensáveis à conservação do patrimônio público e manutenção das condições de higiene no ambiente de trabalho e no atendimento ao público durante o exercício da atividade jurisdicional; Inexistência dessas categorias profissionais do quadro de servidores.</t>
  </si>
  <si>
    <t>Serviços de Limpeza e Conservação para a Sede em Belém e demais Subseções.</t>
  </si>
  <si>
    <t>Serviço continuado. Contrato vigente.</t>
  </si>
  <si>
    <t>Riscos à saúde, segurança e bem-estar dos servidores, terceirizados e usuários das instalações da Seção Judiciária do Pará e Subseções em decorrência de um ambiente desorganizado e insalubre; Prejuízo à realização das tarefas rotineiras das áreas meio e fim, com impactos negativos na produtividade.</t>
  </si>
  <si>
    <t>SESEG-NUASG2</t>
  </si>
  <si>
    <t>Prorrogação do contrato nº 36/2020 (11830837) -  prestação de serviços  especializado de lavagem, higienização e desinfecção do poço tubular, cisternas e reservatórios de água fria do Edifício-Sede desta Seção Judiciária do Pará e prédios anexos.</t>
  </si>
  <si>
    <t>Cumprir as obrigações instituídas na Lei nº 5.882/94 do Estado do Pará, visando manter o sistema de abastecimento de água do Edifício-Sede desta Seção Judiciária do Pará em conformidade com o padrão de potabilidade vigente, promovendo saúde aos usuários.  Ademais, a manutenção e limpezas periódicas, com a realização de exames bacteriológicos e físico químicos e o uso de produtos desinfetantes, evita a proliferação de bactérias, verminoses, salmonelas, evitando também a reprodução de mosquitos, a exemplo do Aedes Aegypti.</t>
  </si>
  <si>
    <t>Serviços  especializado de lavagem, higienização e desinfecção do poço tubular, cisternas e reservatórios de água fria do Edifício-Sede desta Seção Judiciária do Pará </t>
  </si>
  <si>
    <t>sVO</t>
  </si>
  <si>
    <t>Resumidamente.
A contratada deverá atender, no que couber, ao Decreto nº 7.746/2012 de 05/06/2012, alterado pelo Decreto nº 9.178 de 23/10/2017, que estabelece critérios, práticas e diretrizes para a promoção do desenvolvimento nacional sustentável, dentre outras: a. baixo impacto sobre recursos naturais como flora, fauna, ar, solo e água; b. preferência para materiais, tecnologias e matérias-primas de origem local; Caberá à contratada executar os serviços em estrita conformidade com os requisitos de licenciamento, procedimentos e práticas operacionais definidos na Resolução RDC ANVISA nº52/2009, destacando-se as metodologias direcionadas para a redução do impacto ao meio ambiente, à saúde do consumidor e do aplicador dos produtos.
A contratada deverá realizar o controle de vetores e pragas prejudiciais à saúde humana com aplicação de produtos não agressivos ao meio ambiente, ficando obrigada a estruturar e implementar sistemas de logística reversa</t>
  </si>
  <si>
    <t>Riscos à saúde, segurança e bem-estar dos servidores, terceirizados e usuários das instalações da Seção Judiciária do Pará.</t>
  </si>
  <si>
    <t>SESEG-NUASG3</t>
  </si>
  <si>
    <t>Prorrogação do contrato nº 32/2020 (11615532) -  serviços de desinsetização, desratização e descupinização nas dependências do edifício-sede, do prédio anexo denominado "Casa Rosada" e do arquivo judicial, todos pertencentes à Seção Judiciária do Pará, em estrita conformidade com o Termo de Referência nº 11216898.</t>
  </si>
  <si>
    <t>A necessidade apresentada alinha-se com o Macrodesafio do Poder Judiciário “Aperfeiçoamento da gestão orçamentária e financeira” e com o Macrodesafio específico "Fortalecimento da segurança e proteção institucional", buscando assegurar o direcionamento dos gastos para o atendimento das necessidades prioritárias e essenciais da Seção Judiciária do Pará.</t>
  </si>
  <si>
    <t>A contratação objetiva proporcionar a manutenção das condições sanitárias e de higiene adequadas aos servidores e Magistrados nas instalações do Edifício Sede  e prédios anexos desta Seção Judiciária do Pará, em cumprimento das atribuições funcionais desta unidade e a Legislação vigente, Lei 4374 (11216411) e Decreto Lei 8372 (11216418) do Governo do Estado do Pará.  Ademais, a manutenção, de maneira periódica, dos serviços de controle de vetores e pragas se torna necessária para evitar infestação de insetos diversos, mosquitos transmissores de doenças endêmicas, como o Aedes Aegypti, e de pragas urbanas, como os ratos, protegendo os ambientes através da aplicação de produtos químicos em pontos estratégicos.</t>
  </si>
  <si>
    <t>serviços de desinsetização, desratização e descupinização nas dependências do edifício-sede, do prédio anexo denominado "Casa Rosada" e do arquivo judicial, todos pertencentes à Seção Judiciária do Pará</t>
  </si>
  <si>
    <t>3417</t>
  </si>
  <si>
    <t>A contratada deverá atender, no que couber, ao Decreto nº 7.746/2012 de 05/06/2012, alterado pelo Decreto nº 9.178 de 23/10/2017, que estabelece critérios, práticas e diretrizes para a promoção do desenvolvimento nacional sustentável</t>
  </si>
  <si>
    <t>SESEG-NUASG4</t>
  </si>
  <si>
    <t>Contratação de Empresas para fornecimento de água mineral e copos descartáveis para esta Seção Judiciária do Pará, durante o exercício de 2023.</t>
  </si>
  <si>
    <t>Prover o estoque dos referidos materiais, visando suprir às necessidades desta Seção Judiciária do Pará, durante o exercício de 2023</t>
  </si>
  <si>
    <t>Fornecimento de água mineral 1,5 LITROS.</t>
  </si>
  <si>
    <t>uN</t>
  </si>
  <si>
    <t xml:space="preserve">A não contratação no tocante à água mineral e copos descartáveis, poderá causar transtornos aos serviços, bem como o comprometimento da saúde de Magistrados, Servidores e jurisdicionados.
</t>
  </si>
  <si>
    <t>SESEG-NUASG5</t>
  </si>
  <si>
    <t>Prover o estoque dos referidos materiais, visando suprir às necessidades desta Seção Judiciária do Pará, durante o exercício de 2023.</t>
  </si>
  <si>
    <t>Água Mineral, sem Gás, em vasilhame de 20 Litros, com PH de 4,30 a 7,0; contendo identificação do produto,  marca do fabricante e prazo de validade. Marca de referência: Indaiá, Nossa Água ou similar.</t>
  </si>
  <si>
    <t> 445485</t>
  </si>
  <si>
    <t>SESEG-NUASG6</t>
  </si>
  <si>
    <t>Copo descartável de 180 ml, produzido com amido de milho (ácido poliático), aplicação para liquidos frios e quentes, características adicionais atóxico e biodegradável, fornecido em  caixa com 2.500 unidades.</t>
  </si>
  <si>
    <t>Os copos descartáveis deverão ser produzidos com materiais atóxicos e biodegradáveis.</t>
  </si>
  <si>
    <t>SESEG-NUASG7</t>
  </si>
  <si>
    <t>Copo descartável de 180 ml, produzido com amido de milho (ácido poliático), aplicação para liquidos frios e quentes, características adicionais atóxico e biodegradável, fornecido em caixa com 2.500 unidades, para a SJ Castanhal.</t>
  </si>
  <si>
    <t>cx</t>
  </si>
  <si>
    <t>sim</t>
  </si>
  <si>
    <t>SESEG-NUASG8</t>
  </si>
  <si>
    <t>Abastecimento de água encanada - Prédio Sede, Casa Rosada e Arquivo Judicial.</t>
  </si>
  <si>
    <t>Item de primeira necessidade para a limpeza geral dos ambientes, irrigação das plantas, lavagem externa de veículos, higienização de mãos.</t>
  </si>
  <si>
    <t>Prestação de serviços continuados de abastecimento  de água encanada para a Seção Judiciária do Pará.</t>
  </si>
  <si>
    <t>Riscos à saúde e bem-estar dos servidores, terceirizados e usuários das instalações da Seção Judiciária em decorrência de um ambiente insalubre;</t>
  </si>
  <si>
    <t>SESEG-NUASG9</t>
  </si>
  <si>
    <t>Fornecimento de energia elétrica para a Sede da Seção Judiciária. (processo 0005336-50.2017.4.01.8010)</t>
  </si>
  <si>
    <t>Item de primeira necessidade para a manutenção das atividades gerais.</t>
  </si>
  <si>
    <t>Fornecimento de energia elétrica para a Sede da Seção Judiciária, INCLUSO PRÉDIOS ANEXOS (CASA ROSADA E ARQUIVO).</t>
  </si>
  <si>
    <t>Serviços continuados. Contrato vigente.</t>
  </si>
  <si>
    <t>Riscos para os processos críticos da entidade. Paralisação de sistemas de tecnologia da informação, elevadores, refrigeração, entre vários outros</t>
  </si>
  <si>
    <t>SESEG-NUASG10</t>
  </si>
  <si>
    <t>Prestação de serviços de lavanderia para a Sede da Justiça Federal de 1º Grau – Seção Judiciária do Pará. (processo 0007941-90.2022.4.01.8010)</t>
  </si>
  <si>
    <t>A necessidade apresentada alinha-se ao que consta no Plano Estratégico da Justiça Federal - PEFJ - 2021 - 2026 e nos objetivos estratégicos discriminados no Plano Estratégico da Justiça Federal da 1ª Região para o sexênio 2021-2026 (13325013), sendo coadjuvante para a promoção da agilidade e da produtividade na prestação jurisdicional e para a elevação da qualidade dos serviços prestados.</t>
  </si>
  <si>
    <t>Manter limpas e higienizadas as roupas de cama, mesa e banho que guarnecem os consultórios médico e odontológico, os banheiros de uso privativo dos Magistrados e eventuais cerimônias realizadas.</t>
  </si>
  <si>
    <t>Prestação de serviços de lavanderia na Sede da Seção Judiciária do Pará</t>
  </si>
  <si>
    <t>Consumo consciente de água e economia de produtos necessários para a lavagem de roupas..</t>
  </si>
  <si>
    <t>Risco à saúde já que a rouparia é quase que totalmente de gabinetes médicos e salas de pericia. Caso não contratado, haverá a necessidade de medida adicional, tal como suprimento de fundos.</t>
  </si>
  <si>
    <t>SESEG-NUASG11</t>
  </si>
  <si>
    <t>Aquisição de materiais complementares para a execução de serviços de manutenções predial diversas, incluindo alvenaria, hidráulica, elétrica, pintura, impermeabilização nos prédios da Seção Judiciária do Pará instalados na capital, Belém/PA, exceto materiais para a manutenção de sistemas de refrigeração e incêndio.</t>
  </si>
  <si>
    <t>A necessidade apresentada alinha-se ao que consta no Plano Estratégico da Justiça Federal - PEFJ - 2021 - 2026 e nos objetivos estratégicos discriminados no Plano Estratégico da Justiça Federal da 1ª Região para o sexênio 2021-2026 (13325013), sendo coadjuvante para a promoção da agilidade e da produtividade na prestação jurisdicional e para a elevação da qualidade dos serviços prestados.
Além disso, a necessidade mencionada é imprescindível para assegurar o alcance dos demais objetivos institucionais da Seção Judiciária do Pará.</t>
  </si>
  <si>
    <t xml:space="preserve">Atender às demandas da Seção Judiciária do Pará direcionadas à SESEG/SERAE para manutenção das instalações dos Edifícios Sede, Casa Rosada e Arquivo Judicial, uma vez que constantemente ocorrem necessidades de adaptações em toda a estrutura de um setor em função de alterações da localização de gabinetes, varas, secretarias, centrais,  dentre outras. Tais adaptações visam a otimização de espaços físicos da Seccional, com o intuito de melhor acomodar servidores, magistrados e prestadores. Cabe mencionar que também ocorrem muitos casos de manutenção propriamente dita, de diversas instalações da Seccional em função do uso ao longo do tempo, as quais acontecem naturalmente.  </t>
  </si>
  <si>
    <t>Aquisição de materiais para a execução de serviços de manutenções prediais diversas, incluindo alvenaria, hidráulica, elétrica, pintura, impermeabilização, exceto materiais para a manutenção de sistemas de refrigeração e incêndio.</t>
  </si>
  <si>
    <t>CJO</t>
  </si>
  <si>
    <t>Aquisição de produtos sustentáveis quando possível, tais como lampadas de led.</t>
  </si>
  <si>
    <t>Riscos para os processos críticos da entidade.  Paralisação de sistemas de tecnologia da informação, refrigeração, entre vários outros.</t>
  </si>
  <si>
    <t>SESEG-NUASG12</t>
  </si>
  <si>
    <t>Aquisição de materiais complementares para a execução de serviços de manutenções dos equipamentos de refrigeração do tipo split e vrf instalados na Sede da Seção Judiciária.</t>
  </si>
  <si>
    <t xml:space="preserve">Atender às demandas da Seção Judiciária do Pará direcionadas à SESEG/SERAE para manutenção das instalações dos Edifícios Sede, Casa Rosada e Arquivo Judicial, uma vez que constantemente ocorrem necessidades de adaptações em toda a estrutura de um setor em função de alterações das varas, secretarias, centrais,  dentre outras. Cabe mencionar que também ocorrem muitos casos de manutenção propriamente dita, de diversas instalações da Seccional em função do uso ao longo do tempo, as quais acontecem naturalmente.  </t>
  </si>
  <si>
    <t>Aquisição de materiais para a execução de serviços de manutenção de sistemas e equipamentos de  refrigeração.</t>
  </si>
  <si>
    <t>Aquisição de produtos sustentáveis quando possível, tais como gás R410A, gás ecológico.</t>
  </si>
  <si>
    <t>SESEG-NUASG13</t>
  </si>
  <si>
    <t>Prorrogação do contrato nº 21/2019 (8557679) - prestação de serviços de Apoio Administrativo (Encarregado Geral, Auxiliar de Escritório, Recepcionista, Almoxarife, Assistente de Almoxarife, Copeiro e Ascensorista), conforme Anexo A do Edital de licitação Pregão nº 10/2019, na sede da Seção Judiciária do Pará e nas demais Subseções Judiciárias.</t>
  </si>
  <si>
    <t>Além disso, a necessidade mencionada é imprescindível para assegurar o alcance dos demais objetivos institucionais da Seção Judiciária do Pará.</t>
  </si>
  <si>
    <t>Os serviços a serem contratados estão compreendidos nos pressupostos que norteiam a contratação de serviços de forma indireta pela Administração Pública e são de natureza continuada, com dedicação exclusiva de mão de obra, cuja interrupção comprometeria o pleno funcionamento da instituição, e de caráter auxiliar, correspondendo a cargos considerados extintos ou inexistentes no quadro funcional do Governo Federal.</t>
  </si>
  <si>
    <t>Serviços de Apoio Administrativo (Encarregado Geral, Auxiliar de Escritório, Recepcionista, Almoxarife, Assistente de Almoxarife, Copeiro e Ascensorista, na sede da Seção Judiciária do Pará e nas demais Subseções Judiciárias.</t>
  </si>
  <si>
    <t>Redução na qualidade dos serviços prestados.</t>
  </si>
  <si>
    <t>SESEG-NUASG14</t>
  </si>
  <si>
    <t>Contratação de empresa para a prestação de serviços de OUTSOURCING DE IMPRESSÃO - LOCAÇÃO DE EQUIPAMENTOS MULTIFUNCIONAIS a fim de suprir as necessidades desta Seção Judiciária do Pará. O serviço inclui o fornecimento de máquinas multifuncionais para execução de: impressão, cópias, digitalização, bem como, acessórios, suprimentos, insumos/consumíveis (toner, cilindro) e assistência técnica no município atendido e serviços correlatos, inclusive fornecimento de peças, componentes (toner, cilindro, revelador etc.), e quaisquer outros elementos necessários à prestação dos serviços ora pretendido, exceto papel.</t>
  </si>
  <si>
    <t>Garantir que os serviços de reprografia, impressão e digitalização de documentos sejam prestados de maneira contínua e sem interrupções para o bom andamento dos trabalhos na Justiça Federal do Pará.</t>
  </si>
  <si>
    <t>Prestação de serviços continuados de OUTSOURCING DE IMPRESSÃO - LOCAÇÃO DE EQUIPAMENTOS MULTIFUNCIONAIS a fim de suprir as necessidades da sede da Seção Judiciária do Pará</t>
  </si>
  <si>
    <t>A contratada faz a retirada dos cartuchos de tonners usados, para o descarte correto dos mesmos.</t>
  </si>
  <si>
    <t>Atrasos na prestação de serviços aos jurisdicionados,  visto que alguns serviços estão sendo feitos via mensagem eletrônica. Redução na qualidade dos serviços prestados.</t>
  </si>
  <si>
    <t>SESEG-NUASG15</t>
  </si>
  <si>
    <t>Contratação de empresa para o abastecimento mensal do sistema de bombeamento Cloro Residual Livre (CRL) na rede de distribuição de água, em atendimento a Portaria de Consolidação n° 5, MS, haja vista que os relatórios de análise de qualidade da água utilizada neste Prédio Sede apontam para essa necessidade.</t>
  </si>
  <si>
    <t>Segundo a equipe técnica da empresa, a utilização de compostos químicos a base de cloro é metodologia de desinfecção mais difundida no setor de abastecimento de água para consumo humano, devido a sua alta eficiência na desinfecção e por apresentar a particularidade de formar compostos que permanecem na massa líquida, proporcionando uma parcela residual desinfetante. Tal parcela permite que a inativação de microrganismos continue após o ponto de aplicação, seja na rede de distribuição, nos reservatórios ou nos pontos de consumo. A manutenção do Cloro Residual Livre (CRL) na rede de distribuição é a principal medida para garantir a ausência de microrganismos patogênicos na água de consumo, os quais podem causar as diversas doenças, como desinteria, cólera, giardíase, hepatite infecciosa e ascaridíase, logo, seu monitoramento deve ser rigoroso. Com este cenário em vista, o Ministério da Saúde, por meio da Portaria de Consolidação nº 5/2017, mais especificamente no Art. 34 do Anexo XX, determina que a água distribuída para consumo humano deve apresentar concentração de Cloro Residual Livre entre 0,2 a 2 mg/L. No último relatório o resultado foi de 0,12 em uma das amostras, a água analisada nesse mês está em desacordo com o padrão de qualidade citado.</t>
  </si>
  <si>
    <t>Prestação de serviços de reabastecimento mensal de dosador de cloro, bombona de 200 Litros já abastecida com 200 litros de solução sanitizante.</t>
  </si>
  <si>
    <t>Impacto direto no bem estar e saúde de todos os usuários da Seção Judiciária.</t>
  </si>
  <si>
    <t>Risco à saúde. A cloração da água visa a garantir a ausência de microrganismos patogênicos na água de consumo, os quais podem causar as diversas doenças, como desinteria, cólera, giardíase, hepatite infecciosa e ascaridíase.</t>
  </si>
  <si>
    <t>SESEG-NUASG16</t>
  </si>
  <si>
    <t>Contratação de empresa especializada na instalação, manutenção de placas de identificação.</t>
  </si>
  <si>
    <t>A necessidade apresentada alinha-se com o Macrodesafio do Poder Judiciário “Aperfeiçoamento da gestão orçamentária e financeira” e com o Macrodesafio específico "Fortalecimento da segurança e proteção institucional", buscando assegurar o direcionamento dos gastos para o atendimento das necessidades prioritárias e essenciais da Seção Judiciária do Pará.
Além disso, a necessidade mencionada é imprescindível para assegurar o alcance dos demais objetivos institucionais da Seção Judiciária do Pará</t>
  </si>
  <si>
    <t xml:space="preserve">A aquisição se justifica em razão das demandas a seguir relacionadas: - garantir que todos se orientem adequadamente no interior SJPA, que possam encontrar seus destinos e que se desloquem de forma segura e com facilidade; - contribuir para o ordenamento da circulação interna de veículos e pedestres; - indicar a direção e localização de estruturas administrativas ou de visitação, atividades, serviços e facilidades oferecidas; - orientar e alertar sobre aspectos ligados à segurança individual ou do grupo, bem como conscientizar o público interno e externo acerca das normas e boas práticas de coleta seletiva e sustentabilidade;
</t>
  </si>
  <si>
    <t>Prestação de instalação, manutenção de placas de identificação, diversas.</t>
  </si>
  <si>
    <t>Aquisição, se possível, de placas confeccionas com materiais que agridam da menor forma possível o meio ambiente.</t>
  </si>
  <si>
    <t>Não há riscos imediatos à contratação.</t>
  </si>
  <si>
    <t>SESEG-NUASG17</t>
  </si>
  <si>
    <t>Aquisição de equipamentos de refrigeração de diversas potências para substituir equipamentos localizados em locais criticos, como CPD, Sala do No Break e Subestação elétrica.</t>
  </si>
  <si>
    <t>O presente termo visa à substituição de equipamentos que, através de laudo, forem sendo considerados antieconômicos pela equipe de manutenção preventiva e corretiva contratada por esta Seção Judiciária do Pará. Logo, como não é possível definir previamente o quantitativo a ser demandado pela Administração, solicita-se o Registro de Preços.
Após a substituição do sistema de refrigeração do prédio, alguns equipamentos ainda são abastecidos por equipamentos do tipo split e em sua maioria setores criticos como CPD, Sala do No Break e Subestação elétrica. Logo, há a necessidade agir de forma preventiva e manter reserva técnica para qualquer imprevisto.</t>
  </si>
  <si>
    <t>Aquisição de aparelho ar condicionado, capacidade refrigeração: 60.000 btu, tensão: 220 v, freqüência: 60 hz, tipo: split, características adicionais 1: ciclo frio, selo procel, controle remoto sem fio</t>
  </si>
  <si>
    <t>n/A</t>
  </si>
  <si>
    <t>Optou-se pelo registro de modelos do tipo INVERTER, em decorrência da economia de energia elétrica que tais equipamentos proporcionam. Em média, há uma redução de até 30% no consumo quando comparado com os aparelhos convencionais. Ademais, os equipamentos fabricados com esta tecnologia utilizam o gás refrigerante ecológico R-410A que não é nocivo à camada de ozônio.</t>
  </si>
  <si>
    <t>Alto (nível 4), quando a impossibilidade de contratação provoca interrupção de processo crítico ou estratégico</t>
  </si>
  <si>
    <t>SESEG-NUASG18</t>
  </si>
  <si>
    <t>Contratação de de empresa especializada no serviço de descontaminação e descarte de lâmpadas, que contêm mercúrio metálico, dos tipos fluorescentes (de qualquer tamanho e forma, inclusive as compactas), de vapor de mercúrio, de vapor de sódio, de vapor metálico, lâmpadas mista, halógenas e outros tipos de uso técnico especializado.</t>
  </si>
  <si>
    <t>As lâmpadas fluorescentes contêm substâncias nocivas ao meio ambiente, como metais pesados, onde sobressai o mercúrio metálico. Ao ser rompida, libera seu conteúdo de vapor de mercúrio que, quando aspirado, causa intoxicação;</t>
  </si>
  <si>
    <t>Prestação de serviços de descontaminação e descarte de lâmpadas para a Sede da Seção Judiciária do Pará.</t>
  </si>
  <si>
    <t>Descarte adequado de resíduos sólidos.</t>
  </si>
  <si>
    <t>Risco ao meio ambiente. O descarte não adequado dos materiais aqui discriminados podem comprometer o meio ambiente, através da contaminação do solo e lençóis freáticos.</t>
  </si>
  <si>
    <t>SESEG-NUASG19</t>
  </si>
  <si>
    <t>Contratação de de empresa empresa especializada, através do Sistema de Registro de Preços, para fornecimento e instalação de divisórias, paredes de gesso acartonado, forro mineral estruturado e outros materiais conexos  para adaptação de espaços na Sede da Seção Judiciária do Pará.</t>
  </si>
  <si>
    <t>A aquisição tem por finalidade suprir as necessidades da SJPA de material especificamente destinado à instalação de forros e divisórias de gesso para adaptação de espaços físicos no âmbito da SJPA, tendo em vista a melhoria das instalações das unidades e a sua reordenação, de modo a possibilitar melhor acomodação a magistrados e servidores, com reflexos positivos na produtividade e no atendimento ao jurisdicionado.</t>
  </si>
  <si>
    <t>Prestação de serviços de adaptação de espaços internos através da desmontagem e montagem de divisórias, paredes de gesso, instalação e desinstalação de gesso acartonado.</t>
  </si>
  <si>
    <t>M²</t>
  </si>
  <si>
    <t>Aquisição de produtos sustentáveis quando possível.</t>
  </si>
  <si>
    <t>SESEG-NUASG20</t>
  </si>
  <si>
    <t>Contratação de de empresa empresa especializada no fornecimento de equipamentos e prestação de serviços com a finalidade de dar continuidade a modernização dos sistemas de áudio e vídeo do Auditório e da sala de treinamento da Sede da Seção Judiciária do Pará.</t>
  </si>
  <si>
    <t>A atualização dos sistemas de áudio e vídeo é de primordial importância na realização dos eventos no Auditório da Seção Judiciária do Pará.</t>
  </si>
  <si>
    <t>Serviços de instalação de equipamento de audio e vídeo, com o fornecimento de equipamentos com a finalidade de modernizar os sistemas de áudio e vídeo do Auditório da Sede da Seção Judiciária do Pará.</t>
  </si>
  <si>
    <t>LICITAÇÃO</t>
  </si>
  <si>
    <t>SESEG-NUASG21</t>
  </si>
  <si>
    <t>Serviços de instalação de equipamento de audio e vídeo, com o fornecimento de equipamentos com a finalidade de modernizar os sistemas de áudio e vídeo da sala de treinamento da Sede da Seção Judiciária do Pará.</t>
  </si>
  <si>
    <t>SESEG-NUASG22</t>
  </si>
  <si>
    <t>Contratação de serviços  especializado de jardinagem e paisagismo para o Edifício-Sede desta Seção Judiciária do Pará e prédios anexos.</t>
  </si>
  <si>
    <t>Os serviços de jardinagem são essenciais para a manutenção do projeto de jardinagem, que inclui canteiros de flores, folhagens e gramados que circundam os Prédios da Seção Judiciária do Pará, devendo ser realizados periodicamente. Justifica-se que os serviços na área ajardinada, tendo em vista que se trata de serviços essenciais para propiciar um ambiente agradável, melhorando o aspecto físico das instalações da Instituição, proporcionando assim a sensação de bem estar do público interno e externo.</t>
  </si>
  <si>
    <t>nÃO</t>
  </si>
  <si>
    <t>A contratação de jardinagem e consequente cuidados com as poucas áreas verdes restantes nesta SJPA estimula a interação homem x natureza incentivando maior contato e cuidado com o meio ambiente.</t>
  </si>
  <si>
    <t>SESEG-NUASG23</t>
  </si>
  <si>
    <t>SERVIÇO DE POSTAGEM DE CORREPONDÊNCIAS, COLETA, TRANSPORTE E ENTREGA DE CORRESPONDENCIA AGRUPADA NACIONAL .</t>
  </si>
  <si>
    <t>O presente serviço vem atender as necessidades de envio de correspondências da Seção Judiciária do Pará e Subseções vinculadas </t>
  </si>
  <si>
    <t>prejuízo à realização das tarefas rotineiras das áreas meio e fim, com impactos negativos na produtividade e no devido atendimento aos jurisdicionados.</t>
  </si>
  <si>
    <t>SESEG-NUASG24</t>
  </si>
  <si>
    <t>PRORROGAÇÃO DO CONTRATO Nº 12/2022 - PRESTAÇÃO DE SERVIÇO MÓVEL PESSOAL–SMP-VISANDO ATENDER AS NECESSIDADES DA SEÇÃO JUDICIÁRIA DO PARÁ - SEDE EM BELÉM  E DEMAIS SUBSEÇÕES JUDICIÁRIAS.</t>
  </si>
  <si>
    <t>A finalidade deste instrumento é proporcionar a Contratante as condições essenciais ao bom funcionamento e desenvolvimento de suas atividades.</t>
  </si>
  <si>
    <t>Prejuízo à realização das tarefas rotineiras das áreas meio e fim, com impactos negativos na produtividade</t>
  </si>
  <si>
    <t>SESEG-NUASG25</t>
  </si>
  <si>
    <t>PRORROGAÇÃO DO CONTRATO Nº 05/2021 (12401249) - PRESTAÇÃO DE SERVIÇO TELEFÔNICO FIXO COMUTADO - STFC (FIXO-FIXO E FIXO-MÓVEL LOCAL), POR MEIO DE ENTRONCAMENTO DIGITAL E1, COM DISPONIBILIZAÇÃO DE RAMAIS DDR, A SER EXECUTADO DE FORMA CONTÍNUA NA SEDE DA JUSTIÇA FEDERAL – SEÇÃO JUDICIÁRIA DO PARÁ EM BELÉM E NAS SUBSEÇÕES DE ALTAMIRA, REDENÇÃO E TUCURUÍ, INCLUÍNDO OS SERVIÇOS TELEFÔNICOS DE LONGA DISTÂNCIA NACIONAL (LDN) EM TODA A SEÇÃO JUDICIÁRIA DO PARÁ</t>
  </si>
  <si>
    <t>A finalidade deste Contrato é prover a Seção Judiciária do Pará (Edifício Sede e Subseções Judiciárias) dos recursos de telefonia essenciais ao desenvolvimento de suas atividades.</t>
  </si>
  <si>
    <t>PRESTAÇÃO DE SERVIÇO TELEFÔNICO FIXO COMUTADO - STFC (FIXO-FIXO E FIXO-MÓVEL LOCAL), POR MEIO DE ENTRONCAMENTO DIGITAL E1, COM DISPONIBILIZAÇÃO DE RAMAIS DDR, A SER EXECUTADO DE FORMA CONTÍNUA NA SEDE DA JUSTIÇA FEDERAL – SEÇÃO JUDICIÁRIA DO PARÁ EM BELÉM E NAS SUBSEÇÕES DE ALTAMIRA, REDENÇÃO E TUCURUÍ, INCLUÍNDO OS SERVIÇOS TELEFÔNICOS DE LONGA DISTÂNCIA NACIONAL (LDN) EM TODA A SEÇÃO JUDICIÁRIA DO PARÁ</t>
  </si>
  <si>
    <t>SESEG-NUASG26</t>
  </si>
  <si>
    <t>PRORROGAÇÃO DO CONTRATO contrato nº 01/2022 (ID/SEI:14799994) - PRESTAÇÃO DE SERVIÇO TELEFÔNICO FIXO COMUTADO - STFC (FIXO-FIXO E FIXO-MÓVEL LOCAL), POR MEIO DE ENTRONCAMENTO DIGITAL E1, COM DISPONIBILIZAÇÃO DE RAMAIS DDR, A SER EXECUTADO DE FORMA CONTÍNUA NA SEDE DAS SUBSEÇÕES DE MARABÁ, SANTARÉM E ITAITUBA, QUE CELEBRA A UNIÃO, POR INTERMÉDIO DA JUSTIÇA FEDERAL – SEÇÃO JUDICIÁRIA DO PARÁ.</t>
  </si>
  <si>
    <t>A finalidade deste Contrato é prover as Subseções de Marabá, Santarém e Itaituba dos recursos de telefonia essenciais ao desenvolvimento de suas atividades.</t>
  </si>
  <si>
    <t>PRESTAÇÃO DE SERVIÇO TELEFÔNICO FIXO COMUTADO - STFC (FIXO-FIXO E FIXO-MÓVEL LOCAL), POR MEIO DE ENTRONCAMENTO DIGITAL E1, COM DISPONIBILIZAÇÃO DE RAMAIS DDR, A SER EXECUTADO DE FORMA CONTÍNUA NA SEDE DAS SUBSEÇÕES DE MARABÁ, SANTARÉM E ITAITUBA, QUE CELEBRA A UNIÃO, POR INTERMÉDIO DA JUSTIÇA FEDERAL – SEÇÃO JUDICIÁRIA DO PARÁ.</t>
  </si>
  <si>
    <t>Prejuízo à realização das tarefas rotineiras das áreas meio e fim, com impactos negativos na produtividade.</t>
  </si>
  <si>
    <t>SESEG-NUASG27</t>
  </si>
  <si>
    <t>PRORROGAÇÃO DO CONTRATO DE PRESTAÇÃO DE SERVIÇO TELEFÔNICO FIXO COMUTADO - STFC (FIXO-FIXO E FIXO-MÓVEL LOCAL), POR MEIO DE ENTRONCAMENTO DIGITAL E1, COM DISPONIBILIZAÇÃO DE RAMAIS DDR, A SER EXECUTADO DE FORMA CONTÍNUA NA SEDE DAS SUBSEÇÕES DE CASTANHAL E PARAGOMINAS, QUE CELEBRA A UNIÃO, POR INTERMÉDIO DA JUSTIÇA FEDERAL – SEÇÃO JUDICIÁRIA DO PARÁ.</t>
  </si>
  <si>
    <t>A finalidade deste Contrato é prover as Subseções de Castanhal e Paragominas dos recursos de telefonia essenciais ao desenvolvimento de suas atividades.</t>
  </si>
  <si>
    <t>PRESTAÇÃO DE SERVIÇO TELEFÔNICO FIXO COMUTADO - STFC (FIXO-FIXO E FIXO-MÓVEL LOCAL), POR MEIO DE ENTRONCAMENTO DIGITAL E1, COM DISPONIBILIZAÇÃO DE RAMAIS DDR, A SER EXECUTADO DE FORMA CONTÍNUA NA SEDE DAS SUBSEÇÕES DE CASTANHAL E PARAGOMINAS, QUE CELEBRA A UNIÃO, POR INTERMÉDIO DA JUSTIÇA FEDERAL – SEÇÃO JUDICIÁRIA DO PARÁ.</t>
  </si>
  <si>
    <t>SESEG-NUASG28</t>
  </si>
  <si>
    <t>Prorrogação do contrato nº 22/2022 (16595170) - Contratação de empresa especializada para prestação de serviços de mensageria motorizada, com fornecimento de material e equipamentos, na sede da Seção Judiciária do Pará, conforme Anexo I do Edital de licitação do Pregão Eletrônico nº 14/2022.</t>
  </si>
  <si>
    <t>Contratação de empresa especializada para prestação de serviços de mensageria motorizada, com fornecimento de material e equipamentos, na sede da Seção Judiciária do Pará</t>
  </si>
  <si>
    <t>Atrasos na prestação de serviços aos jurisdicionados.</t>
  </si>
  <si>
    <t>SESEG-NUASG29</t>
  </si>
  <si>
    <t>Contratação de empresa para a prestação de serviços de Apoio Administrativo (Encarregado Geral, Auxiliar de Escritório, Recepcionista, Almoxarife, Assistente de Almoxarife, Copeiro e Ascensorista), na sede da Seção Judiciária do Pará e nas Subseções Judiciárias.</t>
  </si>
  <si>
    <t>SERAE-NUINF1</t>
  </si>
  <si>
    <t>Reforma “retrofit” da fachada do edifício sede SJPA</t>
  </si>
  <si>
    <t>) metas estabelecidas no PPA.
b) Objetivo estratégicos do órgão.
c) Programas ou atividades formalmente estabelecidos em regulamento de serviços para a unidade requisitante.</t>
  </si>
  <si>
    <t>Inadequação e precariedade da fachada do edifício sede da Justiça Federal do Pará.</t>
  </si>
  <si>
    <t>Riscos à segurança e bem-estar dos servidores, terceirizados e usuários das instalações da Seção Judiciária do Pará em decorrência de um ambiente com instalações prediais inadequadas à prestação jurisdicionais.</t>
  </si>
  <si>
    <t>SERAE-NUINF2</t>
  </si>
  <si>
    <t>Manutenção predial preventiva e corretiva do edifício sede SJPA e anexos.</t>
  </si>
  <si>
    <t>1. Garantir o pleno funcionamento dos sistemas prediais e reduzir a probabilidade de falhas e/ou degradação das instalações físicas da Seccional, através de serviços de reparos e consertos.
2. Os serviços de manutenção enquadram-se nas exigências legais de terceirização, nos termos do art. 2º da Lei nº 9.632/1998, Decreto nº 9.507/2018 e art. 7º, § 1º da IN nº 05/2017 que dispõem da contratação de serviços sob regime de execução indireta.
3. Proporcionar aos magistrados, servidores, colaboradores e jurisdicionados um ambiente funcional, adequado e eficiente ao exercício da atividade jurisdicional.</t>
  </si>
  <si>
    <t>1627</t>
  </si>
  <si>
    <t>Contrato Vigente.</t>
  </si>
  <si>
    <t>Riscos à segurança e bem-estar dos servidores, terceirizados e usuários das instalações da Seção Judiciária do Pará em decorrência de um ambiente com instalações prediais inadequadas à prestação jurisdicionais; Prejuízo à realização das tarefas rotineiras das áreas meio e fim, com impactos negativos na produtividade.</t>
  </si>
  <si>
    <t>SERAE-NUINF3</t>
  </si>
  <si>
    <t>Execução de pontos de rede lógica do edifício sede SJPA.</t>
  </si>
  <si>
    <t>metas estabelecidas no PPA; Objetivo estratégicos do órgão; Programas ou atividades formalmente estabelecidos em regulamento de serviços para a unidade requisitante.</t>
  </si>
  <si>
    <t>Trata-se de serviço essencial a prestação jurisdicional tendo em conta a necessidade de interligação dos equipamentos de informática (controle de acesso, circuito fechado de monitoramento, computadores, impressoras e telefonia.), assim como, a interligação dos computadores ao CPD e a rede de informática da Seção Judiciária e ao Tribunal Regional Federal da Primeira Região.</t>
  </si>
  <si>
    <t>Fornecimento e Instalação de ponto de rede lógica do edifício sede SJPA</t>
  </si>
  <si>
    <t>PONTOS LÓGICOS</t>
  </si>
  <si>
    <t>Atender, no que couber, ao Decreto nº 7.746/2012 de 05/06/2012, alterado pelo Decreto nº 9.178 de  23/10/2017, que estabelece critérios e práticas para a promoção do desenvolvimento nacional sustentável; Tendo em vista a utilização do SEI-Sistema Eletrônico de Informações os licitantes deverão observar em todas as fases do procedimento licitatório as orientações e normas voltadas para a sustentabilidade ambiental, bem como a apresentação de documentos preferencialmente por meio eletrônico, não sendo necessário o envio de documentos físicos a esta Seção Judiciária;</t>
  </si>
  <si>
    <t>Prejuízo à realização das tarefas rotineiras das áreas meio e fim, com impactos negativos na produtividade.</t>
  </si>
  <si>
    <t>SERAE-NUINF4</t>
  </si>
  <si>
    <t>Aquisição de equipamentos para cabeamento estruturado</t>
  </si>
  <si>
    <t>a) Objetivo estratégicos do órgão.</t>
  </si>
  <si>
    <t>Trata-se de serviço essencial para a prestação jusrisdicional tendo em vista a necessidade de interligação dos equipamentos de informática (Controle de acesso, Circuito fechado de monitoramento, Computadores, impressoras e telefonia), Além de terem oportunas mudanças necessárias para a garantia de qualidade, agilidade e segurança na utilização dos sistemas da Primeira Região, especialmente os que usam a rede de internet e intranet, tais como: Sistema Processual, eProc, eSosti, Sei e entre outros. É válido ressaltar que, dos chamados registrados para a informática, cerca de 80% correspondem à problemas na infraestrutura antiga, cabeamento estruturado e equipamentos referentes a distribuição de dados, que, por diversos motivos técnicos, apresentam constantes falhas e atrasam ou dificultam a execução dos serviços nas varas federais e administrativo.</t>
  </si>
  <si>
    <t>Fornecimento e instalação de equipamentos para cabeamento estruturado (switches, racks, etc)</t>
  </si>
  <si>
    <t>Atender, no que couber, ao Decreto nº 7.746/2012 de 05/06/2012, alterado pelo Decreto nº 9.178 de  23/10/2017, que estabelece critérios e práticas para a promoção do desenvolvimento nacional sustentável; Tendo em vista a utilização do SEI-Sistema Eletrônico de Informações os licitantes deverão observar em todas as fases do procedimento licitatório as orientações e normas voltadas para a sustentabilidade ambiental, bem como a apresentação de documentos preferencialmente por meio eletrônico, não sendo necessário o envio de documentos físicos a esta Seção Judiciária; Durante a execução contratual, será dada preferência ao uso de mensagens eletrônicas (e-mail) na comunicação com a futura contratada, exigindo que os documentos relacionados à gestão contratual (ordens de serviço, notas fiscais, certidões de regularidade fiscal, social e trabalhista, etc.) sejam enviados por meio eletrônico, evitando/reduzindo o uso de papel.</t>
  </si>
  <si>
    <t>SERAE-NUINF5</t>
  </si>
  <si>
    <t>Contratação de serviço para levantamento e compatibilização dos projetos completos em plataforma BIM da SJPA</t>
  </si>
  <si>
    <t>b) Programas ou atividades formalmente estabelecidos em regulamento de serviços para a unidade requisitante.</t>
  </si>
  <si>
    <t>Atualizar e Otimizar a gestão de projetos da SJPA.</t>
  </si>
  <si>
    <t>Projetos em BIM (Arquitetura, Estrutural, Hidráulico, Esgoto, Drenagem, Elétrico, Cabeamento estruturado, Climatização, Controle de obras etc)</t>
  </si>
  <si>
    <t>Prejuízo à realização das tarefas rotineiras das áreas meio e fim, com impactos negativos na produtividade, principalmente relativas às manutenções prediais e serviços de engenharia e arquitetura.</t>
  </si>
  <si>
    <t>SERAE-NUINF6</t>
  </si>
  <si>
    <t>Aquisição de licença anual de softwares de orçamentos de obras.</t>
  </si>
  <si>
    <t>Metas estabelecidas no PPA. Objetivo estratégicos do órgão. Programas ou atividades formalmente estabelecidos em regulamento de serviços para a unidade requisitante.</t>
  </si>
  <si>
    <t>Otimizar a elaboração e análise de orçamentos de obras desta seccional.</t>
  </si>
  <si>
    <t>Software de orçamento de obras</t>
  </si>
  <si>
    <t>LICENÇAS</t>
  </si>
  <si>
    <t>O software otimiza a gestão de recursos.</t>
  </si>
  <si>
    <t>Atrasos na análise e elaboração de orçamento de projetos de engenharia.</t>
  </si>
  <si>
    <t>SERAE-NUINF7</t>
  </si>
  <si>
    <t>Contratação de manutenção preventiva duas vezes por ano dos Grupos Geradores das Subseções.</t>
  </si>
  <si>
    <t>Objetivo estratégicos do órgão. Programas ou atividades formalmente estabelecidos em regulamento de serviços para a unidade requisitante.</t>
  </si>
  <si>
    <t>Manutenção dos Geradores das Subseções da SJPA.</t>
  </si>
  <si>
    <t>manutenção preventiva duas vezes por ano dos Grupos Geradores das Subseções</t>
  </si>
  <si>
    <t>Impactos negativos em relação a uso energético em caso de quedas de energia, uma vez que o gerador do edifício encontra-se parado devido a problemas ocasionados pela falta de manutenção no mesmo.</t>
  </si>
  <si>
    <t>SERAE-NUINF8</t>
  </si>
  <si>
    <t>Contratação de serviços para Execução da 2ª etapa da reforma da SSJ Altamira</t>
  </si>
  <si>
    <t>Continuidade na execução de reforma na SSJ Altamira.</t>
  </si>
  <si>
    <t>Execução da 2ª etapa da reforma da SSJ Altamira</t>
  </si>
  <si>
    <t>SERAE-NUINF9</t>
  </si>
  <si>
    <t>Recuperação e reforma do estacionamento do edifício sede SJPA; Recuperação e reforma da passarela de acesso ao edifício sede SJPA. Pintura de parte da fachada e muros do prédio sede da SJPA.</t>
  </si>
  <si>
    <t>Trata-se de reforma essencial do estacionamento, passarela e parte da fachada, tendo em vista a precariedade das instalações e falta de acessibilidade na utilização do estacionamento, principalmente referenciando às pessoas com necessidades especiais, e por parte dos magistrados, servidores, colaboradores, terceirizados e usuários das instalações da Seção Judiciária do Pará.</t>
  </si>
  <si>
    <t>Recuperação e reforma da passarela de acesso ao edifício sede SJPA.</t>
  </si>
  <si>
    <t>Atender, no que couber, ao Decreto nº 7.746/2012 de 05/06/2012, alterado pelo Decreto nº 9.178 de  23/10/2017, que estabelece critérios e práticas para a promoção do desenvolvimento nacional sustentável;</t>
  </si>
  <si>
    <t>Riscos à segurança e bem-estar dos magistrados, servidores, terceirizados e usuários das instalações da Seção Judiciária do Pará em decorrência de um ambiente com instalações prediais inadequadas à prestação jurisdicionais.</t>
  </si>
  <si>
    <t>SERAE-NUINF10</t>
  </si>
  <si>
    <t>Pintura interna das paredes de vedação da SEDE BLM.</t>
  </si>
  <si>
    <t>Garantir a integridade e durabilidade da edificação, evitando desgastes, infiltrações e corrosões. Selar pela saúde dos servidores ao evitar a presença de microrganismos que podem prejudicar a qualidade do ar.</t>
  </si>
  <si>
    <t>Pintura interna com retoques de pequenas falhas</t>
  </si>
  <si>
    <t>NÂO</t>
  </si>
  <si>
    <t>Atender, no que couber, ao Decreto nº 7.746/2012 de 05/06/2012, alterado pelo Decreto nº 9.178 de 23/10/2017, que estabelece critérios e práticas para a promoção do desenvolvimento nacional sustentável; Tendo em vista a utilização do SEI-Sistema Eletrônico de Informações os licitantes deverão observar em todas as fases do procedimento licitatório as orientações e normas voltadas para a sustentabilidade ambiental, bem como a apresentação de documentos preferencialmente por meio eletrônico, não sendo necessário o envio de documentos físicos a esta Seção Judiciária; Durante a execução contratual, será dada preferência ao uso de mensagens eletrônicas (e-mail) na comunicação com a futura contratada, exigindo que os documentos relacionados à gestão contratual (ordens de serviço, notas fiscais, certidões de regularidade fiscal, social e trabalhista, etc.) sejam enviados por meio eletrônico, evitando/reduzindo o uso de papel</t>
  </si>
  <si>
    <t>SERAE-NUINF11</t>
  </si>
  <si>
    <t>Contratação de fornecimento e instalação de uma USCA - Unidade de Supervisão de Corrente Alternada.</t>
  </si>
  <si>
    <t>a) metas estabelecidas no PPA.</t>
  </si>
  <si>
    <t>Substituição da USCA atual que está com defeito e é obsoleta.</t>
  </si>
  <si>
    <t>Unidade de Supervisão de Corrente Alternada</t>
  </si>
  <si>
    <t>SERAE-NUINF12</t>
  </si>
  <si>
    <t>Reforma do calçamento de acesso à SSJ de Santarém, incluindo passarela de acesso ao edifício sede SJPA.</t>
  </si>
  <si>
    <t>SERAE-NUINF13</t>
  </si>
  <si>
    <t>Inspeção e Manutenção Preventiva do Sistema de Reforço Estrutural do Prédio Sede BLM, compreendendo: Inspeção dos elementos de protensão, verificando integridade e condição de desgaste dos elementos, a fim de garantir que estão devidamente fixados na estrutura e realização de reparos simples elementos danificados ou desgastados, bem como ajustes de tensão para manter a estabilidade e segurança da estrutura.</t>
  </si>
  <si>
    <t>Garantir a integridade do sistema de reforço estrutural utilizado na Sede BLM.</t>
  </si>
  <si>
    <t>Inspeção e Manutenção Preventiva de sistema de reforço por cordoalhas.</t>
  </si>
  <si>
    <t>SERAE-NUINF14</t>
  </si>
  <si>
    <t>Impermeabilização de coberturas em laje da Sede BLM.</t>
  </si>
  <si>
    <t>Grande incidência de infiltrações ocasionadas por falta de manutenção ou inexistência de sistema de impermeabilização, ocasionando danos aos ambientes internos e ao curso normal das atividades fim da edificação.</t>
  </si>
  <si>
    <t>Impermeabilização em manta com camada de proteção mecânica</t>
  </si>
  <si>
    <t>SERAE-NUINF15</t>
  </si>
  <si>
    <t>Reforma do prédio do anexo I, localizado na Travessa Mauriti, nº 2810 Bairro Marco, Belém /PA.</t>
  </si>
  <si>
    <t>Trata-se de reforma essencial para garantir o mínimo de funcionalidade para os servidores exercerem as atividades de aptidão do prédio.</t>
  </si>
  <si>
    <t>Obras civis de reforma</t>
  </si>
  <si>
    <t>SETCOS-DIREF</t>
  </si>
  <si>
    <t>Fornecimento de passagens aéreas para a  Seção Judiciária do Pará.</t>
  </si>
  <si>
    <t xml:space="preserve">Atender as necessidades da Seção Judiciária do Pará relativo à emissão de passagem aérea aos magistrados e servidores, quando em viagem a serviço, treinamentos ou remoções provenientes de atos emanados pelo Tribunal. </t>
  </si>
  <si>
    <t>60 dias</t>
  </si>
  <si>
    <t>não</t>
  </si>
  <si>
    <t>Impossibilidade de deslocação de magistrados e servidores quando convocados para atuarem a pedido da Administração.</t>
  </si>
  <si>
    <t>NUTEC1</t>
  </si>
  <si>
    <t>Serviços de Suporte Técnico de TI para atender demanda da Capital e das oito Subseções vinculadas a esta Seção Judiciária.</t>
  </si>
  <si>
    <t>Objetivo estratégicos do órgão.</t>
  </si>
  <si>
    <t>Dado o reduzido quadro de servidores de TI, o qual impossibilita a execução de atividades apenas por servidores desta seccional do Pará, essa demanda visa a contratação de serviços técnicos especializados na área de tecnologia da informação para organização, desenvolvimento, implantação e execução continuada de atividades de suporte técnico remoto e presencial a usuários de tecnologia da informação, abrangendo a execução de rotinas periódicas, orientação e esclarecimento de dúvidas e recebimento, registro, análise, diagnóstico e atendimento de solicitações de usuários dos diversos recursos tecnológicos disponíveis na  Seção Judiciária do Pará.</t>
  </si>
  <si>
    <t>Prestação de serviços técnicos na área de tecnologia da informação para atendimento e suporte aos usuários de TI (QUATRO PRIMEIROS MESES DE 2023)</t>
  </si>
  <si>
    <t>Tendo em vista a utilização do SEI-Sistema Eletrônico de Informações os licitantes deverão observar em todas as fases do procedimento licitatório as orientações e normas voltadas para a sustentabilidade ambiental, bem como a apresentação de documentos preferencialmente por meio eletrônico, não sendo necessário o envio de documentos físicos a esta Seção Judiciária;</t>
  </si>
  <si>
    <t>Impactos negativos em relação ao fornecimento de energia elétrica em caso de quedas de energia, uma vez que a USCA atual está com defeito e o seu conserto é caro considerando que o equipamento é antigo e está obsoleto.</t>
  </si>
  <si>
    <t>NUTEC2</t>
  </si>
  <si>
    <t>Links de telecomunicações entre a Sede em Belém e as oito Subseções vinculadas a esta Seção Judiciária.</t>
  </si>
  <si>
    <t>Plano Estratégico da Justiça Federal - PEFJ - 2021 - 2026 macro desafios: agilidade e produtividade na prestação jurisdicional e Fortalecimento da estratégia de TIC e de proteção de dados, vez que os serviços técnicos de suporte aos usuários de TI são essenciais para o funcionamento dos equipamentos utilizados pelos magistrados, servidores e demais colaboradores desta seccional em seu trabalho cotidiano.</t>
  </si>
  <si>
    <t>Manter a interconexão entre as redes de computadores do prédio sede da Seção Judiciária em Belém com as sedes das oito subseções vinculadas a esta seccional. Desta forma, permitindo acesso aos recursos computacionais e serviços informatizados, entre eles acesso a: sistemas judiciais, arquivos, internet, e-mail. E mais recentemente com o advento da pandemia que ocasionou o aumento de audiências e reuniões remotos, acesso ao sistema Microsoft Teams.</t>
  </si>
  <si>
    <t> Durante a execução contratual, será dada preferência ao uso de mensagens eletrônicas (e-mail) na comunicação com a futura contratada, exigindo que os documentos relacionados à gestão contratual (ordens de serviço, notas fiscais, certidões de regularidade fiscal, social e trabalhista, etc.) sejam enviados por meio eletrônico, evitando/reduzindo o uso de papel.</t>
  </si>
  <si>
    <t>Interrupção no atendimento de TI local aos usuários da sede em Belém e nas subseções; Prejuízo no atendimento dos jurisdicionados; Inviabilização do suporte e TI as audiências tele presenciais;Prejuízo no atendimento dos jurisdicionados; Inviabilização do suporte e TI as audiências presenciais e remotas.</t>
  </si>
  <si>
    <t>NUTEC3</t>
  </si>
  <si>
    <t>Link de Internet Corporativa para atender a demanda desta Sede em Belém e de forma compartilhada com as oito subseções judiciárias.</t>
  </si>
  <si>
    <t>Plano Estratégico da Justiça Federal -PEFJ - 2021 - 2026, macro desafio Fortalecimento da estratégia de TIC e de proteção de dados.</t>
  </si>
  <si>
    <t>Link de internet dedicado com velocidade de 300 Mbps instalado na seccional em Belém.</t>
  </si>
  <si>
    <t>Interrupção do acesso aos sistemas informatizados nas localidades aqui mencionadas; Inviabilidade de funcionamento das subseções em virtude da falta de acesso aos sistemas; Prejuízo no atendimento dos jurisdicionados; Inviabilização da realização de audiências tele presenciais; Prejuízo na comunicação entre a seção e subseções e destas com outros órgãos e com os jurisdicionados.</t>
  </si>
  <si>
    <t>NUTEC4</t>
  </si>
  <si>
    <t>Aquisição de equipamentos do tipo applicance para serem usados como firewall e implementarem, utilizando os links de internet desta capital e subseções, rede do tipo SDWAN.</t>
  </si>
  <si>
    <t>Plano Estratégico da Justiça Federal - PEFJ - 2021 - 2026 macro desafios: agilidade e produtividade na prestação jurisdicional e Fortalecimento da estratégia de TIC e de proteção de dados, vez que o link de internet é o que possibilita a prestação de serviços jurisdicionais de forma remota por meio da realização tele presencial de audiências e de atendimentos no balcão virtual.</t>
  </si>
  <si>
    <t>O acesso a internet corporativa por meio de link dedicado é item imprescindível para prestação de serviços de grandes empresas e/ou órgão governamentais, pois, ao tempo em que, permite o acesso dos usuários internos aos recursos disponíveis na grande rede, também, possibilita que os usuários externos, jurisdicionados e público em geral, consigam acessar os serviços e informações disponibilizados por esta Justiça por meio da internet. A implantação do sistema digital de Processo Judicial Eletrônico – PJe, que virtualizou os processos e possibilitou acesso aos mesmos pela internet, e que caminha para ser o sistema judicial único no âmbito da JF1, ocasionou a expectativa de utilização de um grande volume de transações e dados. Outro fato que justifica a contratação é o recrudescimento da prestação de serviços jurisdicionais de forma remota por meio da realização tele presencial de audiências e de atendimentos no balcão virtual. Além disso, com a contratação de serviços em nuvem feita pelo TRF da 1ª Região, o link de internet tornou-se item obrigatório para acesso ao serviço de e-mail, aos arquivos e aos serviços de comunicação instantânea. A utilização contínua e cada vez mais disseminada dos sistemas acima citados por parte dos usuários externos (jurisdicionados) faz com que qualquer interrupção no funcionamento de tais sistemas ocasione transtornos e reclamações por parte dos referidos usuários. Outra característica, cada vez mais crescente em qualquer rede corporativa, é a integração com redes sociais e redes de mídias, pois estas têm se mostrado formas vantajosas de publicação de conteúdo em formato de texto, áudio e vídeo pertinentes às atividades institucionais. Pelo exposto acima, a contratação se justifica pela necessidade de prover a seccional com um link de acesso a internet estável e com velocidade compatível com a demanda desta seccional e subseções a ela vinculadas.</t>
  </si>
  <si>
    <t>FORTINET FORTIGATE 40F + UNIFIED THREAT PROTECTION (UTP)</t>
  </si>
  <si>
    <t>Interrupção do acesso aos sistemas, informações e outros serviços disponíveis para acesso por meio da internet ; - Prejuízo no atendimento dos jurisdicionados tanto em Belém como nas subseções a ela vinculadas;  Dificuldades e morosidade para acessar os serviços prestados pela Justiça o que ocasionaria reclamações e insatisfação por parte de colaboradores internos, servidores, estagiário, prestadores, e de usuários externos, jurisdicionados e público em geral.
- Inviabilização da realização de audiências tele presenciais; Prejuízo na comunicação entre a seção e subseções e destas com outros órgãos e com os jurisdicionados.</t>
  </si>
  <si>
    <t>NUTEC5</t>
  </si>
  <si>
    <t>Fortinet Fortigate - FG-40F</t>
  </si>
  <si>
    <t>un</t>
  </si>
  <si>
    <t>NUTEC6</t>
  </si>
  <si>
    <t>Contratação de empresa especializada na prestação de serviços de locação de equipamentos IMPRESSORAS e MULTIFUNCIONAIS MONOCROMÁTICAS, IMPRESSORAS POLICROMÁTICAS e SCANNER</t>
  </si>
  <si>
    <t>A ação, objeto deste termo, está alinhada com os seguintes planos: Plano Estratégico de Tecnologia da Informação da Justiça Federal – PETI para 2021-2026, ambos aprovados pela resolução CJF-RES-2020/00685 de 15 de dezembro de 2020.;  Índice de satisfação dos clientes internos com os serviços de TI, nas dimensões equipamentos, atendimento, disponibilidade, serviços e sistemas. - (Meta: Atingir, até 2019, 80% de satisfação dos clientes internos de TI); Plano Diretor de Tecnologia da Informação da Justiça Federal da Primeira Região – PDTI-TRF1 2018/2020, aprovado pelo CGTI (11837275), PAe 0004687-23.2014.4.01.8000; Plano de Contratação de Soluções de TI – PCSTI 2021 (11837232). Prorrogações: ID 2 - Serviço de atendimento aos usuários de TI do TRF1.</t>
  </si>
  <si>
    <t>A contratação visa munir a SJPA de equipamentos de impressões em preto e branco e policromáticas; e de equipamentos digitalizadores com instalação de equipamentos novos de primeiro uso; disponibilização de todos os suprimentos necessários e suficientes à realização das impressões, exceto papel e cartões; disponibilização de equipamentos digitalizadores do tipo scanner; manutenção preventiva e corretiva com fornecimento de peças em todos os equipamentos; fornecimento e instalação de programas e aplicativos de gerenciamento e bilhetagem do parque de equipamentos.</t>
  </si>
  <si>
    <t>locação de equipamentos IMPRESSORAS e MULTIFUNCIONAIS MONOCROMÁTICAS, IMPRESSORAS POLICROMÁTICAS e SCANNER</t>
  </si>
  <si>
    <t>Visando a efetiva aplicação de critérios, ações ambientais e socioambientais a contratada deve observar os critérios de sustentabilidade, com base nas seguintes instruções normativas:</t>
  </si>
  <si>
    <t>Em virtude de esta SJPA contar com parque de equipamentos já obsoletos e insuficiente a não contratação destes serviços implicará, em curto prazo, no que tange aos scanner na diminuição da produtividade dos setores de digitalização de documentos, essenciais para viabilização dos processo eletrônicos administrativos e judiciais. Em relação às impressoras, esta seccional, em que pese a implantação dos processos eletrônicos, sistemas SEI e PJe, ainda faz uso de muitos documentos impressos, destaque para os mandados e cumprimento de cartas precatórias, de forma que a não contratação implicará em prejuízo na prestação da atividade jurisdicional.</t>
  </si>
  <si>
    <t>NUTEC7</t>
  </si>
  <si>
    <t>Link de Internet Corporativa para atender a demanda das 08 (oito) Subseções judiciárias vinculadas à Seção Judiciária do Pará.</t>
  </si>
  <si>
    <t>Plano Estratégico da Justiça Federal - PEFJ - 2021 - 2026 macro desafios: agilidade e produtividade na prestação jurisdicional e Fortalecimento da estratégia de TIC e de proteção de dados, vez que o link de internet é o que possibilita a prestação de serviços jurisdicionais de forma remota por meio da realização tele presencial de audiências e de atendimentos no balcão virtual</t>
  </si>
  <si>
    <t>O acesso a internet corporativa por meio de link dedicado é item imprescindível para prestação de serviços de grandes empresas e/ou órgão governamentais, pois, ao tempo em que, permite o acesso dos usuários internos aos recursos disponíveis na grande rede, também, possibilita que os usuários externos, jurisdicionados e público em geral, consigam acessar os serviços e informações disponibilizados por esta Justiça por meio da internet.</t>
  </si>
  <si>
    <t>Link de internet dedicado com velocidade de 50 Mbps</t>
  </si>
  <si>
    <t>Interrupção do acesso aos sistemas, informações e outros serviços disponíveis para acesso por meio da internet ;</t>
  </si>
  <si>
    <t>NUTEC8</t>
  </si>
  <si>
    <t>Link de Internet Banda Larga Corporativa para atender a demanda do prédio localizado na Travessa Mauriti, onde se encontra o arquivo da Seção Judiciária do Pará</t>
  </si>
  <si>
    <t>Plano Estratégico da Justiça Federal - PEFJ - 2021 - 2026 macro desafios: agilidade e produtividade na prestação jurisdicional e Fortalecimento da estratégia de TIC e de proteção de dados, vez que o link de internet é o que possibilita a prestação de serviços jurisdicionais de forma remota por meio da realização tele presencial de audiências e de atendimentos no balcão virtual.</t>
  </si>
  <si>
    <t>Link de internet banda larga, podendo ter velocidade de Download e Upload assimétricos, com velocidade similar ou superior de Upload de 250Mbps e Download 500Mbps.</t>
  </si>
  <si>
    <t>NUBES 1</t>
  </si>
  <si>
    <t>contratação de empresa para prestação de serviços especializados na área saúde, compreendendo médico, odontólogo e auxiliar de saúde bucal – ASB, cujo posto de trabalho será na Sede da Justiça Federal de 1º Grau, localizada na Rua Domingos Marreiros, 598 - Umarizal - Belém/PA,</t>
  </si>
  <si>
    <t>O Pro-Social desenvolve atividades relativas à saúde, qualidade de vida e bem-estar social, em consonância com os macrodesafios do Poder Judiciário para a melhoria da gestão de pessoas, a fim de dar cumprimento aos objetivos estratégicos previamente definidos:</t>
  </si>
  <si>
    <t> Existe a necessidade da execução das perícias médicas/odontológicas que cuidam de afastamento de servidores de suas atividades laborais por motivo saúde destes, ou de seus dependentes, conforme disposto na legislação em vigor.</t>
  </si>
  <si>
    <t>contratação de empresa para prestação de serviços especializados na área saúde, compreendendo médico, odontólogo e auxiliar de saúde bucal – ASB</t>
  </si>
  <si>
    <t>Riscos à saúde de magistrados e servidores, em relação a proposições e acompanhamento de medidas preventivas.</t>
  </si>
  <si>
    <t>NUBES 2</t>
  </si>
  <si>
    <t>Aquisição de materiais e medicamentos para utilização nos consultórios médico e odontológico de atendimento interno da Seccional, vinculados ao NUBES.</t>
  </si>
  <si>
    <t>O objeto pretendido está alinhado com os macrodesafios de aperfeiçoamento da gestão administrativa e da governança judiciária estabelecidos no Plano Estratégico da Justiça Federal 2021/2026, normatizado pela Resolução CJF nº 325/2020.</t>
  </si>
  <si>
    <t>A política de saúde adotada no TRF/1a Região, e Seções Judiciárias jurisdicionadas, estabelece que a Administração deve promover assistência médica e odontológica na modalidade direta, ao corpo funcional composto por Magistrados, Servidores, e dependentes registrados na Área de Recursos Humanos.</t>
  </si>
  <si>
    <t>As embalagens dos produtos devem ser fabricadas com materiais que propiciem a sua reutilização ou a reciclagem, devendo-se assegurar que sejam restritas em volume e peso às dimensões requeridas à proteção do conteúdo e à comercialização dos produtos, projetadas de maneira que a sua reutilização seja tecnicamente viável e compatível com as exigências aplicáveis ao produto que contêm, ou recicladas, se a reutilização não for possível.</t>
  </si>
  <si>
    <t>A não aquisição deste material prejudicará a qualidade do trabalho e produtividade de magistrados e servidores, uma vez que estes fazem uso dos serviços médicos e odontológicos prestados sob amparo do que prevê o Regulamento Geral do PRO-SOCIAL, no âmbito da Sede da Justiça Federal no Estado do Pará.</t>
  </si>
  <si>
    <t>NUCOD1</t>
  </si>
  <si>
    <t>Aquisição de equipamentos para os consultórios da Central de Perícias da Seccional.</t>
  </si>
  <si>
    <t>Existe demanda nos consultórios de perícia médica, nos quais são verificadas situações ligadas à saúde de jurisdicionados, visando subsidiar os processos a eles relacionados, cujos procedimentos são determinados por decisões judiciais. A ausência de reposição destes equipamentos ou aquisição de novos equipamentos, trará prejuízos à prestação jurisdicional, seja pelo declínio das condições de trabalho de magistrados e servidores ou em razão do não atendimento aos que buscam seus direitos nesta Seção Judiciária, e que durante os atos processuais, dependem de análise médica.</t>
  </si>
  <si>
    <t>Aquisição de equipamentos para os consultórios </t>
  </si>
  <si>
    <t>A não aquisição deste material permanente ocasionará considerável prejuízo na qualidade do trabalho e produtividade de magistrados e servidores, uma vez que estes fazem uso dos serviços médicos prestados pela Central de Intimações e Perícias (Ceinp) a Seccional, os quais dependem dos materiais em questão. Outro impacto, e desta feita, de grande proporção, ocorrerá na prestação jurisdiconal, haja vista boa parte dos processos do juizado especial ocorrer com a análise médica dos jurisdicionados.</t>
  </si>
  <si>
    <t>NUCOD2</t>
  </si>
  <si>
    <t>Aquisição de scanners portáteis e Notebooks Ultrabooks para o Setor de atermação (Setate), com prestação de serviço de assistência técnica “on-site” e garantia de 48 (quarenta e oito) meses.</t>
  </si>
  <si>
    <t>O objeto pretendido está perfeitamente alinhado com os macrodesafios de aperfeiçoamento da gestão administrativa e da governança judiciária estabelecidos no Plano Estratégico da Justiça Federal 2021/2026, normatizado pela Resolução CJF nº 325/2020. Objetivo Estratégico: Assegurar efetividade dos serviços de TI para a Justiça Federal.</t>
  </si>
  <si>
    <t>Aquisição de equipamentos de microinformática, SCANNERS PORTÁTEIS e NOTEBOOKS ULTRAFINOS, contemplando equipamentos e assistência técnica da garantia no âmbito da Seção Judiciária do Pará para uso pelo setor de atermação, em especial durante a realização de itinerantes.</t>
  </si>
  <si>
    <t>ASUS ZenBook 14X UX5401ZA-L7140W</t>
  </si>
  <si>
    <t>Impacto na prestação jurisdiconal durante a realização de itinerantes, haja vista a necessidade da Justiça Federal alcançar áreas do interior do Estado do Pará, de difícil acesso e conectividade restrita. Risco de comprometer a substituição de equipamentos sem garantia, obsoletos ou defeituosos deste Nucod, prejudicando o acesso externo aos usuários aos sistemas e aplicativos da Primeira Região, com ampla mobilidade e segurança. aos serviços online prestados de forma remota. </t>
  </si>
  <si>
    <t>NUCOD3</t>
  </si>
  <si>
    <t>Scanner Fujitsu ScanSnap IX1600 A4 Duplex 40ppm Color Wi-Fi ou Scanner Epson WorkForce ES-60W, Epson, ES-60W, Preto</t>
  </si>
  <si>
    <t>NUCOD4</t>
  </si>
  <si>
    <t>Xerox XD-COMBO Scanner de Documentos para PC e Mac, Alimentador Automático de Documentos (ADF)</t>
  </si>
  <si>
    <t>NUCOD5</t>
  </si>
  <si>
    <t>Rolo Esterilização 100 cm x100m</t>
  </si>
  <si>
    <t>A não aquisição deste material permanente ocasionará considerável prejuízo na qualidade do trabalho e produtividade de magistrados e servidores, uma vez que estes fazem uso dos serviços médicos prestados pela Central de Perícias da Seccional, os quais dependem dos materiais em questão. Outro impacto, e desta feita, de grande proporção, ocorrerá na prestação jurisdiconal, haja vista boa parte dos processos do juizado especial ocorrer com a análise médica dos jurisdicionados.</t>
  </si>
  <si>
    <t>SUBSEÇÃO JUDICIÁRIA DE ALTAMIRA1</t>
  </si>
  <si>
    <t>Fornecimento de energia elétrica na sede da Subseção Judiciária de altamira.</t>
  </si>
  <si>
    <t>A necessidade apresentada alinha-se com o Macrodesafio do Poder Judiciário “Aperfeiçoamento da gestão orçamentária e financeira” e com o Macrodesafio específico "Fortalecimento da segurança e proteção institucional", buscando assegurar o direcionamento dos gastos para o atendimento das necessidades prioritárias e essenciais da Seção Judiciária do Pará e Subseções vinculadas.  Além disso, a necessidade mencionada é imprescindível para assegurar o alcance dos demais objetivos institucionais da Subseção Judiciária de Altamira.</t>
  </si>
  <si>
    <t>SUBSEÇÃO JUDICIÁRIA DE ALTAMIRA2</t>
  </si>
  <si>
    <t>serviços de operação e manutenção preventiva e corretiva, com fornecimento de peças se for o caso, para o sistema de climatização do Prédio Sede da Subseção Judiciária do Altamira</t>
  </si>
  <si>
    <t>Em razão da necessidade de proporcionar um ambiente de trabalho adequado às pessoas que se utilizam das instalações da Subseção Judiciária de Altamira, a manutenções preventivas periódicas e corretivas nos aparelhos condicionadores de ar, as instalações do prédio com aspectos mais favoráveis à saúde, à segurança, ao bem-estar e ao conforto dos ocupantes dos ambientes, atendendo às exigências da ANVISA.</t>
  </si>
  <si>
    <t>2801</t>
  </si>
  <si>
    <t>30 dIAS</t>
  </si>
  <si>
    <t>Gradualmente, a Subseção vem substituindo os aparelhos condicionadores de ar por equipamentos que possuem tecnologia inverter, bem como substituindo Multsplits por equipamentos com tecnologia VRF, os quais consomem menos energia elétrica. Nesse sentido, a Subseção vem gradualmente substituindo o gás R-22 pelo gás R410A, chamado de ecológico porque não possui CFCs (clorofluorcarbonos) - substâncias à base de cloro que são prejudiciais à saúde e ao meio ambiente, causando danos à camada de ozônio. Ele também não é tóxico e nem inflamável. </t>
  </si>
  <si>
    <t>Riscos à saúde, segurança e bem-estar dos servidores, terceirizados e usuários das instalações da Subseção em decorrência de um ambiente desorganizado e insalubre; Prejuízo à realização das tarefas rotineiras das áreas meio e fim, com impactos negativos na produtividade.</t>
  </si>
  <si>
    <t>SUBSEÇÃO JUDICIÁRIA DE ALTAMIRA3</t>
  </si>
  <si>
    <t>Contratação de Empresas para fornecimento de água mineral e copos descartáveis à Subseção Judiciária de Altamira, durante o exercício de 2024.</t>
  </si>
  <si>
    <t>A necessidade apresentada alinha-se com o Macrodesafio do Poder Judiciário “Aperfeiçoamento da gestão orçamentária e financeira” e com o Macrodesafio específico "Fortalecimento da segurança e proteção institucional", buscando assegurar o direcionamento dos gastos para o atendimento das necessidades prioritárias e essenciais da Seção Judiciária do Pará e Subseções vinculadas. Além disso, a necessidade mencionada é imprescindível para assegurar o alcance dos demais objetivos institucionais da Subseção Judiciária de Altamira.</t>
  </si>
  <si>
    <t>Prover o estoque dos referidos materiais, visando suprir às necessidades desta Subseção Judiciária de Altamira, durante o exercício de 2024.</t>
  </si>
  <si>
    <t>Água mineral, sem gás, em garrafa de 500 ML, com PH de 4,30 a 7,0</t>
  </si>
  <si>
    <t>O município de Altamira não disponibiliza água potável, apesar de ter rede de distribuição. Assim, a não contratação poderia trazer danos à saúde dos servidores e demais usuários dos serviços prestados pelo Poder Judiciário no município.</t>
  </si>
  <si>
    <t>SUBSEÇÃO JUDICIÁRIA DE ALTAMIRA4</t>
  </si>
  <si>
    <t>Água Mineral, sem Gás, em vasilhame de 20 Litros, com PH de 4,30 a 7,0</t>
  </si>
  <si>
    <t>SUBSEÇÃO JUDICIÁRIA DE ALTAMIRA5</t>
  </si>
  <si>
    <t>Copo descartável de 180 ml, produzido com amido de milho (ácido poliático), aplicação para liquidos frios e quentes</t>
  </si>
  <si>
    <t>CENTO</t>
  </si>
  <si>
    <t>A contratação de Copo Plástico Biodegradável segue os critéiros de sustentabilidade adotado pelo TRF1.</t>
  </si>
  <si>
    <t>SUBSEÇÃO JUDICIÁRIA DE ALTAMIRA6</t>
  </si>
  <si>
    <t>Aquisição de 2 nobreaks de 10 kvs.</t>
  </si>
  <si>
    <t>A necessidade apresentada alinha-se com o Macrodesafio do Poder Judiciário “Aperfeiçoamento da gestão orçamentária e financeira” e com o Macrodesafio específico "Fortalecimento da segurança e proteção institucional", buscando assegurar o direcionamento dos gastos para o atendimento das necessidades prioritárias e essenciais da Seção Judiciária do Pará e Subseções vinculadas.Além disso, a necessidade mencionada é imprescindível para assegurar o alcance dos demais objetivos institucionais da Subseção Judiciária de Altamira.</t>
  </si>
  <si>
    <t>Estabilizar a rede e tomadas do CPD, pois os dois que estão no CPD estão, um inoperante, pois não teve conserto ou mesmo com valor acima de 06 (seis mil reais), o que vale quase um novo e o segundo, está com alguns coolers queimados  e aparentemente próximo de dar defeito.</t>
  </si>
  <si>
    <t>Menor consumo e maior eficiência energética, dentro de sua categoria. Menores gastos com manutenção com manutenção.</t>
  </si>
  <si>
    <t>Interrupção dos serviços realizados totais, visto que desliga todo o CPD.</t>
  </si>
  <si>
    <t>SUBSEÇÃO JUDICIÁRIA DE ALTAMIRA7</t>
  </si>
  <si>
    <t>Manutenção preventiva e corretiva do grupo gerador</t>
  </si>
  <si>
    <t>A necessidade apresentada alinha-se com o Macrodesafio do Poder Judiciário “Aperfeiçoamento da gestão orçamentária e financeira” e com o Macrodesafio específico "Fortalecimento da segurança e proteção institucional", buscando assegurar o direcionamento dos gastos para o atendimento das necessidades prioritárias e essenciais da Seção Judiciária do Pará e Subseções vinculadas.</t>
  </si>
  <si>
    <t>Manter o equipamento em condições de funcionamento para suprir de energia elétrica nas quedas da rede da concessionária, visto que se trata de equipamento imprescindível à segurança energética dos equipamentos da sala de telemática e demais dispositivos de informática.</t>
  </si>
  <si>
    <t>Manutenção preventiva, com troca de óleo lubrificante, filtros e outros elementos do motor do grupo gerador modelo Grupo Motor-Gerador a diesel, MARCA GERAFORTE, MODELO GGP-102, MOTOR PERKINS, MODELO 1104A44TG2</t>
  </si>
  <si>
    <t>Economia de combustível e de valores.</t>
  </si>
  <si>
    <t>Falta de energia caso caia a rede da concessionária, impossibilitando o funcionamento da Subseção.</t>
  </si>
  <si>
    <t>SUBSEÇÃO JUDICIÁRIA DE ALTAMIRA8</t>
  </si>
  <si>
    <t>Compra de 05 pneus para caminhonete L200 TRITON.</t>
  </si>
  <si>
    <t>Melhor eficiência e segurança na condução do veículo.</t>
  </si>
  <si>
    <t>Os pneus que estão na viatura L 200 TRITON já se encontram no limite de sua validade e ficando carecas, perdendo seu atrito com o solo, causando instabilidade na condução desse veículo.</t>
  </si>
  <si>
    <t>PNEUS ARO 65X245/17, para caminhonete L200 TRITON </t>
  </si>
  <si>
    <t>Economia e segurança na condução do veículo.</t>
  </si>
  <si>
    <t>Risco de acidentes, inclusive fatal.</t>
  </si>
  <si>
    <t>SUBSEÇÃO JUDICIÁRIA DE ALTAMIRA9</t>
  </si>
  <si>
    <t>Vidro temperado para divisão da guarita e proteção da porta giratória da entrada do prédio da SSJ-ATM.</t>
  </si>
  <si>
    <t>Plano Estratégico da Justiça Federal - PEJF 2021/2026, macrodesafio: Aperfeiçoamento da gestão administrativa e da governança judiciária.</t>
  </si>
  <si>
    <t>A área de entrada do público em geral a ser atendido na Subseção é feita pela guarita(parte aberta, com passagem pela porta giratória.), mas o projeto de construção da parte coberta não levou em consideração as chuvas fortes e com vento, que pode molhar a porta giratória detectora de metais. Portanto, è necessária a colocação de vidros para dividir o vão de entrada, para que as pessoas passem pela porta giratória e vidros para proteger a porta giratória das chuvas com vento que, se molhar, pode danificar a parte eletrônica e a parte de madeira desse equipamento de segurança. </t>
  </si>
  <si>
    <t>Vidro temperado para divisão e controle de entrada na Subseção e proteção da porta giratória com detecção de metais (PGDM).</t>
  </si>
  <si>
    <t>Maior proteção das autoridades e servidores, bem como dos usuários em geral</t>
  </si>
  <si>
    <t>Risco à segurança de todos na Subseção. Incluindo magistrados.</t>
  </si>
  <si>
    <t>SUBSEÇÃO JUDICIÁRIA DE ALTAMIRA10</t>
  </si>
  <si>
    <t>Aumentar os muros laterais; Reativar as cercas de segurança; Instalar concertinas em toda extensão dos muros; Instalar eclusa na área de entrada, após o portão principal; Instalar grades de ferro na área após a eclusa bem como no lado esquerdo do prédio, evitando o fácil acesso aos fundos das instalações. </t>
  </si>
  <si>
    <t>Como se trata de demanda da área de segurança desta SSJ-ATM, representada pelo APJ Ronaldo dos Santos Lanhellas, justifica a inclusão em valores aproximados no conjunto dos serviços e materiais.</t>
  </si>
  <si>
    <t>Sistema de controle de acesso às dependências da SSJ-ALTAMIRA, por meio de cerca elétrica, concertinas em todo o muro da SSJ-ATM, instalação de grades em pontos estratégicos.</t>
  </si>
  <si>
    <t>Maior eficiência na segurança.</t>
  </si>
  <si>
    <t>Maior vulnerabilidade das instalações e dos servidores e magistrados.</t>
  </si>
  <si>
    <t>SUBSEÇÃO JUDICIÁRIA DE ALTAMIRA11</t>
  </si>
  <si>
    <t>Implantação de sistema de acesso às dependências da subseção via cartão digital ou biométrico.</t>
  </si>
  <si>
    <t>Com a reforma do prédio e sua modernização há necessidade de aquisição de letras no padrão atual da justiça federal para que dê mais visibilidade ao prédio. Atualmente a identificação se dá meio de letras de alumínio  batido, sem muita expressão comparado aos novos padrões do Tribunal. Portanto, é necessário aquisição de letras em 3D de alumínio à fachada da SSJ-ALTAMIRA.</t>
  </si>
  <si>
    <t>Gosto menos com outros meios preventivo.</t>
  </si>
  <si>
    <t>Falta de segurança aos servidores, magistrados e outras autoridades e jurisdicionados.</t>
  </si>
  <si>
    <t>SUBSEÇÃO JUDICIÁRIA DE ALTAMIRA12</t>
  </si>
  <si>
    <t>Aquisição de letras de alumínio em 3D para fachada da SSJ-ALTAMIRA, com os dizeres " JUSTIÇA FEDERAL".</t>
  </si>
  <si>
    <t>disPENSA</t>
  </si>
  <si>
    <t>Melhor visibilidade ao prédio.</t>
  </si>
  <si>
    <t>Visual arcaico do prédio com maior modernidade.</t>
  </si>
  <si>
    <t>SUBSEÇÃO JUDICIÁRIA DE ALTAMIRA13</t>
  </si>
  <si>
    <t>Manutenção preventiva do elevador de acessibilidade.</t>
  </si>
  <si>
    <t>O elevador de acessibilidade da SSJ-ALTAMIRA conta com revisões preventiva durante  01 (um)ano pela fabricante</t>
  </si>
  <si>
    <t>Manutenção preventiva do elevador de acessibilidade durante o ano de 2024.</t>
  </si>
  <si>
    <t>Melhor eficiência dos recursos públicos.</t>
  </si>
  <si>
    <t>Perigo de pane e outras avarias no elevador, causando pânico ou avarias mais sérias. </t>
  </si>
  <si>
    <t>SUBSEÇÃO JUDICIÁRIA DE ALTAMIRA14</t>
  </si>
  <si>
    <t>Aquisição de 06 persianas para janelas.</t>
  </si>
  <si>
    <t>com as janelas em vidro, após a reforma do prédio acrescentadas 6 janelas, as quais não têm persianas.</t>
  </si>
  <si>
    <t>aquisição de 06 persianas.</t>
  </si>
  <si>
    <t>Maior conforte térmico e menor luminosidade em locais inadequados.</t>
  </si>
  <si>
    <t>Fadiga ao usuários que precisam esperar sentados no são de atendimento, com luz solar incidindo sobre eles.</t>
  </si>
  <si>
    <t>SUBSEÇÃO JUDICIÁRIA DE CASTANHAL1</t>
  </si>
  <si>
    <t>Fornecimento de energia elétrica</t>
  </si>
  <si>
    <t>Fornecimento continuo por parte da concessionária de energia para uso geral.</t>
  </si>
  <si>
    <t>Contrato de fornecimento de energia elétrica</t>
  </si>
  <si>
    <t>Não funcionamento total da Subseção.</t>
  </si>
  <si>
    <t>SUBSEÇÃO JUDICIÁRIA DE CASTANHAL2</t>
  </si>
  <si>
    <t>Manutenção preventiva e corretiva em equipamento de ar condicionado</t>
  </si>
  <si>
    <t>As manutenções preventivas e corretivas devem ser praticadas em conjunto com as normas constantes da NBR 13.971/97, NBR 7256/82, NBR 6401/80, Portaria n. 3.523/98 - MS e Resolução 09/03 da ANVISA.</t>
  </si>
  <si>
    <t>As manutenções são necessárias para garantir a qualidade do ar respirado, eficiência da climatização realizada pelos aparelhos, conservação e aumento da vida útil dos equipamentos, além do atendimento à legislação vigente relativa à necessidade de limpeza desse tipo de equipamento.</t>
  </si>
  <si>
    <t>Serviço de manutenção preventiva e corretiva dos equipamentos de refrigeração, com fornecimento e troca de peças.</t>
  </si>
  <si>
    <t>Uso de materiais e gases refrigerantes ecológicos.</t>
  </si>
  <si>
    <t>Riscos à saúde dos servidores e demais usuários dos serviços prestados pela Justiça Federal, uma vez que a falta de manutenção nos equipamentos de ar condicionado pode causar problemas respiratórios, bem como danos aos equipamentos.</t>
  </si>
  <si>
    <t>SUBSEÇÃO JUDICIÁRIA DE CASTANHAL3</t>
  </si>
  <si>
    <t>Aquisição de material/reposição de informática (materiais periféricos): R$ 5.000,00</t>
  </si>
  <si>
    <t>A compra é fundamental para o desempenho das atividades e alcance das metas institucionais.</t>
  </si>
  <si>
    <t>Necessária para substituições de peças que precisam ser trocadas por desgaste de uso. Sem a compra praticamente pode prejudicar o atendimento do serviço público . É uma contratação imprescindível.</t>
  </si>
  <si>
    <t>Aquisição de material/reposição de informática (materiais periféricos)</t>
  </si>
  <si>
    <t>30DIAS</t>
  </si>
  <si>
    <t>Uso de materiais de composição, na medida do possível, ecológicos.</t>
  </si>
  <si>
    <t>Interrupção/paralização dos serviços</t>
  </si>
  <si>
    <t>SUBSEÇÃO JUDICIÁRIA DE CASTANHAL4</t>
  </si>
  <si>
    <t>Locação de imóvel que abriga a Subseção Judiciária de Castanhal</t>
  </si>
  <si>
    <t>Locação do imóvel que abriga a SSJCAH</t>
  </si>
  <si>
    <t>Serviço de Locação do imóvel que abriga a SSJCAH</t>
  </si>
  <si>
    <t>Suspensão/interrupção total dos serviços prestados.</t>
  </si>
  <si>
    <t>SUBSEÇÃO JUDICIÁRIA DE CASTANHAL5</t>
  </si>
  <si>
    <t>Aquisição de peças de centrais de ar.</t>
  </si>
  <si>
    <t>Manter um ambiente salubre para servidores e demais usuários dos serviços prestados pelo Poder Judiciário.</t>
  </si>
  <si>
    <t>Fazer com que a  manutenção preventiva e corretiva dos equipamentos de ar condicionado sem alcançadas.</t>
  </si>
  <si>
    <t>Peças de reposição de central de ar </t>
  </si>
  <si>
    <t>CJ MATERIAIS</t>
  </si>
  <si>
    <t>SUBSEÇÃO JUDICIÁRIA DE CASTANHAL6</t>
  </si>
  <si>
    <t>Compra de equipamentos de informática:  6 scaners, 6 impressoras. </t>
  </si>
  <si>
    <t>A compra  é fundamental para o desempenho das atividades e alcance das metas institucionais.</t>
  </si>
  <si>
    <t>Necessária para substituições dos itens antigos, necessidades pela demandas de necessidades de novos recursos humanos. Sem a compra praticamente pode prejudicar o atendimento do serviço público . É uma contratação imprescindível.</t>
  </si>
  <si>
    <t>Scaners: Epson Scanner Workforce DS-870 SIMILAR ou SUPERIOR</t>
  </si>
  <si>
    <t>SUBSEÇÃO JUDICIÁRIA DE CASTANHAL7</t>
  </si>
  <si>
    <t>Impressoras: Impressora laser mono ms621dn 3650403 lexmark, SIMILAR ou SUPERIOR</t>
  </si>
  <si>
    <t>SUBSEÇÃO JUDICIÁRIA DE CASTANHAL8</t>
  </si>
  <si>
    <t>Compra de equpamentos de informatica: 10 teclados, 10 mouses e 5 cabos HDMI.</t>
  </si>
  <si>
    <t>cabos HDMI</t>
  </si>
  <si>
    <t>SUBSEÇÃO JUDICIÁRIA DE CASTANHAL9</t>
  </si>
  <si>
    <t>kit teclados</t>
  </si>
  <si>
    <t>SUBSEÇÃO JUDICIÁRIA DE CASTANHAL10</t>
  </si>
  <si>
    <t>Aquisição de persianas para SSJCAH - 1º e 2º andar</t>
  </si>
  <si>
    <t>Instalar persianas para a manutenção do equilíbrio térmico, controle da luminosidade e privacidade das salas dos magistrados, o que corrobora para a melhora do meio ambiente de trabalho.</t>
  </si>
  <si>
    <t>Persiana vertical em PVC, na cor cinza, regulável com trilho em alumínio</t>
  </si>
  <si>
    <t>metro</t>
  </si>
  <si>
    <t>dISPENSA</t>
  </si>
  <si>
    <t>SUBSEÇÃO JUDICIÁRIA DE CASTANHAL11</t>
  </si>
  <si>
    <t>Recarga de Extintores</t>
  </si>
  <si>
    <t>Manter os equipamentos de combate a incêndio do edifício-sede em perfeitas condições de uso para eventuais necessidades.</t>
  </si>
  <si>
    <t>Impossibilidade de debelar eventual inicio de incêndio.</t>
  </si>
  <si>
    <t>SUBSEÇÃO JUDICIÁRIA DE CASTANHAL12</t>
  </si>
  <si>
    <r>
      <t>Recarga de extintor de incêndio de </t>
    </r>
    <r>
      <rPr>
        <u/>
        <sz val="10"/>
        <color rgb="FF000000"/>
        <rFont val="Calibri"/>
        <family val="2"/>
      </rPr>
      <t>06 kg,</t>
    </r>
    <r>
      <rPr>
        <sz val="10"/>
        <color rgb="FF000000"/>
        <rFont val="Calibri"/>
        <family val="2"/>
      </rPr>
      <t> com gás carbônico (CO</t>
    </r>
    <r>
      <rPr>
        <vertAlign val="subscript"/>
        <sz val="10"/>
        <color rgb="FF000000"/>
        <rFont val="Calibri"/>
        <family val="2"/>
      </rPr>
      <t>2</t>
    </r>
    <r>
      <rPr>
        <sz val="10"/>
        <color rgb="FF000000"/>
        <rFont val="Calibri"/>
        <family val="2"/>
      </rPr>
      <t>)</t>
    </r>
  </si>
  <si>
    <t>SUBSEÇÃO JUDICIÁRIA DE CASTANHAL13</t>
  </si>
  <si>
    <t> Aquisição de aparelhos de ar condicionado, capacidade refrigeração: 60.000 BTUs e 45.000 BTUs, tensão: 220 v, tipo: split, características adicionais 1: controle remoto sem fio, inverter </t>
  </si>
  <si>
    <t>Fornecer um ambiente climatizado aos servidores para que desempenhem suas atribuições em local salubre, bem como atender ao juriscionando em um ambiente confortável.</t>
  </si>
  <si>
    <t>Substituir os ar condicionados mais antigos, uma vez que a manutenção desses equipamentos já não é mais vantajosa para administração, bem como promover economia de energia elétrica, tendo em vista que os novos modelos de ar condicionado inverter geram economia energética em torno de 40% em relação aos modelos convencionais.</t>
  </si>
  <si>
    <t>Aparelho de ar condicionado, capacidade refrigeração: 60.000 BTUs, tensão: 220 v, tipo: split</t>
  </si>
  <si>
    <t>Menor consumo e maior eficiência energética, dentro de sua categoria;</t>
  </si>
  <si>
    <t>Ambiente inadequado de trabalho, tendo em vista as altas temperaturas na região norte.</t>
  </si>
  <si>
    <t>SUBSEÇÃO JUDICIÁRIA DE CASTANHAL14</t>
  </si>
  <si>
    <t>Aparelho de ar condicionado, capacidade refrigeração: 45.000 BTUs, tensão: 220 v, tipo: split</t>
  </si>
  <si>
    <t>SUBSEÇÃO JUDICIÁRIA DE CASTANHAL15</t>
  </si>
  <si>
    <t>Instalação de ar condicionados de 18.000 e 22.000 btus</t>
  </si>
  <si>
    <t>Fazer a instalação dos equipamentos de ar condicionado para que o objetivo pretendido na demanda de compra desses equipamentos sejam seja alcançado.</t>
  </si>
  <si>
    <t>Instalação de aparelho de ar condicionado, capacidade refrigeração: 60.000 BTUs ; Instalação de aparelho de ar condicionado, capacidade refrigeração: 45.000 BTUs</t>
  </si>
  <si>
    <t>Equipamentos de ar condicionados não serão instalados, ficando estocado, deteriorando, ocasionando prejuízo para administração.</t>
  </si>
  <si>
    <t>SUBSEÇÃO JUDICIÁRIA DE CASTANHAL16</t>
  </si>
  <si>
    <t>Gás Refrigerante R410A em cilindro de 11,3kg</t>
  </si>
  <si>
    <t>Metas do PPA</t>
  </si>
  <si>
    <t>A aquisição do Gás Refrigerante R410A se faz necessária, tendo em vista que temos 16 ar condicionados, tipo inverter que utilizam esse gás, sendo necessário tê-lo em estoque para eventuais reposições nos respectivos aparelhos de ar condicionados.</t>
  </si>
  <si>
    <t>Gás Refrigerante R410A em cilindro de 13,3kg</t>
  </si>
  <si>
    <t>KG</t>
  </si>
  <si>
    <t>Faltar reposição de gás nos ar condicionados e paralização do funcionamento dos equipamentos de refrigeração, causando transtorno a execução dos serviços.</t>
  </si>
  <si>
    <t>SUBSEÇÃO JUDICIÁRIA DE CASTANHAL17</t>
  </si>
  <si>
    <t>Limpeza e higienização de cisternas.</t>
  </si>
  <si>
    <t>Cumprir as obrigações instituídas na Lei nº 5.882/94/Pará , visando manter o sistema de abastecimento de água do Edifício-Sede em conformidade com o padrão de potabilidade vigente</t>
  </si>
  <si>
    <t>Limpeza e higienização de 1 cisternas</t>
  </si>
  <si>
    <t>Fornecimento de água de baixa qualidade, que poderá afetar a saúde dos consumidores.</t>
  </si>
  <si>
    <t>SUBSEÇÃO JUDICIÁRIA DE CASTANHAL18</t>
  </si>
  <si>
    <t>Cadeira giratória espaldar com encosto revestido em tela flexível, com apoio lombar independente regulável na altura. Com apoio de braços regulável em altura e ângulo(acabamento em resina plástica). Com assento em tela de alta performance. Com ajuste de altura do assento e inclinação do encosto em 3 pontos de parada. Base da cadeira injetada em resina termostática de alta resistência e alta qualidade, com rodinhas de 55mm de diâmetro, indicado para qualquer tipo de piso. Assento, encosto, apoio de braço e base na cor preta.</t>
  </si>
  <si>
    <t>Trocar as cadeiras das salas do Juiz Titular, Juiz Substituto e das Salas de Audiências, tendo em vista que as cadeiras desses ambientes, que são utilizadas pelos magistrados, já estão desgastadas, uma vez que já tem mais de 10 anos de uso.</t>
  </si>
  <si>
    <t>Uso de equipamento inadequado ao desempenho das atividades.</t>
  </si>
  <si>
    <t>SUBSEÇÃO JUDICIÁRIA DE CASTANHAL19</t>
  </si>
  <si>
    <t>Serviço de Locação de copiadora</t>
  </si>
  <si>
    <t>Necessidade de atender às demandas da Vara referentes à cópias de documentos em geral.</t>
  </si>
  <si>
    <t>Impossibilidade de se realizar cópias de documentos</t>
  </si>
  <si>
    <t>SUBSEÇÃO JUDICIÁRIA DE CASTANHAL20</t>
  </si>
  <si>
    <t>Serviço de dedetização e desratização</t>
  </si>
  <si>
    <t>Combater baratas, ratos e outras pragas urbanas nas edificações.</t>
  </si>
  <si>
    <t>Proliferação de doenças por baratas, ratos e outras pragas.</t>
  </si>
  <si>
    <t>SUBSEÇÃO JUDICIÁRIA DE CASTANHAL21</t>
  </si>
  <si>
    <t>Cofre de tamanho médio, para fins de acautelamento de armar de fogo pequenas ou itens apreendidos (moedas falsas, passaportes, CNH e outros)</t>
  </si>
  <si>
    <t>A proposta está em consonância com o Plano Estratégico da Justiça Federal - PEJF 2021/2026, com destaque para os objetivos: "Agilidade e produtividade na prestação jurisdicional", "Aperfeiçoamento da gestão administrativa e da governança judiciária". Alinha-se, ainda, com o Plano de Logística Sustentável do Tribunal Regional Federal da 1ª Região - PLS - TRF1 2021-2026 e com o ODS 16 da Agenda 2030/ONU, que visa promover sociedades pacíficas e inclusivas para o desenvolvimento sustentável, proporcionar o acesso à justiça para todos e construir instituições eficazes, responsáveis e inclusivas em todos os níveis.</t>
  </si>
  <si>
    <t>Não tem local adequado para fazer a guarda dos itens relacionados.</t>
  </si>
  <si>
    <t>COFRE Material: aço / concreto
Tamanho: pequeno
Cor: cinza
Tipo fechadura: mecânica/chave
Características Adicionais: segredo mecânico e prateleira móvel na horizontal</t>
  </si>
  <si>
    <t>O critério de sustentabilidade está fora do escopo da solução proposta</t>
  </si>
  <si>
    <t>Não atendimento de solicitação de material permanente - cofre de tamanho médio, para fins de acautelamento de armar de fogo pequenas ou itens apreendidos (moedas falsas, passaportes, CNH e outros), cuja demanda é específica, eventual e não estocável.</t>
  </si>
  <si>
    <t>SUBSEÇÃO JUDICIÁRIA DE CASTANHAL22</t>
  </si>
  <si>
    <t>Instalação de cofre de tamanho médio, para fins de acautelamento de armar de fogo pequenas ou itens apreendidos (moedas falsas, passaportes, CNH e outros)</t>
  </si>
  <si>
    <t>relacionado ao item 4 do documento SEI17798154.</t>
  </si>
  <si>
    <t>INSTALAÇÃO DO COFRE
Material: aço / concreto
Tamanho: pequeno
Cor: cinza
Tipo fechadura: mecânica/chave
Características Adicionais: segredo mecânico e prateleira móvel na horizontal</t>
  </si>
  <si>
    <t>Não atendimento de solicitação de material permanente instalação do cofre de tamanho médio, para fins de acautelamento de armar de fogo pequenas ou itens apreendidos (moedas falsas, passaportes, CNH e outros), pode deixar com o bem com menos utilidade.</t>
  </si>
  <si>
    <t>SUBSEÇÃO JUDICIÁRIA DE ITAITUBA1</t>
  </si>
  <si>
    <t>Necessidade básica dos servidores e clientes do consumo de água potável</t>
  </si>
  <si>
    <t>Plano Estratégico da Justiça Federal - PEJF 2021/2026, macrodesafio: Aperfeiçoamento da gestão administrativa e da governança judiciária. Objetivos de Desenvolvimento Sustentável - Agenda 2030/ONU: ODS 16: Paz, Justiça e Instituições Eficazes</t>
  </si>
  <si>
    <t>É essencial para a saúde e bem estar das pessoas a ingestão de uma boa quantidade de água diariamente, tornando necessária a contratação de empresa que forneça garrafões de água e copos descartáveis, para atender aos servidores, magistrados, advogados, autoridades e ao público em geral.</t>
  </si>
  <si>
    <t>Água mineral, sem gás, em garrafão de 20 litros.</t>
  </si>
  <si>
    <t>As embalagens dos garrafões de água mineral são retornáveis. Os copos são destinados em sua maioria para o públic externo, pois servidores são orientados a trazer suas garrafas.</t>
  </si>
  <si>
    <t>Prejuízo à saúde e bem estar de servidores, magistrados, advogados, autoridades e ao público em geral.</t>
  </si>
  <si>
    <t>SUBSEÇÃO JUDICIÁRIA DE ITAITUBA2</t>
  </si>
  <si>
    <t>Copo plástico descartável de 200 ml (pacote c/ 100 unidades).</t>
  </si>
  <si>
    <t>PACOTE</t>
  </si>
  <si>
    <t>SUBSEÇÃO JUDICIÁRIA DE ITAITUBA3</t>
  </si>
  <si>
    <t>Abrigo e acomodação física da Sede da Subseção</t>
  </si>
  <si>
    <t>Manutenção desta Subseção Judiciária no município de Itaituba, autorizada pela Portaria/Presi/Cenag Nº 104, de 25/06/2013 e alterada pelas Portaria Presi/CENAG Nº 109 de 03 de Junho de 2013, Portaria Presi/Secge n. 198, de 6 junho de 2014 e Resolução Presi n. 26, de 2 de agosto de 2017, criada pela Lei 12.011 de 04/08/2009, com localização definida pela Resolução do CJF Nº 102 de 14/04/2010.</t>
  </si>
  <si>
    <t>A continuidade do contrato de locação de imóvel que abriga esta Subseção Judiciária  é justificada, tendo em vista que a Justiça Federal em Itaituba não  possui sede própria. Assim, até que se construa uma nova sede há necessidade da contratação de imóvel para abrigar a Subseção Judiciária.</t>
  </si>
  <si>
    <t>Locação de imóvel</t>
  </si>
  <si>
    <t>Suspensão/interrupção total dos serviços prestados </t>
  </si>
  <si>
    <t>SUBSEÇÃO JUDICIÁRIA DE ITAITUBA4</t>
  </si>
  <si>
    <t>Funcionamento dos equipamentos elétricos da unidade</t>
  </si>
  <si>
    <t>O fornecimento de energia elétrica é fundamental para o desempenho das atividades e alcanse das metas institucionais.</t>
  </si>
  <si>
    <t>O funcionamento da Subseção depende do fornecimento de energia elétrica </t>
  </si>
  <si>
    <t>Contratação de empresa fornecedora de energia elétrica</t>
  </si>
  <si>
    <t>Interrupção/paralização dos serviços</t>
  </si>
  <si>
    <t>SUBSEÇÃO JUDICIÁRIA DE ITAITUBA5</t>
  </si>
  <si>
    <t>Desgaste de equipamento e poluição ambiental pelo uso do gerador</t>
  </si>
  <si>
    <t>Os serviços de manutenções preventivas e corretivas dos grupos geradores a diesel se justificam em função da necessidade de se garantir o perfeito funcionamento dos equipamentos, atenuando-se, desse modo, futuros gastos com manutenção corretiva e garantindo a correta realização das funções de backup correlatas</t>
  </si>
  <si>
    <t>Manutenção preventiva e corretiva Grupo gerador</t>
  </si>
  <si>
    <t>Critérios de sustentabilidade ambiental. em observância a Instrução Normativa SLTI/MPOG nº 01 de 19 de janeiro 2010, os projetos consideraram o uso de materiais e equipamentos que irão reduzir o impacto ambiental</t>
  </si>
  <si>
    <t>Riscos de paralisação dos serviços e danos aos equipamentos</t>
  </si>
  <si>
    <t>SUBSEÇÃO JUDICIÁRIA DE ITAITUBA6</t>
  </si>
  <si>
    <t>Desgaste de equipamento e poluição ambiental pelo uso de aparelhos de refrigeração (Ar condicionados)</t>
  </si>
  <si>
    <t>Manutenção preventiva e corretiva dos condicionadores de ar da subseção judiciária de Itaituba.</t>
  </si>
  <si>
    <t>2771</t>
  </si>
  <si>
    <t>Uso de materias e gases refrigerantes ecológicos.</t>
  </si>
  <si>
    <t>SUBSEÇÃO JUDICIÁRIA DE ITAITUBA7</t>
  </si>
  <si>
    <t>Realização de Audiência remota, via internet, de forma efetiva e confiável. </t>
  </si>
  <si>
    <t>Necessidade de um conexão de internet estável e com velocidade adequada para videochamadas.</t>
  </si>
  <si>
    <t>prejuízo à realização das tarefasbdas áreas  fim, com impactos negativos para a administração e os jurisdicionados</t>
  </si>
  <si>
    <t>SUBSEÇÃO JUDICIÁRIA DE MARABÁ1</t>
  </si>
  <si>
    <t>Manutenção preventiva e corretiva de elevadores</t>
  </si>
  <si>
    <t>Manutenção dos equipamentos em perfeito funcionamento, utilização de elevadores na Subseção bem como assegurar o funcionamento regular do equipamento e garantir a segurança no trânsito de magistrados, servidores e jurisdicionados.</t>
  </si>
  <si>
    <t>Risco à segurança de magistrados, servidores e jurisdicionados.</t>
  </si>
  <si>
    <t>SUBSEÇÃO JUDICIÁRIA DE MARABÁ2</t>
  </si>
  <si>
    <t>Fornecimento de água mineral.</t>
  </si>
  <si>
    <t>A aquisição dos materiais de consumo tipo água mineral justifica-se pela necessidade de manutenção das condições necessárias ao bom desempenho das atribuições dos magistrados, servidores, colaboradores e demais envolvidos.</t>
  </si>
  <si>
    <t>Água mineral (GFO) e Unidades.</t>
  </si>
  <si>
    <t>Por se tratar de um item essencial vital, o não fornecimento implica em não execução das atividades por parte dos servidores.</t>
  </si>
  <si>
    <t>SUBSEÇÃO JUDICIÁRIA DE MARABÁ3</t>
  </si>
  <si>
    <t>Manutenção predial.</t>
  </si>
  <si>
    <t>Manter em perfeitas condições de funcionamento as instalações prediais da Subseção Judiciária de Marabá, objetivando o bom funcionamento do prédio</t>
  </si>
  <si>
    <t>5606</t>
  </si>
  <si>
    <t>Depreciação causada pela não conservação do prédio.</t>
  </si>
  <si>
    <t>SUBSEÇÃO JUDICIÁRIA DE MARABÁ4</t>
  </si>
  <si>
    <t>Fornecimento de energia elétrica.</t>
  </si>
  <si>
    <t>A contratação do serviço de fornecimento de energia elétrica é essencial para o funcionamento da Subseção de Marabá desempenhar suas atribuições básicas e cuja interrupção compromete a continuidade das atividades finalísticas do órgão.</t>
  </si>
  <si>
    <t>4120</t>
  </si>
  <si>
    <t>A não contratação compromete a continuidade das atividades do órgão.</t>
  </si>
  <si>
    <t>SUBSEÇÃO JUDICIÁRIA DE MARABÁ5</t>
  </si>
  <si>
    <t>Resmas de papel formato A-4.</t>
  </si>
  <si>
    <t>Plano Estratégico da Justiça Federal - PEJF 2021/2026, macrodesafio: Aperfeiçoamento da gestão administrativa e da governança judiciária. Sociedade, Macrodesafio "Garantia dos direitos de cidadania", Objetivo "Buscar a satisfação do usuário/cidadão"</t>
  </si>
  <si>
    <t>A aquisição do papel A4  servirá para garantir a reposição de estoque do Almoxarifado da Subseção de Marabá.</t>
  </si>
  <si>
    <t>RS</t>
  </si>
  <si>
    <t>Interrupção de atividades do órgão tais como emissão de certidões.</t>
  </si>
  <si>
    <t>SUBSEÇÃO JUDICIÁRIA DE MARABÁ6</t>
  </si>
  <si>
    <t>Aquisição de material elétrico e materiais para reparos a serem utilizados pela Subseção Judiciária de Marabá.</t>
  </si>
  <si>
    <t>A aquisição se faz necessária para reposição dos materiais em estoque e a necessidade de substituição dos componentes deteriorados pelo tempo de uso.</t>
  </si>
  <si>
    <t>Riscos de deterioração do prédio pela não conservação.</t>
  </si>
  <si>
    <t>SUBSEÇÃO JUDICIÁRIA DE MARABÁ7</t>
  </si>
  <si>
    <t>Aquisição de gás refrigerante para manutenção nos condicionadores de ar da Subseção de Marabá</t>
  </si>
  <si>
    <t>Manter disponível, por ora, no almoxarifado da Subseção, um estoque mínimo de peças, visando solucionar problemas que venham a ocorrer nos equipamentos de refrigeração instalados no prédio da SSJ Marabá, bem como executar a manutenção preventiva dos sistemas de refrigeração</t>
  </si>
  <si>
    <t>Gás Refrigerante R-22 (com 13,6 Kg)</t>
  </si>
  <si>
    <t>CILINDRO</t>
  </si>
  <si>
    <t>Risco de danos ao patrimônio pela falta de refrigeração adequada causada pelo mau funcionamento do sistema de ar condicionado.</t>
  </si>
  <si>
    <t>SUBSEÇÃO JUDICIÁRIA DE MARABÁ8</t>
  </si>
  <si>
    <t>Gás Refrigerante R-410</t>
  </si>
  <si>
    <t>SUBSEÇÃO JUDICIÁRIA DE MARABÁ9</t>
  </si>
  <si>
    <t>Reforma dos banheiros</t>
  </si>
  <si>
    <t>A reforma dos banheiros desta Subseção se faz necessária para manter as instalações prediais em perfeitas condições, tendo em vista que muitos componentes dos banheiros encontram-se deteriorados, tais como portas, vasos, pias, de modo que apenas as manutenções feitas não estão sendo suficientes.</t>
  </si>
  <si>
    <t>A falta de reforma no banheiro desta Subseção implica na desvalorização e depreciação do prédio.</t>
  </si>
  <si>
    <t>SUBSEÇÃO JUDICIÁRIA DE MARABÁ10</t>
  </si>
  <si>
    <t>Manutenção de aparelhos de ar condicionado.</t>
  </si>
  <si>
    <t>Manter sob climatização adequada os equipamentos de informática e propiciar condições de trabalho de conforto e salubridade para magistrados e servidores</t>
  </si>
  <si>
    <t>Risco de danos ao patrimônio pela falta de refrigeração adequada causada pelo mau funcionamento do sistema de ar condicionado. Risco à saúde dos servidores pela exposição e ambiente sem condições de conforto térmico para execução de suas atribuições.</t>
  </si>
  <si>
    <t>SUBSEÇÃO JUDICIÁRIA DE MARABÁ11</t>
  </si>
  <si>
    <t>Contratação de empresa especializada em recarga de extintores, teste de mangueira e hidrante</t>
  </si>
  <si>
    <t>Prover de condições de operação os equipamentos de combate a incêndio existentes na Subseção Judiciária de Marabá (extintores e hidrantes internos), em cumprimento às normas de segurança estabelecidas na ABNT, visando à proteção à vida e ao patrimônio.</t>
  </si>
  <si>
    <t>A não contratação colocaria em risco tanto o patrimônio quanto a integridade física dos magistrados, servidores, colaboradores e jurisdicionados.</t>
  </si>
  <si>
    <t>SUBSEÇÃO JUDICIÁRIA DE MARABÁ12</t>
  </si>
  <si>
    <t>Contratação de empresa que realize a manutenção e revitalização do jardim externo do prédio da Subseção Judiciária de Marabá</t>
  </si>
  <si>
    <t>Justifica-se o serviço de manutenção e revitalização do jardim do prédio, tendo em vista que desde a inauguração das novas instalações da Subseção Judiciária em maio de 2011, nunca houve manutenção no jardim o que ocasionou a perda de parte da grama, infestação de formigas e outras pragas que estão danificando os pés de planta "cica" que foram plantados para fins de paisagismo, inclusive sendo necessária a retirada de uma das plantas, pois ela não tem como ser recuperada, devido a infestação de pragas.</t>
  </si>
  <si>
    <t>Deterioração e má conservação das instalações externas do prédio.</t>
  </si>
  <si>
    <t>SUBSEÇÃO JUDICIÁRIA DE MARABÁ13</t>
  </si>
  <si>
    <t>Contratação de empresa especializada para manutenção preventiva mensal na porta giratória desta Subseção de Marabá</t>
  </si>
  <si>
    <t>A manutenção preventiva na porta giratória é necessária para evitar a perca total e falha no equipamento, e por se tratar de uma máquina de extrema importância para a segurança do prédio, eventual falha em seu funcionamento acarretaria graves riscos a segurança de servidores e magistrados.</t>
  </si>
  <si>
    <t>A não contratação colocaria em risco a segurança dos servidores, magistrados e jurisdicionados desta Subseção.</t>
  </si>
  <si>
    <t>SUBSEÇÃO JUDICIÁRIA DE MARABÁ14</t>
  </si>
  <si>
    <t>Contratação de empresa especializada para manutenção preventiva trimestral no Scanner de Raio-X desta Subseção de Marabá</t>
  </si>
  <si>
    <t>SUBSEÇÃO JUDICIÁRIA DE MARABÁ15</t>
  </si>
  <si>
    <t>A aquisição de capachos para as portas de acesso ao prédio da Subseção Judiciária de Marabá, bem com de adesivos com o símbolo da Justiça Federal para substituir os atuais que estão fixados nos vidros de cada andar.</t>
  </si>
  <si>
    <t>A aquisição dos capachos e dos adesivo é necessária, tendo em vista que os itens atuais são da época da inauguração do prédio no ano 2011. Os capachos já estão danificados e bastante desgastados. Os adesivos estão embranquecidos e com partes faltando.</t>
  </si>
  <si>
    <t>Má conservação das instalações prediais desta Subseção Judiciária de Marabá.</t>
  </si>
  <si>
    <t>SUBSEÇÃO JUDICIÁRIA DE MARABÁ16</t>
  </si>
  <si>
    <t>Contratação de empresa para confecção de novas persianas para o prédio desta Subseção Judiciária de Marabá</t>
  </si>
  <si>
    <t>A contratação é necessária tendo em vista que as persianas atuais estão quebradas, pois estão instaladas desde a inauguração do prédio em 2011.</t>
  </si>
  <si>
    <t>Aquisição de persianas</t>
  </si>
  <si>
    <t>cjo</t>
  </si>
  <si>
    <t>A não aquisição das persianas ensejaria na má conservação das instalações internas do prédio.</t>
  </si>
  <si>
    <t>SUBSEÇÃO JUDICIÁRIA DE MARABÁ17</t>
  </si>
  <si>
    <t>Aquisição de 03 centrais de ar de 24.000 btus</t>
  </si>
  <si>
    <t>Aquisição de 03 (três) centrais de ar condicionado de 24.000 BTUs se faz necessária tendo em vista que as atuais estão apresentando recorrentes defeitos, e cujas peças depreendem mais da metade do valor do equipamento. Os equipamentos que se pretendem substituir são de 2011.</t>
  </si>
  <si>
    <t>Deterioração do equipamento pelo decorrer do tempo, de modo que a não substituição enseja na má condição de trabalho, bem como compromete tb os equipamentos de informática</t>
  </si>
  <si>
    <t>SUBSEÇÃO JUDICIÁRIA DE MARABÁ18</t>
  </si>
  <si>
    <t>Contratação de empresa especializada para prestação de serviços de descupinização, desratização e desinsetização (eliminação de baratas, formigas, aranhas, traças, cupins, escorpiões, mosquitos etc), com fornecimento de todo o material e equipamentos necessários, a serem executados em todas as dependências do prédio da Justiça Federal de 1º grau no Pará, SUBSEÇÃO JUDICIÁRIA DE MARABÁ, compreendendo suas áreas internas e externas.</t>
  </si>
  <si>
    <t>O contrato a ser celebrado visa manter os edifícios relacionados sob boas condições, do ponto de vista do controle de pragas, evitando a presença e a proliferação de insetos em geral e, principalmente, baratas, formigas, aranhas, traças, cupins, escorpiões, mosquitos e também de ratos, agentes reconhecidamente danosos à saúde humana e à conservação patrimonial.</t>
  </si>
  <si>
    <t>Contratação de empresa especializada para prestação de serviços de descupinização, desratização e desinsetização</t>
  </si>
  <si>
    <t>Riscos à saúde e conservação patrimonial</t>
  </si>
  <si>
    <t>SUBSEÇÃO JUDICIÁRIA DE MARABÁ19</t>
  </si>
  <si>
    <t>Contratação de empresa especializada para pintura interna e externa do prédio sede da Subseção Judiciária de Marabá.</t>
  </si>
  <si>
    <t>Além de servir como decoração e exercer um papel fundamental para a beleza do edifício, essa operação é necessária para proteger a estrutura patrimonial e higienizar os ambientes, controlar a luminosidade do prédio e isolar sua superfície.</t>
  </si>
  <si>
    <t>pintura interna e externa do prédio sede da Subseção Judiciária de Marabá.</t>
  </si>
  <si>
    <t>Riscos de dano patrimonial e má conservação do prédio.</t>
  </si>
  <si>
    <t>SUBSEÇÃO JUDICIÁRIA DE MARABÁ20</t>
  </si>
  <si>
    <t>Aquisição de cofre para acautelar armas de usuários externos.</t>
  </si>
  <si>
    <t>A aquisição se faz necessária para atender a Instrução Normativa 14-10 que trata do controle de acesso externo de usuários portando armas de fogo.</t>
  </si>
  <si>
    <t>Não cumprimento às normas institucionais de acesso prédio.</t>
  </si>
  <si>
    <t>SUBSEÇÃO JUDICIÁRIA DE MARABÁ21</t>
  </si>
  <si>
    <t>Adequação de sala para colocação de Cofre e acautelamento de armas de usuários externos.</t>
  </si>
  <si>
    <t>SUBSEÇÃO JUDICIÁRIA DE PARAGOMINAS1</t>
  </si>
  <si>
    <t>Permanecer executando as atividades no mesmo local.</t>
  </si>
  <si>
    <t>Metas do PPA.</t>
  </si>
  <si>
    <t>É necessário efetuar contratação do serviço de aluguel do imóvel que abriga a Subseção Judiciária de Paragominas, para poder continuar desempenhando as atividades no mesmo local.</t>
  </si>
  <si>
    <t>Aluguel do imóvel</t>
  </si>
  <si>
    <t>4316</t>
  </si>
  <si>
    <t>Promover ações sustentáveis dentro do imóvel, como separação do lixo reciclável.</t>
  </si>
  <si>
    <t>Impedimento de execução das atividades e atendimento ao público.</t>
  </si>
  <si>
    <t>SUBSEÇÃO JUDICIÁRIA DE PARAGOMINAS2</t>
  </si>
  <si>
    <t>Suprir necessidade vital e promover bem estar das pessoas.</t>
  </si>
  <si>
    <t>As embalagens dos garrafões de água mineral são retornáveis. Os copos após utilizados devem ser jogados em lixeiras destinadas a lixos recicláveis e são utilizados em sua maioria pelo público em geral, pois servidores são orientados a trazer suas garrafas.</t>
  </si>
  <si>
    <t>SUBSEÇÃO JUDICIÁRIA DE PARAGOMINAS3</t>
  </si>
  <si>
    <t>Os copos após utilizados devem ser jogados em lixeiras destinadas a lixos recicláveis e são utilizados em sua maioria pelo público em geral, pois servidores são orientados a trazer suas garrafas.</t>
  </si>
  <si>
    <t>SUBSEÇÃO JUDICIÁRIA DE PARAGOMINAS4</t>
  </si>
  <si>
    <t>Promover execução dos serviços.</t>
  </si>
  <si>
    <t>É essencial a contratação de empresa fornecedora de energia elétrica para funcionamento dos equipamentos instalados na SSJ de Paragominas. </t>
  </si>
  <si>
    <t>Racionalizar e fazer a utilização consciente da energia elétrica.</t>
  </si>
  <si>
    <t>Impedimento de execução dos trabalhos.</t>
  </si>
  <si>
    <t>SUBSEÇÃO JUDICIÁRIA DE PARAGOMINAS5</t>
  </si>
  <si>
    <t>Promover higiene pessoal, bem como a limpeza do prédio.</t>
  </si>
  <si>
    <t>É necessária a contratação de empresa fornecedora de água encanada para realização da higiene pessoal, para fazer tarefas como lavar as mãos, escovar os dentes, ativar descarga, bem como para fazer a limpeza das áreas do prédio-sede da SSJ de Paragominas.</t>
  </si>
  <si>
    <t>Fornecimento de água encanada</t>
  </si>
  <si>
    <t>É determinada a utilização racional da água.</t>
  </si>
  <si>
    <t>Existência de ambiente insalubre e desconfortável.</t>
  </si>
  <si>
    <t>SUBSEÇÃO JUDICIÁRIA DE PARAGOMINAS6</t>
  </si>
  <si>
    <t>Proteção do imóvel, equipamentos e pessoas.</t>
  </si>
  <si>
    <t>Justifica-se a recarga de extintores pela necessidade de manter os equipamentos de combate a incêndio do edifício-sede em perfeitas condições de uso para eventuais necessidades.</t>
  </si>
  <si>
    <t>Recarga de extintores de incêndio de 06 kg, com dióxido de carbono (CO2)</t>
  </si>
  <si>
    <t>Solicitar à empresa que adote boas práticas de otimização de recursos/redução de desperdícios/ menor poluição, tais como: Racionalização do uso de substâncias potencialmente tóxico-poluentes e substituição de substâncias tóxicas por outras atóxicas ou de menor toxicidade.</t>
  </si>
  <si>
    <t>A falta de equipamentos eficientes de combate ao incêndio pode gerar danos irreversíveis em eventuais situações, bem como multas por parte do corpo de Bombeiros.</t>
  </si>
  <si>
    <t>SUBSEÇÃO JUDICIÁRIA DE PARAGOMINAS7</t>
  </si>
  <si>
    <t>Recarga de extintores de incêndio, de 10 litros, com água pressurizada</t>
  </si>
  <si>
    <t>SUBSEÇÃO JUDICIÁRIA DE PARAGOMINAS8</t>
  </si>
  <si>
    <t>Recarga de extintores de incêndio de 4 kg, com pó BC (PQS)</t>
  </si>
  <si>
    <t>SUBSEÇÃO JUDICIÁRIA DE PARAGOMINAS9</t>
  </si>
  <si>
    <t>Promover ambiente salubre e confortável para a execução dos trabalhos e atendimento ao público.</t>
  </si>
  <si>
    <t>Justifica-se a aquisição de TRÊS CENTRAIS DE AR CONDICIONADO TIPO SPLIT, sendo duas de 18.000 e uma de 24.000 BTUS para substituição de equipamentos antigos que vem apresentando defeitos e que os reparos se tornam inviáveis.</t>
  </si>
  <si>
    <t>Central de ar, tipo split, 18.000 BTUs, inverter</t>
  </si>
  <si>
    <t>Consumo menor de energia, considerando a tecnologia inverter.</t>
  </si>
  <si>
    <t>Existência de ambientes sem refrigeração adequada na Subseção Judiciária de Paragominas, gerando desconforto para os trabalhadores e para o público em geral.</t>
  </si>
  <si>
    <t>SUBSEÇÃO JUDICIÁRIA DE PARAGOMINAS10</t>
  </si>
  <si>
    <t>Central de ar, tipo split, 24.000 BTUs, inverter</t>
  </si>
  <si>
    <t>SUBSEÇÃO JUDICIÁRIA DE PARAGOMINAS11</t>
  </si>
  <si>
    <t>Proteger as pessoas e o meio ambiente da contaminação e doenças provenientes dos dejetos humanos</t>
  </si>
  <si>
    <t>O serviço de limpeza dessas fossas e caixas de passagem e gordura contribui para que não interrompam as suas respectivas funcionalidades, evitando-se entupimento e mau cheiro.</t>
  </si>
  <si>
    <t>Limpeza da fossa séptica e da caixa de gordura.</t>
  </si>
  <si>
    <t>O descarte dos efluentes ocorre em terrenos preparados para receber esse conteúdo. Geralmente, são estações de tratamento, áreas que também operam apenas mediante autorização dos órgãos ambientais competentes. Os locais possuem toda uma estrutura para impedir que os dejetos contaminem o solo e a água.</t>
  </si>
  <si>
    <t>Tornar-se um ambiente desconfortável, devido ao mau cheiro, e insalubre.</t>
  </si>
  <si>
    <t>SUBSEÇÃO JUDICIÁRIA DE PARAGOMINAS12</t>
  </si>
  <si>
    <t>METAS DO PPA</t>
  </si>
  <si>
    <t>Manter o total de equipamentos de aparelhos de ar condicionados da Subseção Judiciária de Paragominas em perfeitas condições de uso, propiciando um ambiente saudável e confortável.</t>
  </si>
  <si>
    <t>MANUTENÇÃO PREVENTIVA E CORRETIVA DOS CONDICIONADORES DE AR DA SUBSEÇÃO DE PARAGOMINAS.</t>
  </si>
  <si>
    <t>Deverá a empresa utilizar, na limpeza dos componentes do sistema de climatização, produtos biodegradáveis devidamente registrados no Ministério da Saúde para esse fim.</t>
  </si>
  <si>
    <t>Existência de um ambiente insalubre e desconfortável para execução dos trabalhos e atendimento ao público. </t>
  </si>
  <si>
    <t>SUBSEÇÃO JUDICIÁRIA DE PARAGOMINAS13</t>
  </si>
  <si>
    <t>Prover continuidade na execução dos serviços.</t>
  </si>
  <si>
    <t>Mesmo com a digitalização dos processos e migração para o PJE, a aquisição de resmas de papel A4 se faz extremamente necessária para a execução das atividades jurisdicionais. </t>
  </si>
  <si>
    <t>Papel A4</t>
  </si>
  <si>
    <t>Priorizar a aquisição de material que tenha sua produção de papel e celulose de forma sustentável.</t>
  </si>
  <si>
    <t>Interrupção e/ou atraso na execução dos trabalhos.</t>
  </si>
  <si>
    <t>SUBSEÇÃO JUDICIÁRIA DE PARAGOMINAS14</t>
  </si>
  <si>
    <t>Prestar um serviço célere ao Jurisdicionado, uma vez que o veículo facilitará a execução dos mandados.</t>
  </si>
  <si>
    <t>Aquisição de veículo pick-up, tração 4x4 para substituir o atual veículo oficial da Subseção de Paragominas, considerando o estado do veículo atual que se encontra bastante desgastado, sendo utilizado desde o ano de 2012. A Subseção Judiciária de Paragominas possui apenas uma camionete para realizar os serviços administrativos e atender as demandas dos Oficiais de Justiça Avaliadores que constantemente solicitam a viatura oficial para cumprir mandados na zona rural dos municípios que compõem a Jurisdição desta Subseção Judiciária, uma vez que devido as condições das estradas exigem veículo com tração 4x4.</t>
  </si>
  <si>
    <t>Veículo Pick Up, 4x4</t>
  </si>
  <si>
    <t>A aquisição do veículo deve levar em consideração os seguintes requisitos: economia de combustível, emissões de carbono, impacto global ambiental, manufatura e fonte de energia utilizada..</t>
  </si>
  <si>
    <t>Prejuízo no cumprimento de mandados pelos oficiais e tarefas administrativas que necessitam da utilização do veículo oficial.</t>
  </si>
  <si>
    <t>SUBSEÇÃO JUDICIÁRIA DE PARAGOMINAS15</t>
  </si>
  <si>
    <t>Os serviços de manutenções preventivas e corretivas dos grupos geradores a diesel se justificam em função da necessidade de se garantir o perfeito funcionamento dos equipamentos, atenuando-se, desse modo, futuros gastos com manutenção corretiva e garantindo a correta realização das funções de backup correlatas</t>
  </si>
  <si>
    <t>Critérios de sustentabilidade ambiental. em observância a Instrução Normativa SLTI/MPOG nº 01 de 19 de janeiro 2010, os projetos consideraram o uso de materiais e equipamentos que irão reduzir o impacto ambiental</t>
  </si>
  <si>
    <t>SUBSEÇÃO JUDICIÁRIA DE PARAGOMINAS16</t>
  </si>
  <si>
    <t>Prover ambiente saudável, eliminando os focos onde determinados insetos e ratos possam se desenvolver.</t>
  </si>
  <si>
    <t>Combater insetos e ratos nas edificações da Subseção Judiciária de Paragominas.</t>
  </si>
  <si>
    <t>Usar produtos biodegradáveis.</t>
  </si>
  <si>
    <t>Proliferação de doenças por baratas, formigas e ratos.</t>
  </si>
  <si>
    <t>SUBSEÇÃO JUDICIÁRIA DE PARAGOMINAS17</t>
  </si>
  <si>
    <t>Facilitar o acesso de pessoas com deficiência entre os pavimentos do prédio da Subseção Judiciária de Paragominas. </t>
  </si>
  <si>
    <t>Justifica-se a aquisição e instalação de uma plataforma de elevação diante da imperiosa necessidade de conferir acessibilidade e inclusão de pessoas com deficiência nos órgãos do Poder Judiciário, nos termos da Resolução n. 401, de 16 de junho de 2021 do Conselho Nacional de Justiça, com alterações pela Resolução n. 403 de 29 de junho de 2021 do Conselho Nacional de Justiça.</t>
  </si>
  <si>
    <t>Elevador PNE</t>
  </si>
  <si>
    <t>Plataforma de elevação hidráulica não necessita de casa de máquinas, diferente do elevador elétrico.</t>
  </si>
  <si>
    <t>Impossibilitar o acesso de pessoas que usam cadeira de rodas ao primeiro pavimento do prédio da Subseção Judiciária de Paragominas.</t>
  </si>
  <si>
    <t>SUBSEÇÃO JUDICIÁRIA DE SANTARÉM1</t>
  </si>
  <si>
    <t>Manutenção preventiva e corretiva em refrigeração</t>
  </si>
  <si>
    <t>Manter os equipamentos em condições de uso dentro das normas de segurança e higiene</t>
  </si>
  <si>
    <t>90 dias</t>
  </si>
  <si>
    <t>Usar produtos biodegradáveis</t>
  </si>
  <si>
    <t>Falta de refrigeração de ambientes, inclusive CPF, salas de audiências, gabinetes, o que pode inviabilizar o funcionamento de setores e mesmo de toda a Subseção.</t>
  </si>
  <si>
    <t>SUBSEÇÃO JUDICIÁRIA DE SANTARÉM2</t>
  </si>
  <si>
    <t>Manter o equipamentos em condições de funcionamento para suprir de energia elétrica nas quedas da rede da concessionária, equipamento  imprescindível à segurança energética dos equipamentos da sala de telemática e demais dispositivos de informática.</t>
  </si>
  <si>
    <t>SUBSEÇÃO JUDICIÁRIA DE SANTARÉM3</t>
  </si>
  <si>
    <t>Manutenção preventiva e corretiva das instalações físicas da Subseção de Santarém</t>
  </si>
  <si>
    <t>Manter em perfeitas condições de funcionamento as instalações prediais do Edifício-Sede da Subseção Judiciária de Santarém, no Estado do Pará, objetivando o bom funcionamento desta Justiça Federal de Primeiro Grau. A inexistência, ineficácia ou inoperância de um programa de manutenções prediais racional provoca desgastes excessivos das partes e sistemas componentes das edificações, o que leva a elevação dos gastos e transtornos em maiores intervenções.</t>
  </si>
  <si>
    <t>Contratação de empresa especializada no ramo de engenharia para prestação de serviços de manutenção predial preventiva e corretiva nas dependências da Subseção Judiciária de Santarém, com fornecimento de ferramental, materiais de consumo, insumos e mão de obra, necessários para execução dos serviços.</t>
  </si>
  <si>
    <t>Inviabilizar o funcionamento de setores e mesmo de toda a Subseção devido ao longo período sem manutenção predial, ou seja, desde sua inauguração, ocorrida em 13/02/2017. Tal risco é potencializado devido ao fato de ainda não ter sido feito o recebimento definitivo da obra (só o provisório) devido às diversas pendências deixadas pela empresa que a construiu (Equatorial).</t>
  </si>
  <si>
    <t>SUBSEÇÃO JUDICIÁRIA DE SANTARÉM4</t>
  </si>
  <si>
    <t>Baterias para o grupo gerador</t>
  </si>
  <si>
    <t>Manter o equipamento em condições de funcionamento para suprir de energia elétrica nas quedas da rede da concessionária, equipamento  imprescindível à segurança energética dos equipamentos da sala de telemática e demais dispositivos de informática.</t>
  </si>
  <si>
    <t>Bateria selada , 12 volts, 100 ampères para uso no grupo gerador, modelo C250D6, série n. C16T037661, marca Cummins, potência de 250 kw / 312 kva (entregar instalada)</t>
  </si>
  <si>
    <t>SUBSEÇÃO JUDICIÁRIA DE SANTARÉM5</t>
  </si>
  <si>
    <t>Baterias para nobreak de 10 kva</t>
  </si>
  <si>
    <t>Substituir as ora em uso, posto que tem garantia de eficiência vencendo em 2021.</t>
  </si>
  <si>
    <t>Bateria selada , 12 volts, 17 ampères, livre de manutenção</t>
  </si>
  <si>
    <t>Funcionamento dos equipamentos do CPD (telemática) e dos microcomputadores sem o suporte de energia ininterrupta, ficando sujeito às quedas da rede pública de energia, situação que impõe interrupção de procedimentos, como audiências e mesmo perda de informações processuais.</t>
  </si>
  <si>
    <t>SUBSEÇÃO JUDICIÁRIA DE SANTARÉM6</t>
  </si>
  <si>
    <t>Conserto de 2 câmaras externas e da fibra óptica do sistema de Circuito Fechado de TV – CFTV</t>
  </si>
  <si>
    <t>Não se trata de vinculação, mas há uma demanda relacionada ao CFTV, que é a aquisição e instalação novas câmaras externas e configuração do sistema de gravação (DOD 17867967). Também há a necessidade de conserto de duas câmaras externas, inclusive da fibra óptica (DOD 17734912).</t>
  </si>
  <si>
    <t>Manter o equipamento em condições de funcionamento para otimizar o serviço de vigilância do prédio. A aquisição de unidades adicionais de fonte e conversor visa manter estoque em almoxarifado para uso futuro, conforme sugerido por Luiz Wendel, sargento do 8º BEC, que tem dado orientação sobre o equipamento.</t>
  </si>
  <si>
    <t>Fragilidade na vigilância e falta de registro de imagens de parte da área externa.</t>
  </si>
  <si>
    <t>SUBSEÇÃO JUDICIÁRIA DE SANTARÉM7</t>
  </si>
  <si>
    <t>Cooler para nobreak SMS - Aquisição e troca</t>
  </si>
  <si>
    <t>Para os dois no-breaks SMS, de 10 kva, T-24379 e T-24380.</t>
  </si>
  <si>
    <t>Cooler para NOBREAK  10 KVA, SMS,  modelo Sinus Double II DSP, 16 baterias internas, entrada monofásica de 220v e saída de 110+110 ou 220v (Coller FD1212 - A1341E, 12v, 0,55A)</t>
  </si>
  <si>
    <t>Os nobreaks pararem de funcionar. E por alimentarem os servidores do CPD, inviabilizará o funcinonamento de todos os sistemas processuais.</t>
  </si>
  <si>
    <t>SUBSEÇÃO JUDICIÁRIA DE SANTARÉM8</t>
  </si>
  <si>
    <t>Reativação do Circuito Fechado de TV – CFTV</t>
  </si>
  <si>
    <t>O equipamento não está mais gravando imagem. SSD tem tecnologia mais adequada do que HD, tornando-o mais resistente e duradouro, implicando em melhor custo benefício, principalmente se considerado o fato de que, geralmente, apresenta menos defeitos pelo tempo de uso.</t>
  </si>
  <si>
    <t>SSD de 8 TB. Instalação do novo SSD e configuração do equipamento, para programar o tempo e espaço de gravação para cada câmara, considerando o novo SSD e os HDs que já estão instalados.</t>
  </si>
  <si>
    <t>As imagens continuarão a não ser gravadas, tal qual se encontra atu</t>
  </si>
  <si>
    <t>SUBSEÇÃO JUDICIÁRIA DE SANTARÉM9</t>
  </si>
  <si>
    <t>1) T-24379, série 245290000719</t>
  </si>
  <si>
    <t>SUBSEÇÃO JUDICIÁRIA DE SANTARÉM10</t>
  </si>
  <si>
    <t>Modernização do sistema de refrigeração</t>
  </si>
  <si>
    <t>A sustentabilidade é um dos valores e um macrodesafio do Planejamento Estratégico 2021-2026 do CJF, conforme Portaria CJF n. 576, de 24/11/2020. A Resolução CJF n. 709, de 01/06/2021, dispõe sobre Política de Sustentabilidade da Justiça Federal. A Portaria n. 61 CJF (15126144), de 04/02/2022, dispõe sobre a aprovação do Prêmio de Sustentabilidade da Justiça Federal.</t>
  </si>
  <si>
    <t>Os atuais equipamentos de refrigeração são convencionais, classificados como categoria D de consumo no selo Procel, ou seja, altamente consumidores de energia elétrica. A troca geraria economia de energia (no caso, geraria mais excedentes de energia solar produzida na Subseção, para uso na Seccional ou outras subseções.</t>
  </si>
  <si>
    <t>Economia de recurso dispendido com energia elétrica, posto que a utilização do sistema de climatização VRF atende a um dos quesitos (Eficiência Energética) para obtenção da Certificação Leed, que é fornecida pela ONG Green Building Council Brasil. O Leed (Líder em Energia e Design Ambiental) é um sistema de Certificação e orientação ambiental de edificações. É o selo de maior reconhecimento internacional para Edificações Sustentáveis, utilizado em todo o mundo, inclusive no Brasil.</t>
  </si>
  <si>
    <t>Aumento do custo da manutenção dos atuais equipamentos, pelo decorrer do tempo de uso e, pelos constantes problemas que já tem apresentado, podem deixar setores sensíveis sem refrigeração, como CPD, salas de audiências e gabinetes de magistrados.</t>
  </si>
  <si>
    <t>SUBSEÇÃO JUDICIÁRIA DE SANTARÉM11</t>
  </si>
  <si>
    <t>Recarga de extintores</t>
  </si>
  <si>
    <r>
      <t>Recarga de extintor de incêndio de </t>
    </r>
    <r>
      <rPr>
        <u/>
        <sz val="10"/>
        <color rgb="FF000000"/>
        <rFont val="Calibri"/>
        <family val="2"/>
      </rPr>
      <t>06 kg, </t>
    </r>
    <r>
      <rPr>
        <sz val="10"/>
        <color rgb="FF000000"/>
        <rFont val="Calibri"/>
        <family val="2"/>
      </rPr>
      <t>com pó ABC</t>
    </r>
  </si>
  <si>
    <t>24</t>
  </si>
  <si>
    <t>SUBSEÇÃO JUDICIÁRIA DE SANTARÉM12</t>
  </si>
  <si>
    <r>
      <t>Recarga de extintores de incêndio de </t>
    </r>
    <r>
      <rPr>
        <u/>
        <sz val="10"/>
        <color rgb="FF000000"/>
        <rFont val="Calibri"/>
        <family val="2"/>
      </rPr>
      <t>12 kg,</t>
    </r>
    <r>
      <rPr>
        <sz val="10"/>
        <color rgb="FF000000"/>
        <rFont val="Calibri"/>
        <family val="2"/>
      </rPr>
      <t> com pó ABC</t>
    </r>
  </si>
  <si>
    <t>02</t>
  </si>
  <si>
    <t>SUBSEÇÃO JUDICIÁRIA DE SANTARÉM13</t>
  </si>
  <si>
    <t>SUBSEÇÃO JUDICIÁRIA DE SANTARÉM14</t>
  </si>
  <si>
    <r>
      <t>Recarga de extintor de incêndio de </t>
    </r>
    <r>
      <rPr>
        <u/>
        <sz val="10"/>
        <color rgb="FF000000"/>
        <rFont val="Calibri"/>
        <family val="2"/>
      </rPr>
      <t>04 kg,</t>
    </r>
    <r>
      <rPr>
        <sz val="10"/>
        <color rgb="FF000000"/>
        <rFont val="Calibri"/>
        <family val="2"/>
      </rPr>
      <t> com gás carbônico (CO</t>
    </r>
    <r>
      <rPr>
        <vertAlign val="subscript"/>
        <sz val="10"/>
        <color rgb="FF000000"/>
        <rFont val="Calibri"/>
        <family val="2"/>
      </rPr>
      <t>2</t>
    </r>
    <r>
      <rPr>
        <sz val="10"/>
        <color rgb="FF000000"/>
        <rFont val="Calibri"/>
        <family val="2"/>
      </rPr>
      <t>)</t>
    </r>
  </si>
  <si>
    <t>01</t>
  </si>
  <si>
    <t>SUBSEÇÃO JUDICIÁRIA DE SANTARÉM15</t>
  </si>
  <si>
    <t>Manutenção de extintor de 3º nível</t>
  </si>
  <si>
    <t>3662</t>
  </si>
  <si>
    <t>29</t>
  </si>
  <si>
    <t>SUBSEÇÃO JUDICIÁRIA DE SANTARÉM16</t>
  </si>
  <si>
    <t>Limpeza / manutenção preventiva e corretiva da Estação de Tratamento de Efluentes – ETE</t>
  </si>
  <si>
    <t>Manutenção periódica prevista no manual do fornecedor.</t>
  </si>
  <si>
    <t>1</t>
  </si>
  <si>
    <t>Inviabilizar o funcionamento dos sanitários, impedindo descargas, o que inviabilizaria o funcionamento da Subseção.</t>
  </si>
  <si>
    <t>SUBSEÇÃO JUDICIÁRIA DE SANTARÉM17</t>
  </si>
  <si>
    <t>Limpeza periódica das placas solares e manutenção da mini usina solar fotovoltaica</t>
  </si>
  <si>
    <t>Remover poeira e fuligem que se acumulam e são fixadas com a umidade noturna e chuvas, criando uma camada que diminui a eficácia das placas na produção de energia.</t>
  </si>
  <si>
    <t>Contratar empresa especializada para fazer manutenção trimestral no sistema de geração de energia solar fotovoltaica, incluindo limpeza das placas usando produtos e equipamentos adequados e fazendo os ajustes nos demais elementos, inclusive fiação e conectores.</t>
  </si>
  <si>
    <t>Diminuir a produção de energia elétrica própria, onerando a Justiça Federal com maior aquisição de energia da concessionária de energia, Equatorial.</t>
  </si>
  <si>
    <t>SUBSEÇÃO JUDICIÁRIA DE SANTARÉM18</t>
  </si>
  <si>
    <t>Aquisição de veículo utilitário tipo pikcup e acessórios</t>
  </si>
  <si>
    <t>Substituição do veículo desgastado em virtude de elevado tempo de uso, preservando-se a segurança dos ocupantes / usuários de veículos oficiais da Justiça Federal no Pará, Subseção de Santarém.</t>
  </si>
  <si>
    <t>Veículo tipo Pickup, cabine dupla, 4x4, ar condicionado, direção hidráulica, carroceria revestida, kit multimídia, dispositivo  guincho por controle remoto na parte dianteira e dispositivo na carroceria para acessórios, tais como pá, machado, terçado, picareta, enxada, fita de reboque</t>
  </si>
  <si>
    <t>470784</t>
  </si>
  <si>
    <t>Economia de combustível e durabilidade do equipamento.</t>
  </si>
  <si>
    <t>Aumento da dificuldade e até impossibilidade de realização de diligências dos oficiais de justiça nas zonas rurais de difícil acesso.</t>
  </si>
  <si>
    <t>SUBSEÇÃO JUDICIÁRIA DE SANTARÉM19</t>
  </si>
  <si>
    <t>Refrigeração da edícula da subestação de energia elétrica e adequação do ambiente</t>
  </si>
  <si>
    <t>Refrigerar o ambiente onde instalados o transformador de alta tensão e a Usca do grupo gerador, e implementar melhorias de segurança, conforme orientado em relatório (7677628) de engenheiro eletricista.</t>
  </si>
  <si>
    <t>Falta de energia no prédio devido ao aquecimento dos transformadores e demais equipamentos do ambiente.</t>
  </si>
  <si>
    <t>SUBSEÇÃO JUDICIÁRIA DE SANTARÉM20</t>
  </si>
  <si>
    <t>Troca da usca ou conserto</t>
  </si>
  <si>
    <t>A Unidade Controladora - Usca está inoperante desde meado de 2021, tendo sido apontada a necessidade de troca no relatório (14157558), da empresa GL Construções e Serviços Ltda, que executou manutenção preventiva e corretiva no sistema do grupo gerador em outubro de 2021.</t>
  </si>
  <si>
    <t>1) Fornecimento de chave Marca GTE, Modelo GT40800UQ72, Série nº A16H100109 800A, para o grupo gerador modelo C250D6, série n. C16T037661, marca Cummins, potência de 250 kw / 312 kva, nova e de primeiro uso</t>
  </si>
  <si>
    <t>SUBSEÇÃO JUDICIÁRIA DE SANTARÉM21</t>
  </si>
  <si>
    <t>Câmaras externas – modernização</t>
  </si>
  <si>
    <t>Para melhorar a vigilância diurna e noturna no prédio sede, vez que conta com somente um posto de vigilância por turno, para uma área de mais de 12.000 m².</t>
  </si>
  <si>
    <t>Troca das 4 câmaras externa por equipamento mais moderno, tipo fisheye, que grava ao mesmo tempo em 360º e acréscimo de uma unidade</t>
  </si>
  <si>
    <t>5</t>
  </si>
  <si>
    <t>Dificuldade e até impossibilidade de identificação de situações potencialmente de risco ou acompanhamento dos eventos do lado externo, seja na parte interna do terreno ou nas imediações.</t>
  </si>
  <si>
    <t>SUBSEÇÃO JUDICIÁRIA DE SANTARÉM22</t>
  </si>
  <si>
    <t>Diversas demandas relacionadas à reforma predial não contempladas na reforma (modernização) de 2022.</t>
  </si>
  <si>
    <t>Recuperar vários problemas decorrentes, sobretudo, pela inexistência de manutenção predial nesta Subseção de Santarém (Manutenção predial prevista no DO 17734689, nestes autos).
Os itens desta demanda foram levantados juntamente com Edvan e o engenheiro Fernando Augusto, quando de suas visitas à Subseção, nos dias 28 a 30/3/23.
A pretensão é de que sejam superadas ainda neste ano de 2023. Todavia, para os itens que não sejam viabilizados neste ano, pretende-se incluir no orçamento de 2024.
Observo que alguns dos itens na planilha abaixo contém DOD independente neste processo, pelo que foram destacados, aqui, na cor vermelha, na penúltima coluna: "DOD P/2024".</t>
  </si>
  <si>
    <t>Deterioração progressiva das instalações prediais e dos elementos e equipamentos instalados, podendo levar à paralização das atividades.</t>
  </si>
  <si>
    <t>SUBSEÇÃO JUDICIÁRIA DE SANTARÉM23</t>
  </si>
  <si>
    <t>Conserto do portão de veículos</t>
  </si>
  <si>
    <t>Está apresentando vários problemas de funcionamento e não tem contrato de manutenção predial nesta Subseção de Santarém, através do qual se poderia viabilizar o conserto.</t>
  </si>
  <si>
    <t>Conserto do portão de acesso de veículos</t>
  </si>
  <si>
    <t>Impedir o acesso à garagem de veículos oficiais e de magistrados e servidores, problema que se agrava ainda mais em dias de chuva.</t>
  </si>
  <si>
    <t>SUBSEÇÃO JUDICIÁRIA DE SANTARÉM24</t>
  </si>
  <si>
    <t>Banco de capacitores para a subestação de energia elétrica</t>
  </si>
  <si>
    <t>Reduzir o valor que ora se paga com energia reativa, aproximadamente R$ 850,00 por mês.</t>
  </si>
  <si>
    <t>Banco de capacitores para a subestação de energia elétrica, inclusive instalação</t>
  </si>
  <si>
    <t>und</t>
  </si>
  <si>
    <t>Redução de custo com energia elétrica, sendo que o valor economizado em até 6 meses retornaria o investimento.</t>
  </si>
  <si>
    <t>Continuidade do pagamento de valor que pode ser eliminado da fatura de energia elétrica.</t>
  </si>
  <si>
    <t>SUBSEÇÃO JUDICIÁRIA DE SANTARÉM25</t>
  </si>
  <si>
    <t>Moldura para certificado</t>
  </si>
  <si>
    <t>Emoldurar certificados do Selo Estratégia em ação concedido às varas.</t>
  </si>
  <si>
    <t>2) Serviço de troca da chave</t>
  </si>
  <si>
    <t>Impossibilidade de exposição do certificado Selo Estratégia em ação</t>
  </si>
  <si>
    <t>SUBSEÇÃO JUDICIÁRIA DE SANTARÉM26</t>
  </si>
  <si>
    <t>Dedetização e descupinização</t>
  </si>
  <si>
    <t>Combater cupins, formigas doceiras e de fogo, baratas, entre outras pragas urbanas nas edificações e na área externa, de gramado.</t>
  </si>
  <si>
    <t>Serviço de dedetização, desratização e descupinização.</t>
  </si>
  <si>
    <t>Proliferação de doenças por baratas e formigas e destruição de móveis e documentos por cupins.</t>
  </si>
  <si>
    <t>SUBSEÇÃO JUDICIÁRIA DE SANTARÉM27</t>
  </si>
  <si>
    <t>Fornecimento de água da Concessionária Cosanpa</t>
  </si>
  <si>
    <t>Para uso geral, como alternativa ao poço semi artesiano, vez que a Concessionária dispõe de rede pública passando pelo prédio sede da Subseção.</t>
  </si>
  <si>
    <t>Falta de água em caso de problema no poço semi artesiano.</t>
  </si>
  <si>
    <t>SUBSEÇÃO JUDICIÁRIA DE SANTARÉM28</t>
  </si>
  <si>
    <t>Aquisição de café, açúcar e copo descartável</t>
  </si>
  <si>
    <t>Para servir magistrados e representantes de outros órgãos que frequentemente são recepcionados em visitas a esta Subseção de Santarém.</t>
  </si>
  <si>
    <t>Café solúvel, pacote 250 gramas, embalado a vácuo, versão tradicional</t>
  </si>
  <si>
    <t>Falta de um mínimo de insumos para viabilizar a boa política de relação entre os representantes de entes públicos da sociedade.</t>
  </si>
  <si>
    <t>SUBSEÇÃO JUDICIÁRIA DE SANTARÉM29</t>
  </si>
  <si>
    <t>Açúcar branco, tipo cristal</t>
  </si>
  <si>
    <t>SUBSEÇÃO JUDICIÁRIA DE SANTARÉM30</t>
  </si>
  <si>
    <t>Copo Plástico Biodegradável capacidade de 180 ou 200ml (já adquirido estoque para uso até o final de 2024, objeto do SEI 0001945-77.2023.4.01.8010</t>
  </si>
  <si>
    <t>SUBSEÇÃO JUDICIÁRIA DE SANTARÉM31</t>
  </si>
  <si>
    <t>Equipamentos e materiais para copa</t>
  </si>
  <si>
    <t>Para equipar as copas desta Subseção, com vistas à viabilizar eventos de recpção a representantes de outros órgãos, frequentemente agendado pela atual administração.</t>
  </si>
  <si>
    <t>Forno elétrico de sobrepor, com temporizador, inox, função gril (airfryer), 44 litros ou superior, bivolt</t>
  </si>
  <si>
    <t>Uso de energia solar, da micro geração própria da Subseção.</t>
  </si>
  <si>
    <t>Falta de estrutura na Subseção para a recepção de autoridades.</t>
  </si>
  <si>
    <t>SUBSEÇÃO JUDICIÁRIA DE SANTARÉM32</t>
  </si>
  <si>
    <t>Liquidificador industrial, alta rotação, copo e base em aço inox, 1,5 litros ou superior, bivolt</t>
  </si>
  <si>
    <t>SUBSEÇÃO JUDICIÁRIA DE SANTARÉM33</t>
  </si>
  <si>
    <t>Conjunto de vasilhame para fogão cooktop por indução, com 4 peças ou mais composto por panela e frigideira, todas com tampa</t>
  </si>
  <si>
    <t>SUBSEÇÃO JUDICIÁRIA DE SANTARÉM34</t>
  </si>
  <si>
    <t>Leiteira (fervedor) com tampa para fogão cooktop por indução</t>
  </si>
  <si>
    <t>SUBSEÇÃO JUDICIÁRIA DE SANTARÉM35</t>
  </si>
  <si>
    <t>Suporte inox, com cabo, para fogão por indução</t>
  </si>
  <si>
    <t>SUBSEÇÃO JUDICIÁRIA DE SANTARÉM36</t>
  </si>
  <si>
    <t>Jarra inox de 2 litros para água, com tampa inox</t>
  </si>
  <si>
    <t>UN.</t>
  </si>
  <si>
    <t>SUBSEÇÃO JUDICIÁRIA DE SANTARÉM37</t>
  </si>
  <si>
    <t>Posto de vigilância feminino diurno</t>
  </si>
  <si>
    <t>Adotar os procedimentos de segurança no acesso de pessoas do sexo feminino, considerando não haver scaner de raio x na Subseção.</t>
  </si>
  <si>
    <t>137892.48</t>
  </si>
  <si>
    <t>Fragilidade na segurança de magistrados, servidores, terceirizados e usuários</t>
  </si>
  <si>
    <t>SUBSEÇÃO JUDICIÁRIA DE SANTARÉM38</t>
  </si>
  <si>
    <t>PQGVT - equipar sala de qualidade de vida</t>
  </si>
  <si>
    <t>Disponibilizar ambiente de revitalização de energia pessoal (corpo e mente) de magistrados, servidores e terceirizados que trabalham na Subseção, em consonância dom a Promoção da Qualidade de Vida no Trabalho dos Magistrados e Servidores da Seção Judiciária do Pará – PRO-BEM, objeto do SEI 0008596-72.2016.4.01.8010.</t>
  </si>
  <si>
    <t>Equipar sala com equipamentos de massagem e de relaxamento para compor o PQGVT - Programa de Gestão em Qualidade de Vida e Trabalho</t>
  </si>
  <si>
    <t>Aumento do estresse no ambiente de trabalho e diminuição da urbanidade entre colegas e o público, implicando na redução da produtividade sobretudo decorrente de doenças.</t>
  </si>
  <si>
    <t>SUBSEÇÃO JUDICIÁRIA DE SANTARÉM39</t>
  </si>
  <si>
    <t>Mesa para refeitório</t>
  </si>
  <si>
    <t>Para equipar as copas desta Subseção, para uso de servidores, magistrados e terceirizados que aqui laboram, visando substituir uma já deteriorada e outra improvisada, ora em uso.</t>
  </si>
  <si>
    <t>Mesa com tampo em granito, mdp ou mdf, medindo 1,80 x 0,80 x 80 (comprimento x largura x altura), permitindo-se variação de até 5% das medidas, com 6 cadeiras, ambas com estrutura em aço carbono com tratamento anti-ferrujem; cadeiras com assento com revestimento impermeável.</t>
  </si>
  <si>
    <t>Acidente com as cadeiras velhas e antigas, de madeira, com muitos defeitos.</t>
  </si>
  <si>
    <t>SUBSEÇÃO JUDICIÁRIA DE TUCURUÍ1</t>
  </si>
  <si>
    <t>Aquisição de água mineral em garrafão de 20l e em garrafa de 500ml e copo descartável de 200ml</t>
  </si>
  <si>
    <t>Prover o estoque dos referidos materiais, visando suprir às necessidades da Subseção Judiciária de Tucuruí/PA durante o exercício de 2023.</t>
  </si>
  <si>
    <t>Água mineral natural sem gás em garrafão de 20l</t>
  </si>
  <si>
    <t>Garrafão de 20l</t>
  </si>
  <si>
    <t>A contratação de Copo Plástico Biodegradável segue os critéiros de sustentabilidade adotado pelo TRF1</t>
  </si>
  <si>
    <t>O município de Tucuruí não disponibiliza água potável, apesar de ter rede de distribuição. Assim, a não contratação poderia trazer danos à saúde dos servidores e demais usuários dos serviços prestados pelo Poder Judiciário no município.</t>
  </si>
  <si>
    <t>SUBSEÇÃO JUDICIÁRIA DE TUCURUÍ2</t>
  </si>
  <si>
    <t>Água mineral natural sem gás em garrafa de 500ml</t>
  </si>
  <si>
    <t>Garrafa de 500ml</t>
  </si>
  <si>
    <t>A contratação de Copo Plástico Biodegradável segue os critéiros de sustentabilidade adotado pelo TRF2</t>
  </si>
  <si>
    <t>SUBSEÇÃO JUDICIÁRIA DE TUCURUÍ3</t>
  </si>
  <si>
    <t>Copo Plástico Biodegradável capacidade de 200ml</t>
  </si>
  <si>
    <t>Pacote com 100und</t>
  </si>
  <si>
    <t>A contratação de Copo Plástico Biodegradável segue os critéiros de sustentabilidade adotado pelo TRF3</t>
  </si>
  <si>
    <t>SUBSEÇÃO JUDICIÁRIA DE TUCURUÍ4</t>
  </si>
  <si>
    <t>Fornecimento de energia elétrica </t>
  </si>
  <si>
    <t>Sem energia elétrica praticamente nada funciona. É uma contratação imprescindível.</t>
  </si>
  <si>
    <t>SUBSEÇÃO JUDICIÁRIA DE TUCURUÍ5</t>
  </si>
  <si>
    <t>Manuteção preventiva e corretiva em equipamento de ar condicionado</t>
  </si>
  <si>
    <t>SUBSEÇÃO JUDICIÁRIA DE TUCURUÍ6</t>
  </si>
  <si>
    <t>Recarga de extintores de incêndio</t>
  </si>
  <si>
    <t>Recarga de extintor D’água (carga d’água A) de 10 Litros (2-A)</t>
  </si>
  <si>
    <t>A empresa deve adotar boas práticas de otimização de recursos/redução de desperdícios/ menor poluição, tais como: Racionalização do uso de substâncias potencialmente tóxico-poluentes e substituição de substâncias tóxicas por outras atóxicas ou de menor toxicidade.</t>
  </si>
  <si>
    <t>A falta de equipamentos eficientes de combate ao incêndio pode gerar danos irreversíveis em eventuais situações, bem como multas por não atender a legislação sobre normas de combate a incêndio.</t>
  </si>
  <si>
    <t>SUBSEÇÃO JUDICIÁRIA DE TUCURUÍ7</t>
  </si>
  <si>
    <t>Recarga de extintor CO² (gás carbônico BC) de 6 kg (5-B:C)</t>
  </si>
  <si>
    <t>SUBSEÇÃO JUDICIÁRIA DE TUCURUÍ8</t>
  </si>
  <si>
    <t>Recarga de extintor ABC (pó químico ABC) de 4Kg (2-A:20-B:C)</t>
  </si>
  <si>
    <t>SUBSEÇÃO JUDICIÁRIA DE TUCURUÍ9</t>
  </si>
  <si>
    <t>Locação de imóvel que abriga a Subseção Judiciária de Tucuruí</t>
  </si>
  <si>
    <t>Manutenção desta Subseção Judiciária no município de  Tucuruí, constituída de 01 (uma) Vara Federal, criada pela Lei nº 12.011, de 04.08.2009, solidificando a meta de interiorização da Justiça Federal.</t>
  </si>
  <si>
    <t>A continuidade do contrato  de locação de imóvel que abrigar esta Subseção Judiciária  é justificada, tendo em vista que a Justiça Federal em Tucuruí não  possui sede própria. Assim, até que se construa uma nova sede há necessidade da contratação de imóvel para abrigar a Subseção Judiciária.</t>
  </si>
  <si>
    <t>SUBSEÇÃO JUDICIÁRIA DE TUCURUÍ10</t>
  </si>
  <si>
    <t>Contratação de empresa  para fazer adaptação do imóvel que abrigará a sede da Subseção Judiciária de Tucuruí</t>
  </si>
  <si>
    <t>Sediar as Seções e Subseções Judiciárias em locais apropriados para que os serviços juridicionais possam ser prestados com excelência.</t>
  </si>
  <si>
    <t>A sede da Subseção Judiciária de Tucuruí está instalada em um imóvel alugado onde também funciona uma faculdade particular, o que não se mostra apropriado, já que as sedes da Justiça Federal não devem abrigar nenhuma outra instituição pública ou privada, pelos riscos evidentes que o trânsito de outras pessoas no local acarreta à segurança dos servidores e dos magistrados que ali exercem suas funções institucionais. Assim há a necessidade de mudança da sede. Como já há imóvel cedido pelo Eletronorte para abrigar a nova sede, resta apenas contratação de empresa fazer as adaptações necessárias processo SEI 0000500-63.2019.4.01.8010.</t>
  </si>
  <si>
    <t>Serviço de Adaptação de imóvel para abrigar a nova sede da Subseção Judiciária de Tucuruí</t>
  </si>
  <si>
    <t>5622</t>
  </si>
  <si>
    <t>Uso de materias, na medida do possível, ecológicos.</t>
  </si>
  <si>
    <t>Subseção de Tucuruí continuará funcionando em imóvel de forma  irregular.</t>
  </si>
  <si>
    <t>SUBSEÇÃO JUDICIÁRIA DE TUCURUÍ11</t>
  </si>
  <si>
    <t>Aparelho de ar condicionado, capacidade refrigeração: 18.000 e 22.000 btu, tensão: 220 v, tipo: split, características adicionais 1: controle remoto sem fio, inverter</t>
  </si>
  <si>
    <t>Substituir os ar condionados mais antigos, uma vez que a manutenção desses equipamentos já não é mais vantajosa para administração, bem como promover economia de energia elétrica, tendo em vista que os novos modelos de ar condicionado inverter geram economia energética em torno de 40% em relação aos modelos convencionais.</t>
  </si>
  <si>
    <t>Aparelho ar condicionado de 18.000 btu, tensão, 220 v, tipo split</t>
  </si>
  <si>
    <t>Menor consumo e maior eficiência energética, dentro de sua categoria;</t>
  </si>
  <si>
    <t>SUBSEÇÃO JUDICIÁRIA DE TUCURUÍ12</t>
  </si>
  <si>
    <t>Aparelho ar condicionado de 22.000 btu, tensão, 220 v, tipo split</t>
  </si>
  <si>
    <t>SUBSEÇÃO JUDICIÁRIA DE TUCURUÍ13</t>
  </si>
  <si>
    <t>Instalação de ar condicionados de 18.000 e 22.000 btu</t>
  </si>
  <si>
    <t>ManteR um ambiente salubre para servidores e demais usuários dos serviços prestados pelo Poder Judiciário.</t>
  </si>
  <si>
    <t>Fazer  a instalação dos  equipamentos de ar condicionado para que o objetivo pretendido na demanda de compra desses equipamentos sejam seja alcançado.</t>
  </si>
  <si>
    <t>2020</t>
  </si>
  <si>
    <t>Equipamentos de ar condicionados não serão instalados, ficando estocado, deteriorando, ocasionando prejuízo para administração </t>
  </si>
  <si>
    <t>SUBSEÇÃO JUDICIÁRIA DE TUCURUÍ14</t>
  </si>
  <si>
    <t>A aquisição do Gás Refrigerante R410A se faz necessária, tendo em vista que temos 13 ar condicionados, tipo inverter que utilizam esse gás, sendo necessário tê-lo em estoque para eventuais reposições nos respectivos aparelhos de ar condicionados.</t>
  </si>
  <si>
    <t>400047</t>
  </si>
  <si>
    <t>SUBSEÇÃO JUDICIÁRIA DE TUCURUÍ15</t>
  </si>
  <si>
    <t>SUBSEÇÃO JUDICIÁRIA DE REDENÇÃO1</t>
  </si>
  <si>
    <t>Necessidade básica dos servidores e clientes do consumo de água potável.</t>
  </si>
  <si>
    <t>Prover o estoque dos referidos materiais, visando suprir às necessidades da Subseção Judiciária de Redenção/PA durante o exercício de 2023.</t>
  </si>
  <si>
    <t>A contratação de Copo Plástico Biodegradável segue os critérios de sustentabilidade adotado pelo TRF1.</t>
  </si>
  <si>
    <t>O município de Redenção não disponibiliza água potável, apesar de ter rede de distribuição. Assim, a não contratação poderia trazer danos à saúde dos servidores e demais usuários dos serviços prestados pelo Poder Judiciário no município.</t>
  </si>
  <si>
    <t>SUBSEÇÃO JUDICIÁRIA DE REDENÇÃO2</t>
  </si>
  <si>
    <t>SUBSEÇÃO JUDICIÁRIA DE REDENÇÃO3</t>
  </si>
  <si>
    <t>SUBSEÇÃO JUDICIÁRIA DE REDENÇÃO4</t>
  </si>
  <si>
    <t>O fornecimento de energia elétrica é fundamental para o desempenho das atividades e alcance das metas institucionais.</t>
  </si>
  <si>
    <t>Interrupção/paralização dos serviços.</t>
  </si>
  <si>
    <t>SUBSEÇÃO JUDICIÁRIA DE REDENÇÃO5</t>
  </si>
  <si>
    <t>Manutenção preventiva e corretiva em equipamento de ar condicionado.</t>
  </si>
  <si>
    <t>SUBSEÇÃO JUDICIÁRIA DE REDENÇÃO6</t>
  </si>
  <si>
    <t>Locação de imóvel que abriga a Subseção Judiciária de Redenção.</t>
  </si>
  <si>
    <t>Manutenção desta Subseção Judiciária no município de  Redenção, constituída de 01 (uma) Vara Federal, criada pela Lei nº 12.011, de 04.08.2009, solidificando a meta de interiorização da Justiça Federal.</t>
  </si>
  <si>
    <t>A continuidade do contrato  de locação de imóvel que abriga esta Subseção Judiciária  é justificada, tendo em vista que a Justiça Federal em Redenção não  possuir sede própria. Assim, até que se construa uma nova sede há necessidade da contratação de imóvel para abrigar a Subseção Judiciária.</t>
  </si>
  <si>
    <t>SUBSEÇÃO JUDICIÁRIA DE REDENÇÃO7</t>
  </si>
  <si>
    <t>Plano Estratégico da Justiça Federal - PEJF 2021/2026, macrodesafio: Aperfeiçoamento da gestão administrativa e da governança judiciária. Sociedade, Macrodesafio "Garantia dos direitos de cidadania", Objetivo "Buscar a satisfação do usuário/cidadão"</t>
  </si>
  <si>
    <t>A aquisição do papel A4 servirá para garantir a reposição de estoque do Almoxarifado da Subseção de Redenção.</t>
  </si>
  <si>
    <t>SUBSEÇÃO JUDICIÁRIA DE REDENÇÃO8</t>
  </si>
  <si>
    <t>Desgaste de equipamento e poluição ambiental pelo uso do motor gerador</t>
  </si>
  <si>
    <t>Plano Estratégico da Justiça Federal - PEJF 2021/2026, macrodesafio: Aperfeiçoamento da gestão administrativa e da governança judiciária. Objetivos de Desenvolvimento Sustentável - Agenda 2030/ONU: ODS 16: Paz, Justiça e Instituições Eficazes.</t>
  </si>
  <si>
    <t>Os serviços de manutenções preventivas e corretivas dos grupos geradores a diesel se justificam em função da necessidade de se garantir o perfeito funcionamento dos equipamentos, atenuando-se, desse modo, futuros gastos com manutenção corretiva e garantindo a correta realização das funções de backup correlatas.</t>
  </si>
  <si>
    <t>2356</t>
  </si>
  <si>
    <t>Critérios de sustentabilidade ambiental. em observância a Instrução Normativa SLTI/MPOG nº 01 de 19 de janeiro 2010, os projetos consideraram o uso de materiais e equipamentos que irão reduzir o impacto ambiental.</t>
  </si>
  <si>
    <t>Riscos de paralisação dos serviços e danos aos equipamentos.</t>
  </si>
  <si>
    <t>UG N°</t>
  </si>
  <si>
    <t>ANO</t>
  </si>
  <si>
    <t>CRONOGRAMA ANUAL DE EXECUÇÃO DAS CONTRATAÇÕES – CAC</t>
  </si>
  <si>
    <t>Dados do DOD</t>
  </si>
  <si>
    <t>Definição de Tempo das Etapas</t>
  </si>
  <si>
    <t>Datas Limites de Conclusão das Fases Intermediárias</t>
  </si>
  <si>
    <r>
      <t xml:space="preserve">Unidade Requisitante
</t>
    </r>
    <r>
      <rPr>
        <i/>
        <sz val="9"/>
        <color rgb="FFFF0000"/>
        <rFont val="Arial1"/>
      </rPr>
      <t>(informar ID do DOD)</t>
    </r>
  </si>
  <si>
    <t>Objeto</t>
  </si>
  <si>
    <r>
      <t xml:space="preserve">PAE - SEI
</t>
    </r>
    <r>
      <rPr>
        <i/>
        <sz val="9"/>
        <color rgb="FFFF0000"/>
        <rFont val="Arial1"/>
      </rPr>
      <t xml:space="preserve">(informar nº do processo de </t>
    </r>
    <r>
      <rPr>
        <i/>
        <sz val="9"/>
        <color rgb="FFFF0000"/>
        <rFont val="Arial1"/>
      </rPr>
      <t>contratação, quando autuado)</t>
    </r>
  </si>
  <si>
    <t>Data-limite para entrega dos bens ou início da prestação dos serviços</t>
  </si>
  <si>
    <t>Valor total estimado</t>
  </si>
  <si>
    <t>Forma de Contratação</t>
  </si>
  <si>
    <r>
      <t xml:space="preserve">Contrato ou Nota de empenho?
</t>
    </r>
    <r>
      <rPr>
        <sz val="9"/>
        <color rgb="FFFF0000"/>
        <rFont val="Arial1"/>
      </rPr>
      <t>(C/N)</t>
    </r>
  </si>
  <si>
    <r>
      <t xml:space="preserve">Seleção com Amostra?
</t>
    </r>
    <r>
      <rPr>
        <sz val="9"/>
        <color rgb="FFFF0000"/>
        <rFont val="Arial1"/>
      </rPr>
      <t>(S/N)</t>
    </r>
  </si>
  <si>
    <t>Qtd de Itens do Objeto</t>
  </si>
  <si>
    <r>
      <t xml:space="preserve">TApETP
</t>
    </r>
    <r>
      <rPr>
        <sz val="9"/>
        <color rgb="FF000000"/>
        <rFont val="Arial1"/>
      </rPr>
      <t>(dias)</t>
    </r>
  </si>
  <si>
    <r>
      <t xml:space="preserve">TElabTR
</t>
    </r>
    <r>
      <rPr>
        <sz val="9"/>
        <color rgb="FF000000"/>
        <rFont val="Arial1"/>
      </rPr>
      <t>(dias)</t>
    </r>
  </si>
  <si>
    <t>Dispensa/inexigibilidade</t>
  </si>
  <si>
    <t>Prorrogação/  renovação</t>
  </si>
  <si>
    <r>
      <t xml:space="preserve">TElabCont/ NE
</t>
    </r>
    <r>
      <rPr>
        <sz val="9"/>
        <color rgb="FF000000"/>
        <rFont val="Arial1"/>
      </rPr>
      <t>(dias)</t>
    </r>
  </si>
  <si>
    <t>Recesso forense
2021/22</t>
  </si>
  <si>
    <t>TOTAL TEMPO DIAS</t>
  </si>
  <si>
    <t>Dt entrega ETP</t>
  </si>
  <si>
    <t>Dt entrega TR/PB</t>
  </si>
  <si>
    <r>
      <rPr>
        <b/>
        <sz val="9"/>
        <color rgb="FF000000"/>
        <rFont val="Arial1"/>
      </rPr>
      <t xml:space="preserve">Aprovação do Termo de </t>
    </r>
    <r>
      <rPr>
        <b/>
        <sz val="9"/>
        <color rgb="FF000000"/>
        <rFont val="Arial1"/>
      </rPr>
      <t>Referência</t>
    </r>
    <r>
      <rPr>
        <b/>
        <sz val="9"/>
        <color rgb="FF000000"/>
        <rFont val="Arial1"/>
      </rPr>
      <t xml:space="preserve">
</t>
    </r>
    <r>
      <rPr>
        <sz val="9"/>
        <color rgb="FF000000"/>
        <rFont val="Calibri"/>
        <family val="2"/>
      </rPr>
      <t>(licitação)</t>
    </r>
  </si>
  <si>
    <r>
      <t xml:space="preserve">Publicação do Edital
</t>
    </r>
    <r>
      <rPr>
        <sz val="9"/>
        <color rgb="FF000000"/>
        <rFont val="Arial1"/>
      </rPr>
      <t>(licitação)</t>
    </r>
  </si>
  <si>
    <r>
      <t xml:space="preserve">Homologação do Resultado
</t>
    </r>
    <r>
      <rPr>
        <sz val="9"/>
        <color rgb="FF000000"/>
        <rFont val="Arial1"/>
      </rPr>
      <t>(licitação)</t>
    </r>
  </si>
  <si>
    <t>Procedimentos de prorrogação/ renovação</t>
  </si>
  <si>
    <t>Dt Contratação</t>
  </si>
  <si>
    <t>Prazo estimado para execução e pagamento total da despesa</t>
  </si>
  <si>
    <r>
      <t xml:space="preserve">TApTR
</t>
    </r>
    <r>
      <rPr>
        <sz val="9"/>
        <color rgb="FF000000"/>
        <rFont val="Arial1"/>
      </rPr>
      <t>(dias)</t>
    </r>
  </si>
  <si>
    <r>
      <t xml:space="preserve">TFILi
</t>
    </r>
    <r>
      <rPr>
        <sz val="9"/>
        <color rgb="FF000000"/>
        <rFont val="Arial1"/>
      </rPr>
      <t>(dias)</t>
    </r>
  </si>
  <si>
    <r>
      <t xml:space="preserve">TFELi
</t>
    </r>
    <r>
      <rPr>
        <sz val="9"/>
        <color rgb="FF000000"/>
        <rFont val="Arial1"/>
      </rPr>
      <t>(dias)</t>
    </r>
  </si>
  <si>
    <r>
      <t xml:space="preserve">TFICD
</t>
    </r>
    <r>
      <rPr>
        <sz val="9"/>
        <color rgb="FF000000"/>
        <rFont val="Arial1"/>
      </rPr>
      <t>(dias)</t>
    </r>
  </si>
  <si>
    <t>Instrução processual</t>
  </si>
  <si>
    <t>Autorização da contratação</t>
  </si>
  <si>
    <r>
      <t xml:space="preserve">Conclusão Fase Interna da Contratação Direta
</t>
    </r>
    <r>
      <rPr>
        <sz val="9"/>
        <color rgb="FF000000"/>
        <rFont val="Arial1"/>
      </rPr>
      <t>(disp./inexig.)</t>
    </r>
  </si>
  <si>
    <r>
      <t xml:space="preserve">Despacho Instrução Processual
</t>
    </r>
    <r>
      <rPr>
        <sz val="9"/>
        <color rgb="FF000000"/>
        <rFont val="Arial1"/>
      </rPr>
      <t>(disp./inexig.)</t>
    </r>
  </si>
  <si>
    <r>
      <t xml:space="preserve">Autorização da contratação
</t>
    </r>
    <r>
      <rPr>
        <sz val="9"/>
        <color rgb="FF000000"/>
        <rFont val="Arial1"/>
      </rPr>
      <t>(disp./inexig.)</t>
    </r>
  </si>
  <si>
    <t>0003424-08.2023.4.01.8010</t>
  </si>
  <si>
    <t>0002346-76.2023.4.01.8010</t>
  </si>
  <si>
    <t>C</t>
  </si>
  <si>
    <t>0002346-76.2023.4.01.8011</t>
  </si>
  <si>
    <t>0002346-76.2023.4.01.8012</t>
  </si>
  <si>
    <t>0002346-76.2023.4.01.8013</t>
  </si>
  <si>
    <t>0002346-76.2023.4.01.8014</t>
  </si>
  <si>
    <t>SEVIT-NUASG17</t>
  </si>
  <si>
    <t>0002346-76.2023.4.01.8015</t>
  </si>
  <si>
    <t>0002345-91.2023.4.01.8010</t>
  </si>
  <si>
    <t>S</t>
  </si>
  <si>
    <t>0002345-91.2023.4.01.8011</t>
  </si>
  <si>
    <t>0002345-91.2023.4.01.8012</t>
  </si>
  <si>
    <t>0002345-91.2023.4.01.8013</t>
  </si>
  <si>
    <t>0002345-91.2023.4.01.8014</t>
  </si>
  <si>
    <t>0002344-09.2023.4.01.8010</t>
  </si>
  <si>
    <t>0002344-09.2023.4.01.8011</t>
  </si>
  <si>
    <t>0002344-09.2023.4.01.8012</t>
  </si>
  <si>
    <t>0002344-09.2023.4.01.8013</t>
  </si>
  <si>
    <t>0002344-09.2023.4.01.8014</t>
  </si>
  <si>
    <t>0002344-09.2023.4.01.8015</t>
  </si>
  <si>
    <t>0002344-09.2023.4.01.8016</t>
  </si>
  <si>
    <t>0002344-09.2023.4.01.8017</t>
  </si>
  <si>
    <t>0002359-75.2023.4.01.8010</t>
  </si>
  <si>
    <t>0002359-75.2023.4.01.8011</t>
  </si>
  <si>
    <t>0003320-16.2023.4.01.8010</t>
  </si>
  <si>
    <t>0003320-16.2023.4.01.8011</t>
  </si>
  <si>
    <t>0003320-16.2023.4.01.8012</t>
  </si>
  <si>
    <t>0003298-55.2023.4.01.8010</t>
  </si>
  <si>
    <t>0003533-22.2023.4.01.8010</t>
  </si>
  <si>
    <t>SUBSEÇÃO JUDICIÁRIA DE CASTANHAL23</t>
  </si>
  <si>
    <t>0003377-34.2023.4.01.8010</t>
  </si>
  <si>
    <t>0003289-93.2023.4.01.8010</t>
  </si>
  <si>
    <t>0002312-04.2023.4.01.8010</t>
  </si>
  <si>
    <t>0002401-27.2023.4.01.8010</t>
  </si>
  <si>
    <t>0002421-18.2023.4.01.8010</t>
  </si>
  <si>
    <t>SUBSEÇÃO JUDICIÁRIA DE TUCURUÍ16</t>
  </si>
  <si>
    <t>0003110-62.2023.4.01.8010</t>
  </si>
  <si>
    <t>VALOR GLOBAL ESTIMADO CAC 2024</t>
  </si>
  <si>
    <t>ID</t>
  </si>
  <si>
    <t>PA-SEI</t>
  </si>
  <si>
    <t>Qtd dias para a contratação</t>
  </si>
  <si>
    <t>Data estimada
ETP</t>
  </si>
  <si>
    <t>Data estimada
TR/PB</t>
  </si>
  <si>
    <t>Data estimada
Renovação/ Prorrogação</t>
  </si>
  <si>
    <t>Data estimada
Contratação</t>
  </si>
  <si>
    <t>Data efetiva entrega
ETP</t>
  </si>
  <si>
    <t>Dt efetiva entrega
TR/PB</t>
  </si>
  <si>
    <t>Dt início procedimentos de prorrogação/ renovação</t>
  </si>
  <si>
    <t>Dt efetiva Contratação</t>
  </si>
  <si>
    <t>stat_ETP</t>
  </si>
  <si>
    <t>stat_TR/PB</t>
  </si>
  <si>
    <t>stat_renov/ prorrog</t>
  </si>
  <si>
    <t>stat_cont</t>
  </si>
  <si>
    <t>---</t>
  </si>
  <si>
    <t>Planilha PAC</t>
  </si>
  <si>
    <t>Preenchimento de dados:</t>
  </si>
  <si>
    <t>Todas as colunas deverão ser preenchidas pelo usuário;</t>
  </si>
  <si>
    <t>DOD com mais de 1 item:</t>
  </si>
  <si>
    <t>O ID deverá ser mencionado em cada linha correspondente a cada item, para permitir adequada utilização da ferramenta de filtro;</t>
  </si>
  <si>
    <t>Quando houver mais de um item por DOD, deverá ser informado um item por linha, para permitir adequada visualização e contabilização de dados nas planilhas PAC e CAC;</t>
  </si>
  <si>
    <t>Coluna A:</t>
  </si>
  <si>
    <r>
      <t xml:space="preserve">Quando o ID tiver de ser mencionado em mais de uma linha (DODs com mais de 1 item), </t>
    </r>
    <r>
      <rPr>
        <b/>
        <i/>
        <sz val="10"/>
        <color rgb="FF000000"/>
        <rFont val="Arial1"/>
      </rPr>
      <t>não mesclar</t>
    </r>
    <r>
      <rPr>
        <i/>
        <sz val="10"/>
        <color rgb="FF000000"/>
        <rFont val="Calibri"/>
        <family val="2"/>
      </rPr>
      <t xml:space="preserve"> as respectivas células de modo a permitir a adequada utilização da ferramenta de filtro;</t>
    </r>
  </si>
  <si>
    <t>Colunas E, F, G, H, I, J, K, L, M:</t>
  </si>
  <si>
    <t>Em DODs com mais de 1 item, informar um item para cada linha. Não mesclar as respectivas células de modo a permitir a adequada visualização e contabilização de dados nas planilhas PAC e CAC;</t>
  </si>
  <si>
    <t>Coluna W (após coluna V - Riscos da não contratação):</t>
  </si>
  <si>
    <t>Informar o algarismo "1" para cada linha que houver item informado. Isso é necessário para contabilizar corretamente a quantidade de itens na planilha CAC, coluna J - "Qtd de Itens do Objeto";</t>
  </si>
  <si>
    <t>Planilha CAC</t>
  </si>
  <si>
    <t>Somente as colunas em branco (A, C, H e I) deverão ser preenchidas pelo usuário, seguindo-se as recomendações de resposta indicadas em vermelho no cabeçalho;</t>
  </si>
  <si>
    <t>Na transcrição dos IDs do PAC para essa planilha, cuidar para:
a) não repetir os IDs (ainda que na planilha PAC eles tenham se repetido por conta de DODs com mais de 1 item);
b) transcrever os IDs exatamente como foram informados na planilha PAC;</t>
  </si>
  <si>
    <t>Planilha CAC - Acompanhamento</t>
  </si>
  <si>
    <t>Somente as colunas em branco (I, J, K e L) deverão ser preenchidas pelo usuário, de acordo com a data de efetiva entrega dos artefatos (ou do início dos procedimentos no caso de renovação/prorrogação) e da efetiva contratação.</t>
  </si>
  <si>
    <t>DISPENSA E INEXIGIBILIDADE</t>
  </si>
  <si>
    <t>Etapa</t>
  </si>
  <si>
    <t>Definidores do Tempo</t>
  </si>
  <si>
    <t>Tempo (dias)</t>
  </si>
  <si>
    <t>TApETP</t>
  </si>
  <si>
    <t>TElabTR</t>
  </si>
  <si>
    <t>TApTR</t>
  </si>
  <si>
    <t>sem contrato</t>
  </si>
  <si>
    <t>1 item</t>
  </si>
  <si>
    <t>TFICD</t>
  </si>
  <si>
    <t>com ou sem contrato</t>
  </si>
  <si>
    <t>1 a 10 itens</t>
  </si>
  <si>
    <t>2 a 5 itens</t>
  </si>
  <si>
    <t>11 a 20 itens</t>
  </si>
  <si>
    <t>6 a 15 itens</t>
  </si>
  <si>
    <t>21 ou + itens</t>
  </si>
  <si>
    <t>16 ou + itens</t>
  </si>
  <si>
    <t>com contrato</t>
  </si>
  <si>
    <t>TElabCont/NE</t>
  </si>
  <si>
    <t>emissão de nota de empenho</t>
  </si>
  <si>
    <t>TFILi</t>
  </si>
  <si>
    <t>qq nº itens</t>
  </si>
  <si>
    <t>verificar correspondencia de cores entre uma tabela e outra</t>
  </si>
  <si>
    <t>TFELi</t>
  </si>
  <si>
    <t>sem amostra</t>
  </si>
  <si>
    <t>com amostra</t>
  </si>
  <si>
    <t>assinatura de contrato</t>
  </si>
  <si>
    <t>Legenda:</t>
  </si>
  <si>
    <t>Aperfeiçoamento do Estudo Técnico Preliminar – TApETP: da data de entrega do ETP à data de sua aprovação</t>
  </si>
  <si>
    <t>Tempo de elaboração do Termo de Referência – TElabTR: da data de aprovação do ETP à data de entrega do TR</t>
  </si>
  <si>
    <t>Aperfeiçoamento do Termo de Referência – TApTR: da data de entrega do TR à data de sua aprovação</t>
  </si>
  <si>
    <t>Fase Interna da Licitação – TFIL: da data de aprovação do TR à data de publicação do edital</t>
  </si>
  <si>
    <t>Fase Externa da Licitação – TFEL: da data de publicação do edital à data de homologação do resultado da licitação</t>
  </si>
  <si>
    <t>Tempo de elaboração e assinatura do contrato ou de emissão de nota de empenho</t>
  </si>
  <si>
    <t>Fase Interna da Contratação Direta: compreende aperfeiçoamento do TR, pesquisa de preços, elaboração do mapa de preços, consulta à documentação necessária para contratar, pré-instrução processual (aprovação do DOD, ETP e TR e verificação da disponibilidade orçamentária), elaboração de minuta de contrato e análise da minuta.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</si>
</sst>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416]General"/>
    <numFmt numFmtId="165" formatCode="&quot;R$ &quot;#,##0.00"/>
    <numFmt numFmtId="166" formatCode="[$-416]d/m/yyyy"/>
    <numFmt numFmtId="167" formatCode="[$-416]mmm/yy"/>
    <numFmt numFmtId="168" formatCode="[$-416]#,##0"/>
    <numFmt numFmtId="169" formatCode="[$-416]#,##0.00"/>
    <numFmt numFmtId="170" formatCode="[$R$-416]&quot; &quot;#,##0.00;[Red]&quot;-&quot;[$R$-416]&quot; &quot;#,##0.00"/>
    <numFmt numFmtId="171" formatCode="[$R$-416]&quot; &quot;#,##0.00"/>
    <numFmt numFmtId="172" formatCode="[$-416]0.00"/>
    <numFmt numFmtId="173" formatCode="[$-416]0%"/>
  </numFmts>
  <fonts count="29">
    <font>
      <sz val="11"/>
      <color rgb="FF000000"/>
      <name val="Arial1"/>
    </font>
    <font>
      <sz val="11"/>
      <color rgb="FF000000"/>
      <name val="Arial1"/>
    </font>
    <font>
      <sz val="11"/>
      <color rgb="FF9C0006"/>
      <name val="Arial1"/>
    </font>
    <font>
      <sz val="11"/>
      <color rgb="FF9C6500"/>
      <name val="Arial1"/>
    </font>
    <font>
      <sz val="11"/>
      <color rgb="FF006100"/>
      <name val="Arial1"/>
    </font>
    <font>
      <u/>
      <sz val="11"/>
      <color rgb="FF0563C1"/>
      <name val="Calibri"/>
      <family val="2"/>
    </font>
    <font>
      <sz val="11"/>
      <color rgb="FF000000"/>
      <name val="Calibri"/>
      <family val="2"/>
    </font>
    <font>
      <b/>
      <i/>
      <sz val="16"/>
      <color rgb="FF000000"/>
      <name val="Arial1"/>
    </font>
    <font>
      <u/>
      <sz val="11"/>
      <color rgb="FF0563C1"/>
      <name val="Arial1"/>
    </font>
    <font>
      <b/>
      <i/>
      <u/>
      <sz val="11"/>
      <color rgb="FF000000"/>
      <name val="Arial1"/>
    </font>
    <font>
      <b/>
      <sz val="9"/>
      <color rgb="FFFFFFFF"/>
      <name val="Calibri"/>
      <family val="2"/>
    </font>
    <font>
      <b/>
      <u/>
      <sz val="9"/>
      <color rgb="FFFFFFFF"/>
      <name val="Arial1"/>
    </font>
    <font>
      <sz val="9"/>
      <color rgb="FF000000"/>
      <name val="Calibri"/>
      <family val="2"/>
    </font>
    <font>
      <b/>
      <sz val="10"/>
      <color rgb="FF000000"/>
      <name val="Calibri"/>
      <family val="2"/>
    </font>
    <font>
      <sz val="10"/>
      <color rgb="FF000000"/>
      <name val="Calibri"/>
      <family val="2"/>
    </font>
    <font>
      <u/>
      <sz val="10"/>
      <color rgb="FF000000"/>
      <name val="Calibri"/>
      <family val="2"/>
    </font>
    <font>
      <vertAlign val="subscript"/>
      <sz val="10"/>
      <color rgb="FF000000"/>
      <name val="Calibri"/>
      <family val="2"/>
    </font>
    <font>
      <b/>
      <sz val="9"/>
      <color rgb="FF000000"/>
      <name val="Calibri"/>
      <family val="2"/>
    </font>
    <font>
      <i/>
      <sz val="9"/>
      <color rgb="FFFF0000"/>
      <name val="Arial1"/>
    </font>
    <font>
      <sz val="9"/>
      <color rgb="FFFF0000"/>
      <name val="Arial1"/>
    </font>
    <font>
      <sz val="9"/>
      <color rgb="FF000000"/>
      <name val="Arial1"/>
    </font>
    <font>
      <b/>
      <sz val="9"/>
      <color rgb="FF000000"/>
      <name val="Arial1"/>
    </font>
    <font>
      <b/>
      <sz val="11"/>
      <color rgb="FF000000"/>
      <name val="Calibri"/>
      <family val="2"/>
    </font>
    <font>
      <i/>
      <sz val="9"/>
      <color rgb="FFFF0000"/>
      <name val="Calibri"/>
      <family val="2"/>
    </font>
    <font>
      <sz val="8"/>
      <color rgb="FF000000"/>
      <name val="Calibri"/>
      <family val="2"/>
    </font>
    <font>
      <sz val="12"/>
      <color rgb="FF000000"/>
      <name val="Calibri"/>
      <family val="2"/>
    </font>
    <font>
      <i/>
      <sz val="10"/>
      <color rgb="FF000000"/>
      <name val="Calibri"/>
      <family val="2"/>
    </font>
    <font>
      <b/>
      <i/>
      <sz val="10"/>
      <color rgb="FF000000"/>
      <name val="Arial1"/>
    </font>
    <font>
      <i/>
      <sz val="11"/>
      <color rgb="FF000000"/>
      <name val="Calibri"/>
      <family val="2"/>
    </font>
  </fonts>
  <fills count="21">
    <fill>
      <patternFill patternType="none"/>
    </fill>
    <fill>
      <patternFill patternType="gray125"/>
    </fill>
    <fill>
      <patternFill patternType="solid">
        <fgColor rgb="FFFFC7CE"/>
        <bgColor rgb="FFFFC7CE"/>
      </patternFill>
    </fill>
    <fill>
      <patternFill patternType="solid">
        <fgColor rgb="FFFFEB9C"/>
        <bgColor rgb="FFFFEB9C"/>
      </patternFill>
    </fill>
    <fill>
      <patternFill patternType="solid">
        <fgColor rgb="FFE7E6E6"/>
        <bgColor rgb="FFE7E6E6"/>
      </patternFill>
    </fill>
    <fill>
      <patternFill patternType="solid">
        <fgColor rgb="FFFFFF99"/>
        <bgColor rgb="FFFFFF99"/>
      </patternFill>
    </fill>
    <fill>
      <patternFill patternType="solid">
        <fgColor rgb="FFC6EFCE"/>
        <bgColor rgb="FFC6EFCE"/>
      </patternFill>
    </fill>
    <fill>
      <patternFill patternType="solid">
        <fgColor rgb="FF548235"/>
        <bgColor rgb="FF548235"/>
      </patternFill>
    </fill>
    <fill>
      <patternFill patternType="solid">
        <fgColor rgb="FFFFFFFF"/>
        <bgColor rgb="FFFFFFFF"/>
      </patternFill>
    </fill>
    <fill>
      <patternFill patternType="solid">
        <fgColor rgb="FF99CCFF"/>
        <bgColor rgb="FF99CCFF"/>
      </patternFill>
    </fill>
    <fill>
      <patternFill patternType="solid">
        <fgColor rgb="FFC5E0B4"/>
        <bgColor rgb="FFC5E0B4"/>
      </patternFill>
    </fill>
    <fill>
      <patternFill patternType="solid">
        <fgColor rgb="FF70AD47"/>
        <bgColor rgb="FF70AD47"/>
      </patternFill>
    </fill>
    <fill>
      <patternFill patternType="solid">
        <fgColor rgb="FFBDD7EE"/>
        <bgColor rgb="FFBDD7EE"/>
      </patternFill>
    </fill>
    <fill>
      <patternFill patternType="solid">
        <fgColor rgb="FF5B9BD5"/>
        <bgColor rgb="FF5B9BD5"/>
      </patternFill>
    </fill>
    <fill>
      <patternFill patternType="solid">
        <fgColor rgb="FFFFFF00"/>
        <bgColor rgb="FFFFFF00"/>
      </patternFill>
    </fill>
    <fill>
      <patternFill patternType="solid">
        <fgColor rgb="FFBFBFBF"/>
        <bgColor rgb="FFBFBFBF"/>
      </patternFill>
    </fill>
    <fill>
      <patternFill patternType="solid">
        <fgColor rgb="FFFFF2CC"/>
        <bgColor rgb="FFFFF2CC"/>
      </patternFill>
    </fill>
    <fill>
      <patternFill patternType="solid">
        <fgColor rgb="FFF2F2F2"/>
        <bgColor rgb="FFF2F2F2"/>
      </patternFill>
    </fill>
    <fill>
      <patternFill patternType="solid">
        <fgColor rgb="FFCCCCFF"/>
        <bgColor rgb="FFCCCCFF"/>
      </patternFill>
    </fill>
    <fill>
      <patternFill patternType="solid">
        <fgColor rgb="FF33CCCC"/>
        <bgColor rgb="FF33CCCC"/>
      </patternFill>
    </fill>
    <fill>
      <patternFill patternType="solid">
        <fgColor rgb="FFFFC000"/>
        <bgColor rgb="FFFFC000"/>
      </patternFill>
    </fill>
  </fills>
  <borders count="10">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16">
    <xf numFmtId="0" fontId="0" fillId="0" borderId="0"/>
    <xf numFmtId="0" fontId="2" fillId="2" borderId="0" applyNumberFormat="0" applyBorder="0" applyProtection="0"/>
    <xf numFmtId="0" fontId="3" fillId="3" borderId="0" applyNumberFormat="0" applyBorder="0" applyProtection="0"/>
    <xf numFmtId="0" fontId="1" fillId="4" borderId="0" applyNumberFormat="0" applyFont="0" applyBorder="0" applyAlignment="0" applyProtection="0"/>
    <xf numFmtId="0" fontId="1" fillId="5"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xf numFmtId="0" fontId="1" fillId="4" borderId="0" applyNumberFormat="0" applyBorder="0" applyAlignment="0" applyProtection="0"/>
    <xf numFmtId="0" fontId="1" fillId="5" borderId="0" applyNumberFormat="0" applyBorder="0" applyAlignment="0" applyProtection="0"/>
    <xf numFmtId="0" fontId="4" fillId="6" borderId="0" applyNumberFormat="0" applyBorder="0" applyProtection="0"/>
    <xf numFmtId="0" fontId="2" fillId="2" borderId="0" applyNumberFormat="0" applyBorder="0" applyProtection="0"/>
    <xf numFmtId="0" fontId="3" fillId="3" borderId="0" applyNumberFormat="0" applyBorder="0" applyProtection="0"/>
    <xf numFmtId="0" fontId="4" fillId="6" borderId="0" applyNumberFormat="0" applyBorder="0" applyProtection="0"/>
    <xf numFmtId="0" fontId="2" fillId="2" borderId="0" applyNumberFormat="0" applyBorder="0" applyProtection="0"/>
    <xf numFmtId="0" fontId="3" fillId="3" borderId="0" applyNumberFormat="0" applyBorder="0" applyProtection="0"/>
    <xf numFmtId="0" fontId="4" fillId="6" borderId="0" applyNumberFormat="0" applyBorder="0" applyProtection="0"/>
    <xf numFmtId="0" fontId="2" fillId="2" borderId="0" applyNumberFormat="0" applyBorder="0" applyProtection="0"/>
    <xf numFmtId="0" fontId="3" fillId="3" borderId="0" applyNumberFormat="0" applyBorder="0" applyProtection="0"/>
    <xf numFmtId="0" fontId="3" fillId="3" borderId="0" applyNumberFormat="0" applyBorder="0" applyProtection="0"/>
    <xf numFmtId="0" fontId="4" fillId="6" borderId="0" applyNumberFormat="0" applyBorder="0" applyProtection="0"/>
    <xf numFmtId="0" fontId="2" fillId="2" borderId="0" applyNumberFormat="0" applyBorder="0" applyProtection="0"/>
    <xf numFmtId="0" fontId="3" fillId="3" borderId="0" applyNumberFormat="0" applyBorder="0" applyProtection="0"/>
    <xf numFmtId="0" fontId="4" fillId="6" borderId="0" applyNumberFormat="0" applyBorder="0" applyProtection="0"/>
    <xf numFmtId="0" fontId="2" fillId="2" borderId="0" applyNumberFormat="0" applyBorder="0" applyProtection="0"/>
    <xf numFmtId="0" fontId="3" fillId="3" borderId="0" applyNumberFormat="0" applyBorder="0" applyProtection="0"/>
    <xf numFmtId="0" fontId="4" fillId="6" borderId="0" applyNumberFormat="0" applyBorder="0" applyProtection="0"/>
    <xf numFmtId="0" fontId="2" fillId="2" borderId="0" applyNumberFormat="0" applyBorder="0" applyProtection="0"/>
    <xf numFmtId="0" fontId="3" fillId="3" borderId="0" applyNumberFormat="0" applyBorder="0" applyProtection="0"/>
    <xf numFmtId="0" fontId="4" fillId="6" borderId="0" applyNumberFormat="0" applyBorder="0" applyProtection="0"/>
    <xf numFmtId="0" fontId="4" fillId="6" borderId="0" applyNumberFormat="0" applyBorder="0" applyProtection="0"/>
    <xf numFmtId="0" fontId="2" fillId="2" borderId="0" applyNumberFormat="0" applyBorder="0" applyProtection="0"/>
    <xf numFmtId="0" fontId="3" fillId="3" borderId="0" applyNumberFormat="0" applyBorder="0" applyProtection="0"/>
    <xf numFmtId="0" fontId="4" fillId="6" borderId="0" applyNumberFormat="0" applyBorder="0" applyProtection="0"/>
    <xf numFmtId="0" fontId="2" fillId="2" borderId="0" applyNumberFormat="0" applyBorder="0" applyProtection="0"/>
    <xf numFmtId="0" fontId="3" fillId="3" borderId="0" applyNumberFormat="0" applyBorder="0" applyProtection="0"/>
    <xf numFmtId="0" fontId="4" fillId="6" borderId="0" applyNumberFormat="0" applyBorder="0" applyProtection="0"/>
    <xf numFmtId="0" fontId="2" fillId="2" borderId="0" applyNumberFormat="0" applyBorder="0" applyProtection="0"/>
    <xf numFmtId="0" fontId="3" fillId="3" borderId="0" applyNumberFormat="0" applyBorder="0" applyProtection="0"/>
    <xf numFmtId="0" fontId="4" fillId="6" borderId="0" applyNumberFormat="0" applyBorder="0" applyProtection="0"/>
    <xf numFmtId="0" fontId="2" fillId="2" borderId="0" applyNumberFormat="0" applyBorder="0" applyProtection="0"/>
    <xf numFmtId="0" fontId="1" fillId="4" borderId="0" applyNumberFormat="0" applyFont="0" applyBorder="0" applyProtection="0"/>
    <xf numFmtId="0" fontId="3" fillId="3" borderId="0" applyNumberFormat="0" applyBorder="0" applyProtection="0"/>
    <xf numFmtId="0" fontId="4" fillId="6" borderId="0" applyNumberFormat="0" applyBorder="0" applyProtection="0"/>
    <xf numFmtId="0" fontId="2" fillId="2" borderId="0" applyNumberFormat="0" applyBorder="0" applyProtection="0"/>
    <xf numFmtId="0" fontId="3" fillId="3" borderId="0" applyNumberFormat="0" applyBorder="0" applyProtection="0"/>
    <xf numFmtId="0" fontId="4" fillId="6" borderId="0" applyNumberFormat="0" applyBorder="0" applyProtection="0"/>
    <xf numFmtId="0" fontId="2" fillId="2" borderId="0" applyNumberFormat="0" applyBorder="0" applyProtection="0"/>
    <xf numFmtId="0" fontId="3" fillId="3" borderId="0" applyNumberFormat="0" applyBorder="0" applyProtection="0"/>
    <xf numFmtId="0" fontId="4" fillId="6" borderId="0" applyNumberFormat="0" applyBorder="0" applyProtection="0"/>
    <xf numFmtId="0" fontId="1" fillId="4" borderId="0" applyNumberFormat="0" applyFont="0" applyBorder="0" applyProtection="0"/>
    <xf numFmtId="0" fontId="1" fillId="5" borderId="0" applyNumberFormat="0" applyFont="0" applyBorder="0" applyProtection="0"/>
    <xf numFmtId="0" fontId="1" fillId="5" borderId="0" applyNumberFormat="0" applyFont="0" applyBorder="0" applyProtection="0"/>
    <xf numFmtId="0" fontId="2" fillId="2" borderId="0" applyNumberFormat="0" applyBorder="0" applyProtection="0"/>
    <xf numFmtId="0" fontId="3" fillId="3" borderId="0" applyNumberFormat="0" applyBorder="0" applyProtection="0"/>
    <xf numFmtId="0" fontId="4" fillId="6" borderId="0" applyNumberFormat="0" applyBorder="0" applyProtection="0"/>
    <xf numFmtId="0" fontId="1" fillId="4" borderId="0" applyNumberFormat="0" applyFont="0" applyBorder="0" applyProtection="0"/>
    <xf numFmtId="0" fontId="1" fillId="5" borderId="0" applyNumberFormat="0" applyFont="0" applyBorder="0" applyProtection="0"/>
    <xf numFmtId="0" fontId="2" fillId="2" borderId="0" applyNumberFormat="0" applyBorder="0" applyProtection="0"/>
    <xf numFmtId="0" fontId="3" fillId="3" borderId="0" applyNumberFormat="0" applyBorder="0" applyProtection="0"/>
    <xf numFmtId="0" fontId="4" fillId="6" borderId="0" applyNumberFormat="0" applyBorder="0" applyProtection="0"/>
    <xf numFmtId="0" fontId="1" fillId="4" borderId="0" applyNumberFormat="0" applyFont="0" applyBorder="0" applyProtection="0"/>
    <xf numFmtId="0" fontId="1" fillId="5" borderId="0" applyNumberFormat="0" applyFont="0" applyBorder="0" applyProtection="0"/>
    <xf numFmtId="0" fontId="2" fillId="2" borderId="0" applyNumberFormat="0" applyBorder="0" applyProtection="0"/>
    <xf numFmtId="0" fontId="2" fillId="2" borderId="0" applyNumberFormat="0" applyBorder="0" applyProtection="0"/>
    <xf numFmtId="0" fontId="3" fillId="3" borderId="0" applyNumberFormat="0" applyBorder="0" applyProtection="0"/>
    <xf numFmtId="0" fontId="4" fillId="6" borderId="0" applyNumberFormat="0" applyBorder="0" applyProtection="0"/>
    <xf numFmtId="0" fontId="1" fillId="4" borderId="0" applyNumberFormat="0" applyFont="0" applyBorder="0" applyProtection="0"/>
    <xf numFmtId="0" fontId="1" fillId="5" borderId="0" applyNumberFormat="0" applyFont="0" applyBorder="0" applyProtection="0"/>
    <xf numFmtId="0" fontId="2" fillId="2" borderId="0" applyNumberFormat="0" applyBorder="0" applyProtection="0"/>
    <xf numFmtId="0" fontId="3" fillId="3" borderId="0" applyNumberFormat="0" applyBorder="0" applyProtection="0"/>
    <xf numFmtId="0" fontId="4" fillId="6" borderId="0" applyNumberFormat="0" applyBorder="0" applyProtection="0"/>
    <xf numFmtId="0" fontId="1" fillId="4" borderId="0" applyNumberFormat="0" applyFont="0" applyBorder="0" applyProtection="0"/>
    <xf numFmtId="0" fontId="1" fillId="5" borderId="0" applyNumberFormat="0" applyFont="0" applyBorder="0" applyProtection="0"/>
    <xf numFmtId="0" fontId="3" fillId="3" borderId="0" applyNumberFormat="0" applyBorder="0" applyProtection="0"/>
    <xf numFmtId="0" fontId="2" fillId="2" borderId="0" applyNumberFormat="0" applyBorder="0" applyProtection="0"/>
    <xf numFmtId="0" fontId="3" fillId="3" borderId="0" applyNumberFormat="0" applyBorder="0" applyProtection="0"/>
    <xf numFmtId="0" fontId="4" fillId="6" borderId="0" applyNumberFormat="0" applyBorder="0" applyProtection="0"/>
    <xf numFmtId="0" fontId="1" fillId="4" borderId="0" applyNumberFormat="0" applyFont="0" applyBorder="0" applyProtection="0"/>
    <xf numFmtId="0" fontId="1" fillId="5" borderId="0" applyNumberFormat="0" applyFont="0" applyBorder="0" applyProtection="0"/>
    <xf numFmtId="0" fontId="2" fillId="2" borderId="0" applyNumberFormat="0" applyBorder="0" applyProtection="0"/>
    <xf numFmtId="0" fontId="3" fillId="3" borderId="0" applyNumberFormat="0" applyBorder="0" applyProtection="0"/>
    <xf numFmtId="0" fontId="4" fillId="6" borderId="0" applyNumberFormat="0" applyBorder="0" applyProtection="0"/>
    <xf numFmtId="0" fontId="1" fillId="4" borderId="0" applyNumberFormat="0" applyFont="0" applyBorder="0" applyProtection="0"/>
    <xf numFmtId="0" fontId="1" fillId="5" borderId="0" applyNumberFormat="0" applyFont="0" applyBorder="0" applyProtection="0"/>
    <xf numFmtId="0" fontId="4" fillId="6" borderId="0" applyNumberFormat="0" applyBorder="0" applyProtection="0"/>
    <xf numFmtId="0" fontId="2" fillId="2" borderId="0" applyNumberFormat="0" applyBorder="0" applyProtection="0"/>
    <xf numFmtId="0" fontId="3" fillId="3" borderId="0" applyNumberFormat="0" applyBorder="0" applyProtection="0"/>
    <xf numFmtId="0" fontId="4" fillId="6" borderId="0" applyNumberFormat="0" applyBorder="0" applyProtection="0"/>
    <xf numFmtId="0" fontId="1" fillId="4" borderId="0" applyNumberFormat="0" applyFont="0" applyBorder="0" applyProtection="0"/>
    <xf numFmtId="0" fontId="1" fillId="5" borderId="0" applyNumberFormat="0" applyFont="0" applyBorder="0" applyProtection="0"/>
    <xf numFmtId="0" fontId="2" fillId="2" borderId="0" applyNumberFormat="0" applyBorder="0" applyProtection="0"/>
    <xf numFmtId="0" fontId="3" fillId="3" borderId="0" applyNumberFormat="0" applyBorder="0" applyProtection="0"/>
    <xf numFmtId="0" fontId="4" fillId="6" borderId="0" applyNumberFormat="0" applyBorder="0" applyProtection="0"/>
    <xf numFmtId="0" fontId="1" fillId="4" borderId="0" applyNumberFormat="0" applyFont="0" applyBorder="0" applyProtection="0"/>
    <xf numFmtId="0" fontId="1" fillId="5" borderId="0" applyNumberFormat="0" applyFont="0" applyBorder="0" applyProtection="0"/>
    <xf numFmtId="0" fontId="2" fillId="2" borderId="0" applyNumberFormat="0" applyBorder="0" applyProtection="0"/>
    <xf numFmtId="0" fontId="2" fillId="2" borderId="0" applyNumberFormat="0" applyBorder="0" applyProtection="0"/>
    <xf numFmtId="0" fontId="3" fillId="3" borderId="0" applyNumberFormat="0" applyBorder="0" applyProtection="0"/>
    <xf numFmtId="0" fontId="4" fillId="6" borderId="0" applyNumberFormat="0" applyBorder="0" applyProtection="0"/>
    <xf numFmtId="0" fontId="1" fillId="4" borderId="0" applyNumberFormat="0" applyFont="0" applyBorder="0" applyProtection="0"/>
    <xf numFmtId="0" fontId="1" fillId="5" borderId="0" applyNumberFormat="0" applyFont="0" applyBorder="0" applyProtection="0"/>
    <xf numFmtId="0" fontId="2" fillId="2" borderId="0" applyNumberFormat="0" applyBorder="0" applyAlignment="0" applyProtection="0"/>
    <xf numFmtId="0" fontId="3" fillId="3" borderId="0" applyNumberFormat="0" applyBorder="0" applyAlignment="0" applyProtection="0"/>
    <xf numFmtId="0" fontId="4" fillId="6" borderId="0" applyNumberFormat="0" applyBorder="0" applyAlignment="0" applyProtection="0"/>
    <xf numFmtId="0" fontId="1" fillId="4" borderId="0" applyNumberFormat="0" applyFont="0" applyBorder="0" applyAlignment="0" applyProtection="0"/>
    <xf numFmtId="0" fontId="1" fillId="5" borderId="0" applyNumberFormat="0" applyFont="0" applyBorder="0" applyAlignment="0" applyProtection="0"/>
    <xf numFmtId="0" fontId="1" fillId="5" borderId="0" applyNumberFormat="0" applyFont="0" applyBorder="0" applyProtection="0"/>
    <xf numFmtId="164" fontId="5" fillId="0" borderId="0" applyBorder="0" applyProtection="0"/>
    <xf numFmtId="164" fontId="6" fillId="0" borderId="0" applyBorder="0" applyProtection="0"/>
    <xf numFmtId="173" fontId="6" fillId="0" borderId="0" applyBorder="0" applyProtection="0"/>
    <xf numFmtId="0" fontId="7" fillId="0" borderId="0" applyNumberFormat="0" applyBorder="0" applyProtection="0">
      <alignment horizontal="center"/>
    </xf>
    <xf numFmtId="0" fontId="7" fillId="0" borderId="0" applyNumberFormat="0" applyBorder="0" applyProtection="0">
      <alignment horizontal="center" textRotation="90"/>
    </xf>
    <xf numFmtId="0" fontId="8" fillId="0" borderId="0" applyNumberFormat="0" applyBorder="0" applyProtection="0"/>
    <xf numFmtId="164" fontId="5" fillId="0" borderId="0" applyBorder="0" applyProtection="0"/>
    <xf numFmtId="0" fontId="9" fillId="0" borderId="0" applyNumberFormat="0" applyBorder="0" applyProtection="0"/>
    <xf numFmtId="170" fontId="9" fillId="0" borderId="0" applyBorder="0" applyProtection="0"/>
  </cellStyleXfs>
  <cellXfs count="174">
    <xf numFmtId="0" fontId="0" fillId="0" borderId="0" xfId="0"/>
    <xf numFmtId="49" fontId="10" fillId="7" borderId="1" xfId="108" applyNumberFormat="1" applyFont="1" applyFill="1" applyBorder="1" applyAlignment="1">
      <alignment horizontal="center" vertical="center" wrapText="1"/>
    </xf>
    <xf numFmtId="49" fontId="10" fillId="7" borderId="2" xfId="108" applyNumberFormat="1" applyFont="1" applyFill="1" applyBorder="1" applyAlignment="1">
      <alignment horizontal="center" vertical="center" wrapText="1"/>
    </xf>
    <xf numFmtId="164" fontId="10" fillId="7" borderId="2" xfId="108" applyFont="1" applyFill="1" applyBorder="1" applyAlignment="1">
      <alignment horizontal="center" vertical="center" wrapText="1"/>
    </xf>
    <xf numFmtId="165" fontId="10" fillId="7" borderId="2" xfId="108" applyNumberFormat="1" applyFont="1" applyFill="1" applyBorder="1" applyAlignment="1">
      <alignment horizontal="center" vertical="center" wrapText="1"/>
    </xf>
    <xf numFmtId="166" fontId="10" fillId="7" borderId="2" xfId="108" applyNumberFormat="1" applyFont="1" applyFill="1" applyBorder="1" applyAlignment="1">
      <alignment horizontal="center" vertical="center" wrapText="1"/>
    </xf>
    <xf numFmtId="1" fontId="10" fillId="7" borderId="2" xfId="108" applyNumberFormat="1" applyFont="1" applyFill="1" applyBorder="1" applyAlignment="1">
      <alignment horizontal="center" vertical="center" wrapText="1"/>
    </xf>
    <xf numFmtId="49" fontId="10" fillId="7" borderId="3" xfId="108" applyNumberFormat="1" applyFont="1" applyFill="1" applyBorder="1" applyAlignment="1">
      <alignment horizontal="center" vertical="center" wrapText="1"/>
    </xf>
    <xf numFmtId="164" fontId="12" fillId="0" borderId="0" xfId="108" applyFont="1" applyFill="1" applyAlignment="1">
      <alignment vertical="top"/>
    </xf>
    <xf numFmtId="49" fontId="13" fillId="0" borderId="4" xfId="108" applyNumberFormat="1" applyFont="1" applyFill="1" applyBorder="1" applyAlignment="1">
      <alignment horizontal="center" vertical="center" wrapText="1"/>
    </xf>
    <xf numFmtId="164" fontId="14" fillId="0" borderId="4" xfId="108" applyFont="1" applyFill="1" applyBorder="1" applyAlignment="1"/>
    <xf numFmtId="164" fontId="14" fillId="0" borderId="4" xfId="108" applyFont="1" applyFill="1" applyBorder="1" applyAlignment="1">
      <alignment horizontal="center" vertical="center" wrapText="1"/>
    </xf>
    <xf numFmtId="49" fontId="14" fillId="0" borderId="4" xfId="108" applyNumberFormat="1" applyFont="1" applyFill="1" applyBorder="1" applyAlignment="1">
      <alignment horizontal="center" vertical="center" wrapText="1"/>
    </xf>
    <xf numFmtId="168" fontId="14" fillId="0" borderId="4" xfId="108" applyNumberFormat="1" applyFont="1" applyFill="1" applyBorder="1" applyAlignment="1">
      <alignment horizontal="center" vertical="center" wrapText="1"/>
    </xf>
    <xf numFmtId="169" fontId="14" fillId="0" borderId="4" xfId="108" applyNumberFormat="1" applyFont="1" applyFill="1" applyBorder="1" applyAlignment="1">
      <alignment horizontal="center" vertical="center" wrapText="1"/>
    </xf>
    <xf numFmtId="165" fontId="14" fillId="0" borderId="4" xfId="108" applyNumberFormat="1" applyFont="1" applyFill="1" applyBorder="1" applyAlignment="1">
      <alignment horizontal="center" wrapText="1"/>
    </xf>
    <xf numFmtId="165" fontId="14" fillId="0" borderId="4" xfId="108" applyNumberFormat="1" applyFont="1" applyFill="1" applyBorder="1" applyAlignment="1">
      <alignment horizontal="center" vertical="center" wrapText="1"/>
    </xf>
    <xf numFmtId="165" fontId="14" fillId="0" borderId="4" xfId="108" applyNumberFormat="1" applyFont="1" applyFill="1" applyBorder="1" applyAlignment="1">
      <alignment vertical="center" wrapText="1"/>
    </xf>
    <xf numFmtId="166" fontId="14" fillId="0" borderId="4" xfId="108" applyNumberFormat="1" applyFont="1" applyFill="1" applyBorder="1" applyAlignment="1">
      <alignment horizontal="center" vertical="center" wrapText="1"/>
    </xf>
    <xf numFmtId="1" fontId="14" fillId="0" borderId="4" xfId="108" applyNumberFormat="1" applyFont="1" applyFill="1" applyBorder="1" applyAlignment="1">
      <alignment horizontal="center" vertical="center" wrapText="1"/>
    </xf>
    <xf numFmtId="164" fontId="14" fillId="0" borderId="4" xfId="108" applyFont="1" applyFill="1" applyBorder="1" applyAlignment="1">
      <alignment horizontal="center" vertical="center"/>
    </xf>
    <xf numFmtId="164" fontId="14" fillId="0" borderId="4" xfId="108" applyFont="1" applyFill="1" applyBorder="1" applyAlignment="1">
      <alignment horizontal="center"/>
    </xf>
    <xf numFmtId="0" fontId="14" fillId="0" borderId="4" xfId="0" applyFont="1" applyBorder="1"/>
    <xf numFmtId="0" fontId="14" fillId="0" borderId="4" xfId="0" applyFont="1" applyBorder="1" applyAlignment="1">
      <alignment horizontal="center"/>
    </xf>
    <xf numFmtId="164" fontId="14" fillId="0" borderId="4" xfId="108" applyFont="1" applyFill="1" applyBorder="1" applyAlignment="1">
      <alignment vertical="center" wrapText="1"/>
    </xf>
    <xf numFmtId="164" fontId="13" fillId="0" borderId="4" xfId="108" applyFont="1" applyFill="1" applyBorder="1" applyAlignment="1">
      <alignment horizontal="center"/>
    </xf>
    <xf numFmtId="49" fontId="14" fillId="0" borderId="4" xfId="108" applyNumberFormat="1" applyFont="1" applyFill="1" applyBorder="1" applyAlignment="1">
      <alignment horizontal="justify" vertical="center" wrapText="1"/>
    </xf>
    <xf numFmtId="49" fontId="14" fillId="0" borderId="4" xfId="108" applyNumberFormat="1" applyFont="1" applyFill="1" applyBorder="1" applyAlignment="1">
      <alignment vertical="center" wrapText="1"/>
    </xf>
    <xf numFmtId="165" fontId="14" fillId="8" borderId="4" xfId="108" applyNumberFormat="1" applyFont="1" applyFill="1" applyBorder="1" applyAlignment="1">
      <alignment horizontal="center" wrapText="1"/>
    </xf>
    <xf numFmtId="164" fontId="14" fillId="0" borderId="4" xfId="107" applyFont="1" applyFill="1" applyBorder="1" applyAlignment="1"/>
    <xf numFmtId="170" fontId="14" fillId="0" borderId="4" xfId="108" applyNumberFormat="1" applyFont="1" applyFill="1" applyBorder="1" applyAlignment="1">
      <alignment wrapText="1"/>
    </xf>
    <xf numFmtId="164" fontId="14" fillId="0" borderId="4" xfId="108" applyFont="1" applyFill="1" applyBorder="1" applyAlignment="1">
      <alignment horizontal="justify" vertical="center" wrapText="1"/>
    </xf>
    <xf numFmtId="164" fontId="14" fillId="0" borderId="4" xfId="108" applyFont="1" applyFill="1" applyBorder="1" applyAlignment="1">
      <alignment wrapText="1"/>
    </xf>
    <xf numFmtId="164" fontId="14" fillId="0" borderId="4" xfId="107" applyFont="1" applyFill="1" applyBorder="1" applyAlignment="1">
      <alignment wrapText="1"/>
    </xf>
    <xf numFmtId="164" fontId="13" fillId="0" borderId="4" xfId="108" applyFont="1" applyFill="1" applyBorder="1" applyAlignment="1">
      <alignment wrapText="1"/>
    </xf>
    <xf numFmtId="165" fontId="14" fillId="0" borderId="4" xfId="0" applyNumberFormat="1" applyFont="1" applyBorder="1" applyAlignment="1">
      <alignment horizontal="center" vertical="center" wrapText="1"/>
    </xf>
    <xf numFmtId="169" fontId="14" fillId="0" borderId="4" xfId="108" applyNumberFormat="1" applyFont="1" applyFill="1" applyBorder="1" applyAlignment="1">
      <alignment horizontal="center"/>
    </xf>
    <xf numFmtId="165" fontId="14" fillId="0" borderId="4" xfId="108" applyNumberFormat="1" applyFont="1" applyFill="1" applyBorder="1" applyAlignment="1">
      <alignment horizontal="center"/>
    </xf>
    <xf numFmtId="49" fontId="13" fillId="8" borderId="4" xfId="0" applyNumberFormat="1" applyFont="1" applyFill="1" applyBorder="1" applyAlignment="1">
      <alignment horizontal="center" vertical="center" wrapText="1"/>
    </xf>
    <xf numFmtId="0" fontId="14" fillId="0" borderId="4" xfId="112" applyFont="1" applyFill="1" applyBorder="1" applyAlignment="1">
      <alignment wrapText="1"/>
    </xf>
    <xf numFmtId="49" fontId="14"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171" fontId="14" fillId="0" borderId="4" xfId="0" applyNumberFormat="1" applyFont="1" applyBorder="1" applyAlignment="1">
      <alignment horizontal="center" wrapText="1"/>
    </xf>
    <xf numFmtId="171" fontId="14" fillId="0" borderId="4" xfId="0" applyNumberFormat="1" applyFont="1" applyBorder="1" applyAlignment="1">
      <alignment vertical="center" wrapText="1"/>
    </xf>
    <xf numFmtId="14" fontId="14" fillId="0" borderId="4" xfId="0" applyNumberFormat="1" applyFont="1" applyBorder="1" applyAlignment="1">
      <alignment horizontal="center" vertical="center" wrapText="1"/>
    </xf>
    <xf numFmtId="1" fontId="14" fillId="0" borderId="4" xfId="0" applyNumberFormat="1" applyFont="1" applyBorder="1" applyAlignment="1">
      <alignment horizontal="center" vertical="center" wrapText="1"/>
    </xf>
    <xf numFmtId="0" fontId="14" fillId="0" borderId="4" xfId="0" applyFont="1" applyBorder="1" applyAlignment="1">
      <alignment wrapText="1"/>
    </xf>
    <xf numFmtId="0" fontId="14" fillId="0" borderId="4" xfId="0" applyFont="1" applyBorder="1" applyAlignment="1">
      <alignment horizontal="center" vertical="center"/>
    </xf>
    <xf numFmtId="0" fontId="14" fillId="0" borderId="4" xfId="112" applyFont="1" applyFill="1" applyBorder="1" applyAlignment="1"/>
    <xf numFmtId="164" fontId="14" fillId="0" borderId="4" xfId="113" applyFont="1" applyFill="1" applyBorder="1" applyAlignment="1">
      <alignment vertical="center" wrapText="1"/>
    </xf>
    <xf numFmtId="165" fontId="13" fillId="0" borderId="4" xfId="108" applyNumberFormat="1" applyFont="1" applyFill="1" applyBorder="1" applyAlignment="1">
      <alignment horizontal="center"/>
    </xf>
    <xf numFmtId="164" fontId="14" fillId="0" borderId="4" xfId="108" applyFont="1" applyFill="1" applyBorder="1" applyAlignment="1">
      <alignment horizontal="left" vertical="center" wrapText="1" indent="1"/>
    </xf>
    <xf numFmtId="164" fontId="13" fillId="0" borderId="4" xfId="108" applyFont="1" applyFill="1" applyBorder="1" applyAlignment="1">
      <alignment horizontal="center" vertical="center" wrapText="1"/>
    </xf>
    <xf numFmtId="164" fontId="13" fillId="8" borderId="4" xfId="108" applyFont="1" applyFill="1" applyBorder="1" applyAlignment="1">
      <alignment horizontal="center" vertical="center" wrapText="1"/>
    </xf>
    <xf numFmtId="169" fontId="14" fillId="0" borderId="4" xfId="108" applyNumberFormat="1" applyFont="1" applyFill="1" applyBorder="1" applyAlignment="1">
      <alignment vertical="center" wrapText="1"/>
    </xf>
    <xf numFmtId="49" fontId="14" fillId="0" borderId="4" xfId="108" applyNumberFormat="1" applyFont="1" applyFill="1" applyBorder="1" applyAlignment="1">
      <alignment horizontal="left" vertical="center" wrapText="1"/>
    </xf>
    <xf numFmtId="164" fontId="14" fillId="0" borderId="4" xfId="108" applyFont="1" applyFill="1" applyBorder="1" applyAlignment="1">
      <alignment vertical="center"/>
    </xf>
    <xf numFmtId="49" fontId="12" fillId="0" borderId="0" xfId="108" applyNumberFormat="1" applyFont="1" applyFill="1" applyAlignment="1">
      <alignment vertical="top" wrapText="1"/>
    </xf>
    <xf numFmtId="49" fontId="12" fillId="0" borderId="0" xfId="108" applyNumberFormat="1" applyFont="1" applyFill="1" applyAlignment="1">
      <alignment horizontal="justify" vertical="top" wrapText="1"/>
    </xf>
    <xf numFmtId="164" fontId="12" fillId="0" borderId="0" xfId="108" applyFont="1" applyFill="1" applyAlignment="1">
      <alignment horizontal="center" vertical="top" wrapText="1"/>
    </xf>
    <xf numFmtId="49" fontId="12" fillId="0" borderId="0" xfId="108" applyNumberFormat="1" applyFont="1" applyFill="1" applyAlignment="1">
      <alignment horizontal="center" vertical="top" wrapText="1"/>
    </xf>
    <xf numFmtId="164" fontId="12" fillId="0" borderId="0" xfId="108" applyFont="1" applyFill="1" applyAlignment="1">
      <alignment vertical="top" wrapText="1"/>
    </xf>
    <xf numFmtId="165" fontId="12" fillId="0" borderId="0" xfId="108" applyNumberFormat="1" applyFont="1" applyFill="1" applyAlignment="1">
      <alignment horizontal="center" vertical="top" wrapText="1"/>
    </xf>
    <xf numFmtId="165" fontId="12" fillId="0" borderId="0" xfId="108" applyNumberFormat="1" applyFont="1" applyFill="1" applyAlignment="1">
      <alignment vertical="top" wrapText="1"/>
    </xf>
    <xf numFmtId="165" fontId="17" fillId="0" borderId="0" xfId="108" applyNumberFormat="1" applyFont="1" applyFill="1" applyAlignment="1">
      <alignment vertical="top" wrapText="1"/>
    </xf>
    <xf numFmtId="166" fontId="12" fillId="0" borderId="0" xfId="108" applyNumberFormat="1" applyFont="1" applyFill="1" applyAlignment="1">
      <alignment horizontal="center" vertical="top" wrapText="1"/>
    </xf>
    <xf numFmtId="1" fontId="12" fillId="0" borderId="0" xfId="108" applyNumberFormat="1" applyFont="1" applyFill="1" applyAlignment="1">
      <alignment horizontal="center" vertical="top" wrapText="1"/>
    </xf>
    <xf numFmtId="164" fontId="12" fillId="0" borderId="0" xfId="108" applyFont="1" applyFill="1" applyAlignment="1">
      <alignment vertical="center"/>
    </xf>
    <xf numFmtId="0" fontId="0" fillId="0" borderId="4" xfId="0" applyFill="1" applyBorder="1"/>
    <xf numFmtId="166" fontId="17" fillId="9" borderId="5" xfId="108" applyNumberFormat="1" applyFont="1" applyFill="1" applyBorder="1" applyAlignment="1">
      <alignment horizontal="center" vertical="center"/>
    </xf>
    <xf numFmtId="166" fontId="17" fillId="9" borderId="6" xfId="108" applyNumberFormat="1" applyFont="1" applyFill="1" applyBorder="1" applyAlignment="1">
      <alignment horizontal="center" vertical="center" wrapText="1"/>
    </xf>
    <xf numFmtId="164" fontId="17" fillId="9" borderId="7" xfId="108" applyFont="1" applyFill="1" applyBorder="1" applyAlignment="1">
      <alignment horizontal="center" vertical="center" wrapText="1"/>
    </xf>
    <xf numFmtId="164" fontId="10" fillId="9" borderId="7" xfId="108" applyFont="1" applyFill="1" applyBorder="1" applyAlignment="1">
      <alignment horizontal="center" vertical="center"/>
    </xf>
    <xf numFmtId="164" fontId="10" fillId="9" borderId="0" xfId="108" applyFont="1" applyFill="1" applyAlignment="1">
      <alignment horizontal="center" vertical="center"/>
    </xf>
    <xf numFmtId="164" fontId="6" fillId="0" borderId="0" xfId="108" applyFont="1" applyFill="1" applyAlignment="1">
      <alignment horizontal="center" vertical="center"/>
    </xf>
    <xf numFmtId="164" fontId="6" fillId="0" borderId="0" xfId="108" applyFont="1" applyFill="1" applyAlignment="1">
      <alignment vertical="center"/>
    </xf>
    <xf numFmtId="164" fontId="6" fillId="0" borderId="0" xfId="108" applyFont="1" applyFill="1" applyAlignment="1">
      <alignment horizontal="center" vertical="center" wrapText="1"/>
    </xf>
    <xf numFmtId="164" fontId="17" fillId="4" borderId="4" xfId="108" applyFont="1" applyFill="1" applyBorder="1" applyAlignment="1">
      <alignment horizontal="center" vertical="center" wrapText="1"/>
    </xf>
    <xf numFmtId="164" fontId="12" fillId="4" borderId="4" xfId="108" applyFont="1" applyFill="1" applyBorder="1" applyAlignment="1">
      <alignment horizontal="center" vertical="center"/>
    </xf>
    <xf numFmtId="164" fontId="17" fillId="10" borderId="4" xfId="108" applyFont="1" applyFill="1" applyBorder="1" applyAlignment="1">
      <alignment horizontal="center" vertical="center" wrapText="1"/>
    </xf>
    <xf numFmtId="164" fontId="12" fillId="11" borderId="4" xfId="108" applyFont="1" applyFill="1" applyBorder="1" applyAlignment="1">
      <alignment horizontal="center" vertical="center" wrapText="1"/>
    </xf>
    <xf numFmtId="164" fontId="17" fillId="11" borderId="4" xfId="108" applyFont="1" applyFill="1" applyBorder="1" applyAlignment="1">
      <alignment horizontal="center" vertical="center" wrapText="1"/>
    </xf>
    <xf numFmtId="166" fontId="6" fillId="0" borderId="0" xfId="108" applyNumberFormat="1" applyFont="1" applyFill="1" applyAlignment="1">
      <alignment vertical="center"/>
    </xf>
    <xf numFmtId="172" fontId="6" fillId="0" borderId="0" xfId="108" applyNumberFormat="1" applyFont="1" applyFill="1" applyAlignment="1">
      <alignment vertical="center"/>
    </xf>
    <xf numFmtId="164" fontId="17" fillId="12" borderId="4" xfId="108" applyFont="1" applyFill="1" applyBorder="1" applyAlignment="1">
      <alignment horizontal="center" vertical="center" wrapText="1"/>
    </xf>
    <xf numFmtId="164" fontId="22" fillId="0" borderId="0" xfId="108" applyFont="1" applyFill="1" applyAlignment="1">
      <alignment horizontal="center" vertical="center" wrapText="1"/>
    </xf>
    <xf numFmtId="166" fontId="22" fillId="0" borderId="0" xfId="108" applyNumberFormat="1" applyFont="1" applyFill="1" applyAlignment="1">
      <alignment horizontal="center" vertical="center" wrapText="1"/>
    </xf>
    <xf numFmtId="172" fontId="22" fillId="0" borderId="0" xfId="108" applyNumberFormat="1" applyFont="1" applyFill="1" applyAlignment="1">
      <alignment horizontal="center" vertical="center" wrapText="1"/>
    </xf>
    <xf numFmtId="164" fontId="12" fillId="0" borderId="4" xfId="108" applyFont="1" applyFill="1" applyBorder="1" applyAlignment="1">
      <alignment horizontal="center" vertical="center"/>
    </xf>
    <xf numFmtId="164" fontId="12" fillId="4" borderId="4" xfId="108" applyFont="1" applyFill="1" applyBorder="1" applyAlignment="1">
      <alignment vertical="center" wrapText="1"/>
    </xf>
    <xf numFmtId="164" fontId="12" fillId="0" borderId="4" xfId="108" applyFont="1" applyFill="1" applyBorder="1" applyAlignment="1">
      <alignment horizontal="center" vertical="center" wrapText="1"/>
    </xf>
    <xf numFmtId="166" fontId="12" fillId="4" borderId="8" xfId="108" applyNumberFormat="1" applyFont="1" applyFill="1" applyBorder="1" applyAlignment="1">
      <alignment horizontal="center" vertical="center" wrapText="1"/>
    </xf>
    <xf numFmtId="164" fontId="12" fillId="4" borderId="8" xfId="108" applyFont="1" applyFill="1" applyBorder="1" applyAlignment="1">
      <alignment horizontal="center" vertical="center" wrapText="1"/>
    </xf>
    <xf numFmtId="165" fontId="12" fillId="4" borderId="8" xfId="108" applyNumberFormat="1" applyFont="1" applyFill="1" applyBorder="1" applyAlignment="1">
      <alignment horizontal="center" vertical="center" wrapText="1"/>
    </xf>
    <xf numFmtId="1" fontId="12" fillId="0" borderId="8" xfId="108" applyNumberFormat="1" applyFont="1" applyFill="1" applyBorder="1" applyAlignment="1">
      <alignment horizontal="center" vertical="center" wrapText="1"/>
    </xf>
    <xf numFmtId="1" fontId="12" fillId="4" borderId="8" xfId="108" applyNumberFormat="1" applyFont="1" applyFill="1" applyBorder="1" applyAlignment="1">
      <alignment horizontal="center" vertical="center" wrapText="1"/>
    </xf>
    <xf numFmtId="166" fontId="12" fillId="8" borderId="8" xfId="108" applyNumberFormat="1" applyFont="1" applyFill="1" applyBorder="1" applyAlignment="1">
      <alignment horizontal="center" vertical="center" wrapText="1"/>
    </xf>
    <xf numFmtId="164" fontId="23" fillId="0" borderId="0" xfId="108" applyFont="1" applyFill="1" applyAlignment="1">
      <alignment vertical="center" wrapText="1"/>
    </xf>
    <xf numFmtId="166" fontId="12" fillId="4" borderId="4" xfId="108" applyNumberFormat="1" applyFont="1" applyFill="1" applyBorder="1" applyAlignment="1">
      <alignment horizontal="center" vertical="center" wrapText="1"/>
    </xf>
    <xf numFmtId="164" fontId="12" fillId="4" borderId="4" xfId="108" applyFont="1" applyFill="1" applyBorder="1" applyAlignment="1">
      <alignment horizontal="center" vertical="center" wrapText="1"/>
    </xf>
    <xf numFmtId="165" fontId="12" fillId="4" borderId="4" xfId="108" applyNumberFormat="1" applyFont="1" applyFill="1" applyBorder="1" applyAlignment="1">
      <alignment horizontal="center" vertical="center" wrapText="1"/>
    </xf>
    <xf numFmtId="1" fontId="12" fillId="0" borderId="4" xfId="108" applyNumberFormat="1" applyFont="1" applyFill="1" applyBorder="1" applyAlignment="1">
      <alignment horizontal="center" vertical="center" wrapText="1"/>
    </xf>
    <xf numFmtId="1" fontId="12" fillId="4" borderId="4" xfId="108" applyNumberFormat="1" applyFont="1" applyFill="1" applyBorder="1" applyAlignment="1">
      <alignment horizontal="center" vertical="center" wrapText="1"/>
    </xf>
    <xf numFmtId="166" fontId="12" fillId="8" borderId="4" xfId="108" applyNumberFormat="1" applyFont="1" applyFill="1" applyBorder="1" applyAlignment="1">
      <alignment horizontal="center" vertical="center" wrapText="1"/>
    </xf>
    <xf numFmtId="1" fontId="6" fillId="0" borderId="0" xfId="108" applyNumberFormat="1" applyFont="1" applyFill="1" applyAlignment="1">
      <alignment vertical="center"/>
    </xf>
    <xf numFmtId="164" fontId="12" fillId="0" borderId="4" xfId="108" applyFont="1" applyFill="1" applyBorder="1" applyAlignment="1">
      <alignment vertical="center"/>
    </xf>
    <xf numFmtId="164" fontId="24" fillId="0" borderId="0" xfId="108" applyFont="1" applyFill="1" applyAlignment="1">
      <alignment vertical="center"/>
    </xf>
    <xf numFmtId="166" fontId="12" fillId="4" borderId="2" xfId="108" applyNumberFormat="1" applyFont="1" applyFill="1" applyBorder="1" applyAlignment="1">
      <alignment horizontal="center" vertical="center" wrapText="1"/>
    </xf>
    <xf numFmtId="165" fontId="12" fillId="4" borderId="2" xfId="108" applyNumberFormat="1" applyFont="1" applyFill="1" applyBorder="1" applyAlignment="1">
      <alignment horizontal="center" vertical="center" wrapText="1"/>
    </xf>
    <xf numFmtId="164" fontId="12" fillId="0" borderId="7" xfId="108" applyFont="1" applyFill="1" applyBorder="1" applyAlignment="1">
      <alignment vertical="center" wrapText="1"/>
    </xf>
    <xf numFmtId="1" fontId="12" fillId="4" borderId="2" xfId="108" applyNumberFormat="1" applyFont="1" applyFill="1" applyBorder="1" applyAlignment="1">
      <alignment horizontal="center" vertical="center" wrapText="1"/>
    </xf>
    <xf numFmtId="164" fontId="12" fillId="0" borderId="4" xfId="108" applyFont="1" applyFill="1" applyBorder="1" applyAlignment="1">
      <alignment vertical="center" wrapText="1"/>
    </xf>
    <xf numFmtId="164" fontId="12" fillId="0" borderId="0" xfId="108" applyFont="1" applyFill="1" applyAlignment="1">
      <alignment vertical="center" wrapText="1"/>
    </xf>
    <xf numFmtId="164" fontId="12" fillId="4" borderId="7" xfId="108" applyFont="1" applyFill="1" applyBorder="1" applyAlignment="1">
      <alignment vertical="center" wrapText="1"/>
    </xf>
    <xf numFmtId="166" fontId="12" fillId="4" borderId="7" xfId="108" applyNumberFormat="1" applyFont="1" applyFill="1" applyBorder="1" applyAlignment="1">
      <alignment horizontal="center" vertical="center" wrapText="1"/>
    </xf>
    <xf numFmtId="165" fontId="12" fillId="4" borderId="7" xfId="108" applyNumberFormat="1" applyFont="1" applyFill="1" applyBorder="1" applyAlignment="1">
      <alignment horizontal="center" vertical="center" wrapText="1"/>
    </xf>
    <xf numFmtId="164" fontId="12" fillId="8" borderId="4" xfId="108" applyFont="1" applyFill="1" applyBorder="1" applyAlignment="1">
      <alignment horizontal="center" vertical="center" wrapText="1"/>
    </xf>
    <xf numFmtId="164" fontId="12" fillId="0" borderId="9" xfId="108" applyFont="1" applyFill="1" applyBorder="1" applyAlignment="1">
      <alignment vertical="center" wrapText="1"/>
    </xf>
    <xf numFmtId="165" fontId="25" fillId="14" borderId="4" xfId="108" applyNumberFormat="1" applyFont="1" applyFill="1" applyBorder="1" applyAlignment="1">
      <alignment vertical="center" wrapText="1"/>
    </xf>
    <xf numFmtId="164" fontId="12" fillId="0" borderId="0" xfId="108" applyFont="1" applyFill="1" applyAlignment="1">
      <alignment horizontal="center" vertical="center"/>
    </xf>
    <xf numFmtId="164" fontId="6" fillId="0" borderId="0" xfId="108" applyFont="1" applyFill="1" applyAlignment="1">
      <alignment vertical="center" wrapText="1"/>
    </xf>
    <xf numFmtId="164" fontId="17" fillId="8" borderId="4" xfId="108" applyFont="1" applyFill="1" applyBorder="1" applyAlignment="1">
      <alignment horizontal="center" vertical="center"/>
    </xf>
    <xf numFmtId="164" fontId="17" fillId="4" borderId="4" xfId="108" applyFont="1" applyFill="1" applyBorder="1" applyAlignment="1">
      <alignment horizontal="center" vertical="center"/>
    </xf>
    <xf numFmtId="164" fontId="17" fillId="10" borderId="4" xfId="108" applyFont="1" applyFill="1" applyBorder="1" applyAlignment="1">
      <alignment horizontal="center" vertical="center"/>
    </xf>
    <xf numFmtId="164" fontId="17" fillId="4" borderId="4" xfId="108" applyFont="1" applyFill="1" applyBorder="1" applyAlignment="1">
      <alignment horizontal="center" vertical="center" wrapText="1"/>
    </xf>
    <xf numFmtId="164" fontId="17" fillId="10" borderId="4" xfId="108" applyFont="1" applyFill="1" applyBorder="1" applyAlignment="1">
      <alignment horizontal="center" vertical="center" wrapText="1"/>
    </xf>
    <xf numFmtId="164" fontId="17" fillId="11" borderId="4" xfId="108" applyFont="1" applyFill="1" applyBorder="1" applyAlignment="1">
      <alignment horizontal="center" vertical="center"/>
    </xf>
    <xf numFmtId="164" fontId="17" fillId="12" borderId="4" xfId="108" applyFont="1" applyFill="1" applyBorder="1" applyAlignment="1">
      <alignment horizontal="center" vertical="center"/>
    </xf>
    <xf numFmtId="164" fontId="17" fillId="13" borderId="4" xfId="108" applyFont="1" applyFill="1" applyBorder="1" applyAlignment="1">
      <alignment horizontal="center" vertical="center" wrapText="1"/>
    </xf>
    <xf numFmtId="164" fontId="17" fillId="14" borderId="4" xfId="108" applyFont="1" applyFill="1" applyBorder="1" applyAlignment="1">
      <alignment horizontal="center" vertical="center" wrapText="1"/>
    </xf>
    <xf numFmtId="164" fontId="6" fillId="14" borderId="4" xfId="108" applyFont="1" applyFill="1" applyBorder="1" applyAlignment="1">
      <alignment horizontal="center" vertical="center"/>
    </xf>
    <xf numFmtId="164" fontId="17" fillId="15" borderId="4" xfId="108" applyFont="1" applyFill="1" applyBorder="1" applyAlignment="1">
      <alignment horizontal="center" vertical="center" wrapText="1"/>
    </xf>
    <xf numFmtId="166" fontId="17" fillId="15" borderId="4" xfId="108" applyNumberFormat="1" applyFont="1" applyFill="1" applyBorder="1" applyAlignment="1">
      <alignment horizontal="center" vertical="center" wrapText="1"/>
    </xf>
    <xf numFmtId="167" fontId="17" fillId="15" borderId="4" xfId="108" applyNumberFormat="1" applyFont="1" applyFill="1" applyBorder="1" applyAlignment="1">
      <alignment horizontal="center" vertical="center" wrapText="1"/>
    </xf>
    <xf numFmtId="164" fontId="12" fillId="4" borderId="4" xfId="108" applyFont="1" applyFill="1" applyBorder="1" applyAlignment="1">
      <alignment horizontal="left" vertical="center"/>
    </xf>
    <xf numFmtId="164" fontId="24" fillId="4" borderId="4" xfId="108" applyFont="1" applyFill="1" applyBorder="1" applyAlignment="1">
      <alignment horizontal="center" vertical="center" wrapText="1"/>
    </xf>
    <xf numFmtId="1" fontId="12" fillId="4" borderId="4" xfId="108" applyNumberFormat="1" applyFont="1" applyFill="1" applyBorder="1" applyAlignment="1">
      <alignment horizontal="center" vertical="center"/>
    </xf>
    <xf numFmtId="14" fontId="12" fillId="4" borderId="4" xfId="108" applyNumberFormat="1" applyFont="1" applyFill="1" applyBorder="1" applyAlignment="1">
      <alignment horizontal="center" vertical="center" wrapText="1"/>
    </xf>
    <xf numFmtId="0" fontId="12" fillId="4" borderId="4" xfId="108" applyNumberFormat="1" applyFont="1" applyFill="1" applyBorder="1" applyAlignment="1">
      <alignment horizontal="center" vertical="center" wrapText="1"/>
    </xf>
    <xf numFmtId="0" fontId="12" fillId="8" borderId="4" xfId="108" applyNumberFormat="1" applyFont="1" applyFill="1" applyBorder="1" applyAlignment="1">
      <alignment horizontal="center" vertical="center" wrapText="1"/>
    </xf>
    <xf numFmtId="166" fontId="22" fillId="8" borderId="0" xfId="108" applyNumberFormat="1" applyFont="1" applyFill="1" applyAlignment="1">
      <alignment vertical="center"/>
    </xf>
    <xf numFmtId="167" fontId="12" fillId="8" borderId="0" xfId="108" applyNumberFormat="1" applyFont="1" applyFill="1" applyAlignment="1">
      <alignment vertical="center"/>
    </xf>
    <xf numFmtId="164" fontId="6" fillId="8" borderId="0" xfId="108" applyFont="1" applyFill="1" applyAlignment="1">
      <alignment vertical="center"/>
    </xf>
    <xf numFmtId="164" fontId="22" fillId="0" borderId="0" xfId="108" applyFont="1" applyFill="1" applyAlignment="1"/>
    <xf numFmtId="164" fontId="6" fillId="0" borderId="0" xfId="108" applyFont="1" applyFill="1" applyAlignment="1"/>
    <xf numFmtId="164" fontId="14" fillId="4" borderId="4" xfId="108" applyFont="1" applyFill="1" applyBorder="1" applyAlignment="1">
      <alignment vertical="center" wrapText="1"/>
    </xf>
    <xf numFmtId="164" fontId="6" fillId="0" borderId="0" xfId="108" applyFont="1" applyFill="1" applyAlignment="1">
      <alignment wrapText="1"/>
    </xf>
    <xf numFmtId="164" fontId="26" fillId="0" borderId="4" xfId="108" applyFont="1" applyFill="1" applyBorder="1" applyAlignment="1">
      <alignment vertical="center" wrapText="1"/>
    </xf>
    <xf numFmtId="164" fontId="14" fillId="4" borderId="4" xfId="108" applyFont="1" applyFill="1" applyBorder="1" applyAlignment="1">
      <alignment horizontal="left" vertical="center" wrapText="1"/>
    </xf>
    <xf numFmtId="164" fontId="22" fillId="15" borderId="4" xfId="108" applyFont="1" applyFill="1" applyBorder="1" applyAlignment="1"/>
    <xf numFmtId="164" fontId="22" fillId="16" borderId="4" xfId="108" applyFont="1" applyFill="1" applyBorder="1" applyAlignment="1"/>
    <xf numFmtId="164" fontId="6" fillId="16" borderId="4" xfId="108" applyFont="1" applyFill="1" applyBorder="1" applyAlignment="1">
      <alignment horizontal="center" vertical="center"/>
    </xf>
    <xf numFmtId="164" fontId="6" fillId="16" borderId="4" xfId="108" applyFont="1" applyFill="1" applyBorder="1" applyAlignment="1"/>
    <xf numFmtId="164" fontId="22" fillId="17" borderId="4" xfId="108" applyFont="1" applyFill="1" applyBorder="1" applyAlignment="1"/>
    <xf numFmtId="164" fontId="6" fillId="17" borderId="4" xfId="108" applyFont="1" applyFill="1" applyBorder="1" applyAlignment="1"/>
    <xf numFmtId="164" fontId="22" fillId="18" borderId="4" xfId="108" applyFont="1" applyFill="1" applyBorder="1" applyAlignment="1"/>
    <xf numFmtId="164" fontId="6" fillId="18" borderId="4" xfId="108" applyFont="1" applyFill="1" applyBorder="1" applyAlignment="1">
      <alignment horizontal="center"/>
    </xf>
    <xf numFmtId="164" fontId="6" fillId="18" borderId="4" xfId="108" applyFont="1" applyFill="1" applyBorder="1" applyAlignment="1"/>
    <xf numFmtId="164" fontId="22" fillId="19" borderId="4" xfId="108" applyFont="1" applyFill="1" applyBorder="1" applyAlignment="1"/>
    <xf numFmtId="164" fontId="6" fillId="19" borderId="4" xfId="108" applyFont="1" applyFill="1" applyBorder="1" applyAlignment="1">
      <alignment horizontal="center"/>
    </xf>
    <xf numFmtId="164" fontId="6" fillId="19" borderId="4" xfId="108" applyFont="1" applyFill="1" applyBorder="1" applyAlignment="1"/>
    <xf numFmtId="164" fontId="22" fillId="20" borderId="4" xfId="108" applyFont="1" applyFill="1" applyBorder="1" applyAlignment="1">
      <alignment vertical="center" wrapText="1"/>
    </xf>
    <xf numFmtId="164" fontId="6" fillId="20" borderId="4" xfId="108" applyFont="1" applyFill="1" applyBorder="1" applyAlignment="1">
      <alignment horizontal="left"/>
    </xf>
    <xf numFmtId="164" fontId="6" fillId="20" borderId="4" xfId="108" applyFont="1" applyFill="1" applyBorder="1" applyAlignment="1">
      <alignment horizontal="center"/>
    </xf>
    <xf numFmtId="164" fontId="6" fillId="20" borderId="4" xfId="108" applyFont="1" applyFill="1" applyBorder="1" applyAlignment="1"/>
    <xf numFmtId="164" fontId="6" fillId="14" borderId="0" xfId="108" applyFont="1" applyFill="1" applyAlignment="1"/>
    <xf numFmtId="164" fontId="14" fillId="0" borderId="0" xfId="108" applyFont="1" applyFill="1" applyAlignment="1"/>
    <xf numFmtId="164" fontId="26" fillId="0" borderId="0" xfId="108" applyFont="1" applyFill="1" applyAlignment="1"/>
    <xf numFmtId="164" fontId="26" fillId="0" borderId="0" xfId="108" applyFont="1" applyFill="1" applyAlignment="1">
      <alignment vertical="center"/>
    </xf>
    <xf numFmtId="164" fontId="28" fillId="0" borderId="0" xfId="108" applyFont="1" applyFill="1" applyAlignment="1"/>
    <xf numFmtId="164" fontId="22" fillId="0" borderId="4" xfId="108" applyFont="1" applyFill="1" applyBorder="1" applyAlignment="1">
      <alignment horizontal="center"/>
    </xf>
    <xf numFmtId="164" fontId="22" fillId="15" borderId="4" xfId="108" applyFont="1" applyFill="1" applyBorder="1" applyAlignment="1">
      <alignment horizontal="center"/>
    </xf>
    <xf numFmtId="164" fontId="26" fillId="0" borderId="0" xfId="108" applyFont="1" applyFill="1" applyAlignment="1"/>
    <xf numFmtId="164" fontId="26" fillId="0" borderId="0" xfId="108" applyFont="1" applyFill="1" applyAlignment="1">
      <alignment wrapText="1"/>
    </xf>
  </cellXfs>
  <cellStyles count="116">
    <cellStyle name="cf1" xfId="1"/>
    <cellStyle name="cf10" xfId="2"/>
    <cellStyle name="cf100" xfId="3"/>
    <cellStyle name="cf101" xfId="4"/>
    <cellStyle name="cf102" xfId="5"/>
    <cellStyle name="cf103" xfId="6"/>
    <cellStyle name="cf104" xfId="7"/>
    <cellStyle name="cf105" xfId="8"/>
    <cellStyle name="cf11" xfId="9"/>
    <cellStyle name="cf12" xfId="10"/>
    <cellStyle name="cf13" xfId="11"/>
    <cellStyle name="cf14" xfId="12"/>
    <cellStyle name="cf15" xfId="13"/>
    <cellStyle name="cf16" xfId="14"/>
    <cellStyle name="cf17" xfId="15"/>
    <cellStyle name="cf18" xfId="16"/>
    <cellStyle name="cf19" xfId="17"/>
    <cellStyle name="cf2" xfId="18"/>
    <cellStyle name="cf20" xfId="19"/>
    <cellStyle name="cf21" xfId="20"/>
    <cellStyle name="cf22" xfId="21"/>
    <cellStyle name="cf23" xfId="22"/>
    <cellStyle name="cf24" xfId="23"/>
    <cellStyle name="cf25" xfId="24"/>
    <cellStyle name="cf26" xfId="25"/>
    <cellStyle name="cf27" xfId="26"/>
    <cellStyle name="cf28" xfId="27"/>
    <cellStyle name="cf29" xfId="28"/>
    <cellStyle name="cf3" xfId="29"/>
    <cellStyle name="cf30" xfId="30"/>
    <cellStyle name="cf31" xfId="31"/>
    <cellStyle name="cf32" xfId="32"/>
    <cellStyle name="cf33" xfId="33"/>
    <cellStyle name="cf34" xfId="34"/>
    <cellStyle name="cf35" xfId="35"/>
    <cellStyle name="cf36" xfId="36"/>
    <cellStyle name="cf37" xfId="37"/>
    <cellStyle name="cf38" xfId="38"/>
    <cellStyle name="cf39" xfId="39"/>
    <cellStyle name="cf4" xfId="40"/>
    <cellStyle name="cf40" xfId="41"/>
    <cellStyle name="cf41" xfId="42"/>
    <cellStyle name="cf42" xfId="43"/>
    <cellStyle name="cf43" xfId="44"/>
    <cellStyle name="cf44" xfId="45"/>
    <cellStyle name="cf45" xfId="46"/>
    <cellStyle name="cf46" xfId="47"/>
    <cellStyle name="cf47" xfId="48"/>
    <cellStyle name="cf48" xfId="49"/>
    <cellStyle name="cf49" xfId="50"/>
    <cellStyle name="cf5" xfId="51"/>
    <cellStyle name="cf50" xfId="52"/>
    <cellStyle name="cf51" xfId="53"/>
    <cellStyle name="cf52" xfId="54"/>
    <cellStyle name="cf53" xfId="55"/>
    <cellStyle name="cf54" xfId="56"/>
    <cellStyle name="cf55" xfId="57"/>
    <cellStyle name="cf56" xfId="58"/>
    <cellStyle name="cf57" xfId="59"/>
    <cellStyle name="cf58" xfId="60"/>
    <cellStyle name="cf59" xfId="61"/>
    <cellStyle name="cf6" xfId="62"/>
    <cellStyle name="cf60" xfId="63"/>
    <cellStyle name="cf61" xfId="64"/>
    <cellStyle name="cf62" xfId="65"/>
    <cellStyle name="cf63" xfId="66"/>
    <cellStyle name="cf64" xfId="67"/>
    <cellStyle name="cf65" xfId="68"/>
    <cellStyle name="cf66" xfId="69"/>
    <cellStyle name="cf67" xfId="70"/>
    <cellStyle name="cf68" xfId="71"/>
    <cellStyle name="cf69" xfId="72"/>
    <cellStyle name="cf7" xfId="73"/>
    <cellStyle name="cf70" xfId="74"/>
    <cellStyle name="cf71" xfId="75"/>
    <cellStyle name="cf72" xfId="76"/>
    <cellStyle name="cf73" xfId="77"/>
    <cellStyle name="cf74" xfId="78"/>
    <cellStyle name="cf75" xfId="79"/>
    <cellStyle name="cf76" xfId="80"/>
    <cellStyle name="cf77" xfId="81"/>
    <cellStyle name="cf78" xfId="82"/>
    <cellStyle name="cf79" xfId="83"/>
    <cellStyle name="cf8" xfId="84"/>
    <cellStyle name="cf80" xfId="85"/>
    <cellStyle name="cf81" xfId="86"/>
    <cellStyle name="cf82" xfId="87"/>
    <cellStyle name="cf83" xfId="88"/>
    <cellStyle name="cf84" xfId="89"/>
    <cellStyle name="cf85" xfId="90"/>
    <cellStyle name="cf86" xfId="91"/>
    <cellStyle name="cf87" xfId="92"/>
    <cellStyle name="cf88" xfId="93"/>
    <cellStyle name="cf89" xfId="94"/>
    <cellStyle name="cf9" xfId="95"/>
    <cellStyle name="cf90" xfId="96"/>
    <cellStyle name="cf91" xfId="97"/>
    <cellStyle name="cf92" xfId="98"/>
    <cellStyle name="cf93" xfId="99"/>
    <cellStyle name="cf94" xfId="100"/>
    <cellStyle name="cf95" xfId="101"/>
    <cellStyle name="cf96" xfId="102"/>
    <cellStyle name="cf97" xfId="103"/>
    <cellStyle name="cf98" xfId="104"/>
    <cellStyle name="cf99" xfId="105"/>
    <cellStyle name="ConditionalStyle_1" xfId="106"/>
    <cellStyle name="Excel Built-in Hyperlink" xfId="107"/>
    <cellStyle name="Excel Built-in Normal" xfId="108"/>
    <cellStyle name="Excel Built-in Percent" xfId="109"/>
    <cellStyle name="Heading" xfId="110"/>
    <cellStyle name="Heading1" xfId="111"/>
    <cellStyle name="Hiperlink" xfId="112"/>
    <cellStyle name="Hyperlink" xfId="113"/>
    <cellStyle name="Normal" xfId="0" builtinId="0" customBuiltin="1"/>
    <cellStyle name="Result" xfId="114"/>
    <cellStyle name="Result2" xfId="115"/>
  </cellStyles>
  <dxfs count="94">
    <dxf>
      <font>
        <color rgb="FF000000"/>
      </font>
      <fill>
        <patternFill patternType="solid">
          <fgColor rgb="FFFFFF99"/>
          <bgColor rgb="FFFFFF99"/>
        </patternFill>
      </fill>
    </dxf>
    <dxf>
      <font>
        <color rgb="FF000000"/>
      </font>
      <fill>
        <patternFill patternType="solid">
          <fgColor rgb="FFFFFF99"/>
          <bgColor rgb="FFFFFF99"/>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0000"/>
      </font>
      <fill>
        <patternFill patternType="solid">
          <fgColor rgb="FFFFFF99"/>
          <bgColor rgb="FFFFFF99"/>
        </patternFill>
      </fill>
    </dxf>
    <dxf>
      <font>
        <color rgb="FF000000"/>
      </font>
      <fill>
        <patternFill patternType="solid">
          <fgColor rgb="FFFFFF99"/>
          <bgColor rgb="FFFFFF99"/>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0000"/>
      </font>
      <fill>
        <patternFill patternType="solid">
          <fgColor rgb="FFE7E6E6"/>
          <bgColor rgb="FFE7E6E6"/>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9C0006"/>
      </font>
      <fill>
        <patternFill patternType="solid">
          <fgColor rgb="FFFFC7CE"/>
          <bgColor rgb="FFFFC7CE"/>
        </patternFill>
      </fill>
    </dxf>
    <dxf>
      <font>
        <color rgb="FF000000"/>
      </font>
      <fill>
        <patternFill patternType="solid">
          <fgColor rgb="FFE7E6E6"/>
          <bgColor rgb="FFE7E6E6"/>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0000"/>
      </font>
      <fill>
        <patternFill patternType="solid">
          <fgColor rgb="FFE7E6E6"/>
          <bgColor rgb="FFE7E6E6"/>
        </patternFill>
      </fill>
    </dxf>
    <dxf>
      <font>
        <color rgb="FF9C0006"/>
      </font>
      <fill>
        <patternFill patternType="solid">
          <fgColor rgb="FFFFC7CE"/>
          <bgColor rgb="FFFFC7CE"/>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0000"/>
      </font>
      <fill>
        <patternFill patternType="solid">
          <fgColor rgb="FFE7E6E6"/>
          <bgColor rgb="FFE7E6E6"/>
        </patternFill>
      </fill>
    </dxf>
    <dxf>
      <font>
        <color rgb="FF000000"/>
      </font>
      <fill>
        <patternFill patternType="solid">
          <fgColor rgb="FFE7E6E6"/>
          <bgColor rgb="FFE7E6E6"/>
        </patternFill>
      </fill>
    </dxf>
    <dxf>
      <font>
        <color rgb="FF9C0006"/>
      </font>
      <fill>
        <patternFill patternType="solid">
          <fgColor rgb="FFFFC7CE"/>
          <bgColor rgb="FFFFC7CE"/>
        </patternFill>
      </fill>
    </dxf>
    <dxf>
      <font>
        <color rgb="FF000000"/>
      </font>
      <fill>
        <patternFill patternType="solid">
          <fgColor rgb="FFE7E6E6"/>
          <bgColor rgb="FFE7E6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ortal.trf1.jus.br/data/files/A9/22/0E/74/EC60771079835077F32809C2/Anexo%20resolu__o%20668%20PE%20CJF.odt" TargetMode="External"/><Relationship Id="rId3" Type="http://schemas.openxmlformats.org/officeDocument/2006/relationships/hyperlink" Target="https://sei.trf1.jus.br/sei/controlador.php?acao=protocolo_visualizar&amp;id_protocolo=4706461&amp;id_procedimento_atual=16413771&amp;infra_sistema=100000100&amp;infra_unidade_atual=110001328&amp;infra_hash=93a7766f674e27a8acbdc3d975a7477e550a152764e52e1c631a1287c23334db" TargetMode="External"/><Relationship Id="rId7" Type="http://schemas.openxmlformats.org/officeDocument/2006/relationships/hyperlink" Target="https://portal.trf1.jus.br/data/files/A9/22/0E/74/EC60771079835077F32809C2/Anexo%20resolu__o%20668%20PE%20CJF.odt" TargetMode="External"/><Relationship Id="rId2" Type="http://schemas.openxmlformats.org/officeDocument/2006/relationships/hyperlink" Target="https://sei.trf1.jus.br/sei/controlador.php?acao=protocolo_visualizar&amp;id_protocolo=12763062&amp;id_procedimento_atual=16413771&amp;infra_sistema=100000100&amp;infra_unidade_atual=110001328&amp;infra_hash=ffbe2ec4abad31eaf63cce8c00211ca8f13645d475b380226f2a50fffea8deb2" TargetMode="External"/><Relationship Id="rId1" Type="http://schemas.openxmlformats.org/officeDocument/2006/relationships/hyperlink" Target="https://sei.trf1.jus.br/sei/controlador.php?acao=protocolo_visualizar&amp;id_protocolo=16017899&amp;id_procedimento_atual=16413771&amp;infra_sistema=100000100&amp;infra_unidade_atual=110001328&amp;infra_hash=1a4d968e70ab621ef7b4e9eecfdbfe82f3acd42a23b0e87e847d41d2cdcf583d" TargetMode="External"/><Relationship Id="rId6" Type="http://schemas.openxmlformats.org/officeDocument/2006/relationships/hyperlink" Target="https://portal.trf1.jus.br/data/files/A9/22/0E/74/EC60771079835077F32809C2/Anexo%20resolu__o%20668%20PE%20CJF.odt" TargetMode="External"/><Relationship Id="rId5" Type="http://schemas.openxmlformats.org/officeDocument/2006/relationships/hyperlink" Target="https://portal.trf1.jus.br/data/files/A9/22/0E/74/EC60771079835077F32809C2/Anexo%20resolu__o%20668%20PE%20CJF.odt" TargetMode="External"/><Relationship Id="rId4" Type="http://schemas.openxmlformats.org/officeDocument/2006/relationships/hyperlink" Target="https://sei.trf1.jus.br/sei/controlador.php?acao=protocolo_visualizar&amp;id_protocolo=9242603&amp;id_procedimento_atual=16413771&amp;infra_sistema=100000100&amp;infra_unidade_atual=110001328&amp;infra_hash=c27f9b4c7dbb6b14868652c6379db001dcfd46c6b1e774ef9011e912f2fe83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56"/>
  <sheetViews>
    <sheetView topLeftCell="A241" zoomScale="55" zoomScaleNormal="55" workbookViewId="0"/>
  </sheetViews>
  <sheetFormatPr defaultRowHeight="11.65"/>
  <cols>
    <col min="1" max="1" width="13.625" style="57" customWidth="1"/>
    <col min="2" max="2" width="44.625" style="57" customWidth="1"/>
    <col min="3" max="3" width="42.875" style="58" customWidth="1"/>
    <col min="4" max="4" width="79.625" style="58" customWidth="1"/>
    <col min="5" max="5" width="7" style="59" customWidth="1"/>
    <col min="6" max="6" width="27.125" style="57" customWidth="1"/>
    <col min="7" max="7" width="14.5" style="60" customWidth="1"/>
    <col min="8" max="8" width="16" style="60" customWidth="1"/>
    <col min="9" max="9" width="14.875" style="61" customWidth="1"/>
    <col min="10" max="10" width="14.375" style="59" customWidth="1"/>
    <col min="11" max="11" width="16.5" style="60" customWidth="1"/>
    <col min="12" max="12" width="14.875" style="62" customWidth="1"/>
    <col min="13" max="13" width="16.875" style="63" customWidth="1"/>
    <col min="14" max="14" width="17.25" style="64" customWidth="1"/>
    <col min="15" max="15" width="31" style="60" customWidth="1"/>
    <col min="16" max="16" width="21.125" style="65" customWidth="1"/>
    <col min="17" max="17" width="15" style="60" customWidth="1"/>
    <col min="18" max="18" width="13.25" style="60" customWidth="1"/>
    <col min="19" max="19" width="12.875" style="60" customWidth="1"/>
    <col min="20" max="20" width="10.125" style="66" customWidth="1"/>
    <col min="21" max="21" width="88.25" style="58" customWidth="1"/>
    <col min="22" max="22" width="23.875" style="58" customWidth="1"/>
    <col min="23" max="23" width="6.25" style="67" customWidth="1"/>
    <col min="24" max="1023" width="8.25" style="8" customWidth="1"/>
    <col min="1024" max="1024" width="9" style="8" customWidth="1"/>
    <col min="1025" max="1025" width="9" customWidth="1"/>
  </cols>
  <sheetData>
    <row r="1" spans="1:23" ht="96">
      <c r="A1" s="1" t="s">
        <v>0</v>
      </c>
      <c r="B1" s="2" t="s">
        <v>1</v>
      </c>
      <c r="C1" s="2" t="s">
        <v>2</v>
      </c>
      <c r="D1" s="2" t="s">
        <v>3</v>
      </c>
      <c r="E1" s="3" t="s">
        <v>4</v>
      </c>
      <c r="F1" s="2" t="s">
        <v>5</v>
      </c>
      <c r="G1" s="2" t="s">
        <v>6</v>
      </c>
      <c r="H1" s="2" t="s">
        <v>7</v>
      </c>
      <c r="I1" s="3" t="s">
        <v>8</v>
      </c>
      <c r="J1" s="3" t="s">
        <v>9</v>
      </c>
      <c r="K1" s="4" t="s">
        <v>10</v>
      </c>
      <c r="L1" s="4" t="s">
        <v>11</v>
      </c>
      <c r="M1" s="4" t="s">
        <v>12</v>
      </c>
      <c r="N1" s="4" t="s">
        <v>13</v>
      </c>
      <c r="O1" s="2" t="s">
        <v>14</v>
      </c>
      <c r="P1" s="5" t="s">
        <v>15</v>
      </c>
      <c r="Q1" s="2" t="s">
        <v>16</v>
      </c>
      <c r="R1" s="2" t="s">
        <v>17</v>
      </c>
      <c r="S1" s="2" t="s">
        <v>18</v>
      </c>
      <c r="T1" s="6" t="s">
        <v>19</v>
      </c>
      <c r="U1" s="2" t="s">
        <v>20</v>
      </c>
      <c r="V1" s="2" t="s">
        <v>21</v>
      </c>
      <c r="W1" s="7" t="s">
        <v>22</v>
      </c>
    </row>
    <row r="2" spans="1:23" ht="14.25">
      <c r="A2" s="9" t="s">
        <v>23</v>
      </c>
      <c r="B2" s="10" t="s">
        <v>24</v>
      </c>
      <c r="C2" s="10" t="s">
        <v>25</v>
      </c>
      <c r="D2" s="10" t="s">
        <v>26</v>
      </c>
      <c r="E2" s="11">
        <v>1</v>
      </c>
      <c r="F2" s="10" t="s">
        <v>27</v>
      </c>
      <c r="G2" s="11">
        <v>426542</v>
      </c>
      <c r="H2" s="12"/>
      <c r="I2" s="13">
        <v>20</v>
      </c>
      <c r="J2" s="14" t="s">
        <v>28</v>
      </c>
      <c r="K2" s="15">
        <v>250</v>
      </c>
      <c r="L2" s="16"/>
      <c r="M2" s="17">
        <v>5000</v>
      </c>
      <c r="N2" s="17">
        <v>5000</v>
      </c>
      <c r="O2" s="16" t="s">
        <v>29</v>
      </c>
      <c r="P2" s="18">
        <v>45412</v>
      </c>
      <c r="Q2" s="12" t="s">
        <v>30</v>
      </c>
      <c r="R2" s="12" t="s">
        <v>31</v>
      </c>
      <c r="S2" s="12" t="s">
        <v>32</v>
      </c>
      <c r="T2" s="19">
        <v>4</v>
      </c>
      <c r="U2" s="10" t="s">
        <v>33</v>
      </c>
      <c r="V2" s="10" t="s">
        <v>34</v>
      </c>
      <c r="W2" s="20">
        <v>1</v>
      </c>
    </row>
    <row r="3" spans="1:23" ht="14.25">
      <c r="A3" s="9" t="s">
        <v>35</v>
      </c>
      <c r="B3" s="10" t="s">
        <v>36</v>
      </c>
      <c r="C3" s="10" t="s">
        <v>25</v>
      </c>
      <c r="D3" s="10" t="s">
        <v>26</v>
      </c>
      <c r="E3" s="11">
        <v>2</v>
      </c>
      <c r="F3" s="10" t="s">
        <v>37</v>
      </c>
      <c r="G3" s="11">
        <v>426542</v>
      </c>
      <c r="H3" s="12"/>
      <c r="I3" s="13">
        <v>36</v>
      </c>
      <c r="J3" s="14" t="s">
        <v>28</v>
      </c>
      <c r="K3" s="15">
        <v>150</v>
      </c>
      <c r="L3" s="16"/>
      <c r="M3" s="17">
        <v>5400</v>
      </c>
      <c r="N3" s="17">
        <v>5400</v>
      </c>
      <c r="O3" s="16" t="s">
        <v>29</v>
      </c>
      <c r="P3" s="18">
        <v>45412</v>
      </c>
      <c r="Q3" s="12" t="s">
        <v>30</v>
      </c>
      <c r="R3" s="12" t="s">
        <v>31</v>
      </c>
      <c r="S3" s="12" t="s">
        <v>32</v>
      </c>
      <c r="T3" s="19">
        <v>4</v>
      </c>
      <c r="U3" s="10" t="s">
        <v>33</v>
      </c>
      <c r="V3" s="10" t="s">
        <v>34</v>
      </c>
      <c r="W3" s="20">
        <v>1</v>
      </c>
    </row>
    <row r="4" spans="1:23" ht="14.25">
      <c r="A4" s="9" t="s">
        <v>38</v>
      </c>
      <c r="B4" s="10" t="s">
        <v>36</v>
      </c>
      <c r="C4" s="10" t="s">
        <v>25</v>
      </c>
      <c r="D4" s="10" t="s">
        <v>26</v>
      </c>
      <c r="E4" s="11">
        <v>3</v>
      </c>
      <c r="F4" s="10" t="s">
        <v>39</v>
      </c>
      <c r="G4" s="11">
        <v>426542</v>
      </c>
      <c r="H4" s="12"/>
      <c r="I4" s="13">
        <v>36</v>
      </c>
      <c r="J4" s="14" t="s">
        <v>28</v>
      </c>
      <c r="K4" s="15">
        <v>300</v>
      </c>
      <c r="L4" s="16"/>
      <c r="M4" s="17">
        <v>10800</v>
      </c>
      <c r="N4" s="17">
        <v>10800</v>
      </c>
      <c r="O4" s="16" t="s">
        <v>29</v>
      </c>
      <c r="P4" s="18">
        <v>45412</v>
      </c>
      <c r="Q4" s="12" t="s">
        <v>30</v>
      </c>
      <c r="R4" s="12" t="s">
        <v>31</v>
      </c>
      <c r="S4" s="12" t="s">
        <v>32</v>
      </c>
      <c r="T4" s="19">
        <v>4</v>
      </c>
      <c r="U4" s="10" t="s">
        <v>33</v>
      </c>
      <c r="V4" s="10" t="s">
        <v>34</v>
      </c>
      <c r="W4" s="20">
        <v>1</v>
      </c>
    </row>
    <row r="5" spans="1:23" ht="14.25">
      <c r="A5" s="9" t="s">
        <v>40</v>
      </c>
      <c r="B5" s="10" t="s">
        <v>36</v>
      </c>
      <c r="C5" s="10" t="s">
        <v>25</v>
      </c>
      <c r="D5" s="10" t="s">
        <v>26</v>
      </c>
      <c r="E5" s="11">
        <v>4</v>
      </c>
      <c r="F5" s="10" t="s">
        <v>41</v>
      </c>
      <c r="G5" s="11">
        <v>426542</v>
      </c>
      <c r="H5" s="12"/>
      <c r="I5" s="13">
        <v>36</v>
      </c>
      <c r="J5" s="14" t="s">
        <v>28</v>
      </c>
      <c r="K5" s="15">
        <v>735</v>
      </c>
      <c r="L5" s="16"/>
      <c r="M5" s="17">
        <v>26460</v>
      </c>
      <c r="N5" s="17">
        <v>26460</v>
      </c>
      <c r="O5" s="16" t="s">
        <v>29</v>
      </c>
      <c r="P5" s="18">
        <v>45412</v>
      </c>
      <c r="Q5" s="12" t="s">
        <v>30</v>
      </c>
      <c r="R5" s="12" t="s">
        <v>31</v>
      </c>
      <c r="S5" s="12" t="s">
        <v>32</v>
      </c>
      <c r="T5" s="19">
        <v>4</v>
      </c>
      <c r="U5" s="10" t="s">
        <v>33</v>
      </c>
      <c r="V5" s="10" t="s">
        <v>34</v>
      </c>
      <c r="W5" s="20">
        <v>1</v>
      </c>
    </row>
    <row r="6" spans="1:23" ht="14.25">
      <c r="A6" s="9" t="s">
        <v>42</v>
      </c>
      <c r="B6" s="10" t="s">
        <v>43</v>
      </c>
      <c r="C6" s="10" t="s">
        <v>25</v>
      </c>
      <c r="D6" s="10" t="s">
        <v>44</v>
      </c>
      <c r="E6" s="11">
        <v>5</v>
      </c>
      <c r="F6" s="10" t="s">
        <v>45</v>
      </c>
      <c r="G6" s="21">
        <v>11678</v>
      </c>
      <c r="H6" s="12"/>
      <c r="I6" s="13">
        <v>2</v>
      </c>
      <c r="J6" s="14" t="s">
        <v>46</v>
      </c>
      <c r="K6" s="15">
        <v>26</v>
      </c>
      <c r="L6" s="16"/>
      <c r="M6" s="17">
        <v>52</v>
      </c>
      <c r="N6" s="17">
        <v>52</v>
      </c>
      <c r="O6" s="16" t="s">
        <v>29</v>
      </c>
      <c r="P6" s="18">
        <v>45412</v>
      </c>
      <c r="Q6" s="12" t="s">
        <v>47</v>
      </c>
      <c r="R6" s="12" t="s">
        <v>31</v>
      </c>
      <c r="S6" s="12" t="s">
        <v>48</v>
      </c>
      <c r="T6" s="19">
        <v>3</v>
      </c>
      <c r="U6" s="10" t="s">
        <v>49</v>
      </c>
      <c r="V6" s="10" t="s">
        <v>50</v>
      </c>
      <c r="W6" s="20">
        <v>1</v>
      </c>
    </row>
    <row r="7" spans="1:23" ht="14.25">
      <c r="A7" s="9" t="s">
        <v>51</v>
      </c>
      <c r="B7" s="10" t="s">
        <v>43</v>
      </c>
      <c r="C7" s="10" t="s">
        <v>25</v>
      </c>
      <c r="D7" s="10" t="s">
        <v>44</v>
      </c>
      <c r="E7" s="11">
        <v>6</v>
      </c>
      <c r="F7" s="10" t="s">
        <v>52</v>
      </c>
      <c r="G7" s="12" t="s">
        <v>53</v>
      </c>
      <c r="H7" s="12"/>
      <c r="I7" s="13">
        <v>1000</v>
      </c>
      <c r="J7" s="14" t="s">
        <v>28</v>
      </c>
      <c r="K7" s="15">
        <v>6</v>
      </c>
      <c r="L7" s="16"/>
      <c r="M7" s="17">
        <v>6000</v>
      </c>
      <c r="N7" s="17">
        <v>6000</v>
      </c>
      <c r="O7" s="16" t="s">
        <v>29</v>
      </c>
      <c r="P7" s="18">
        <v>45412</v>
      </c>
      <c r="Q7" s="12" t="s">
        <v>47</v>
      </c>
      <c r="R7" s="12" t="s">
        <v>31</v>
      </c>
      <c r="S7" s="12" t="s">
        <v>48</v>
      </c>
      <c r="T7" s="19">
        <v>3</v>
      </c>
      <c r="U7" s="10" t="s">
        <v>49</v>
      </c>
      <c r="V7" s="10" t="s">
        <v>50</v>
      </c>
      <c r="W7" s="20">
        <v>1</v>
      </c>
    </row>
    <row r="8" spans="1:23" ht="14.25">
      <c r="A8" s="9" t="s">
        <v>54</v>
      </c>
      <c r="B8" s="10" t="s">
        <v>43</v>
      </c>
      <c r="C8" s="10" t="s">
        <v>25</v>
      </c>
      <c r="D8" s="10" t="s">
        <v>44</v>
      </c>
      <c r="E8" s="11">
        <v>7</v>
      </c>
      <c r="F8" s="10" t="s">
        <v>55</v>
      </c>
      <c r="G8" s="21">
        <v>13894</v>
      </c>
      <c r="H8" s="12"/>
      <c r="I8" s="13">
        <v>500</v>
      </c>
      <c r="J8" s="14" t="s">
        <v>28</v>
      </c>
      <c r="K8" s="15">
        <v>6</v>
      </c>
      <c r="L8" s="16"/>
      <c r="M8" s="17">
        <v>3000</v>
      </c>
      <c r="N8" s="17">
        <v>3000</v>
      </c>
      <c r="O8" s="16" t="s">
        <v>29</v>
      </c>
      <c r="P8" s="18">
        <v>45412</v>
      </c>
      <c r="Q8" s="12" t="s">
        <v>47</v>
      </c>
      <c r="R8" s="12" t="s">
        <v>31</v>
      </c>
      <c r="S8" s="12" t="s">
        <v>48</v>
      </c>
      <c r="T8" s="19">
        <v>3</v>
      </c>
      <c r="U8" s="10" t="s">
        <v>49</v>
      </c>
      <c r="V8" s="10" t="s">
        <v>50</v>
      </c>
      <c r="W8" s="20">
        <v>1</v>
      </c>
    </row>
    <row r="9" spans="1:23" ht="14.25">
      <c r="A9" s="9" t="s">
        <v>56</v>
      </c>
      <c r="B9" s="10" t="s">
        <v>43</v>
      </c>
      <c r="C9" s="10" t="s">
        <v>25</v>
      </c>
      <c r="D9" s="10" t="s">
        <v>44</v>
      </c>
      <c r="E9" s="11">
        <v>8</v>
      </c>
      <c r="F9" s="10" t="s">
        <v>57</v>
      </c>
      <c r="G9" s="21">
        <v>18075</v>
      </c>
      <c r="H9" s="12"/>
      <c r="I9" s="13">
        <v>300</v>
      </c>
      <c r="J9" s="14" t="s">
        <v>28</v>
      </c>
      <c r="K9" s="15">
        <v>2</v>
      </c>
      <c r="L9" s="16"/>
      <c r="M9" s="17">
        <v>600</v>
      </c>
      <c r="N9" s="17">
        <v>600</v>
      </c>
      <c r="O9" s="16" t="s">
        <v>29</v>
      </c>
      <c r="P9" s="18">
        <v>45412</v>
      </c>
      <c r="Q9" s="12" t="s">
        <v>47</v>
      </c>
      <c r="R9" s="12" t="s">
        <v>31</v>
      </c>
      <c r="S9" s="12" t="s">
        <v>48</v>
      </c>
      <c r="T9" s="19">
        <v>3</v>
      </c>
      <c r="U9" s="10" t="s">
        <v>49</v>
      </c>
      <c r="V9" s="10" t="s">
        <v>50</v>
      </c>
      <c r="W9" s="20">
        <v>1</v>
      </c>
    </row>
    <row r="10" spans="1:23" ht="14.25">
      <c r="A10" s="9" t="s">
        <v>58</v>
      </c>
      <c r="B10" s="10" t="s">
        <v>43</v>
      </c>
      <c r="C10" s="10" t="s">
        <v>25</v>
      </c>
      <c r="D10" s="10" t="s">
        <v>44</v>
      </c>
      <c r="E10" s="11">
        <v>9</v>
      </c>
      <c r="F10" s="22" t="s">
        <v>59</v>
      </c>
      <c r="G10" s="23">
        <v>416510</v>
      </c>
      <c r="H10" s="12"/>
      <c r="I10" s="13">
        <v>1000</v>
      </c>
      <c r="J10" s="14" t="s">
        <v>28</v>
      </c>
      <c r="K10" s="15">
        <v>1</v>
      </c>
      <c r="L10" s="16"/>
      <c r="M10" s="17">
        <v>1000</v>
      </c>
      <c r="N10" s="17">
        <v>1000</v>
      </c>
      <c r="O10" s="16" t="s">
        <v>29</v>
      </c>
      <c r="P10" s="18">
        <v>45412</v>
      </c>
      <c r="Q10" s="12" t="s">
        <v>47</v>
      </c>
      <c r="R10" s="12" t="s">
        <v>31</v>
      </c>
      <c r="S10" s="12" t="s">
        <v>48</v>
      </c>
      <c r="T10" s="19">
        <v>4</v>
      </c>
      <c r="U10" s="10" t="s">
        <v>49</v>
      </c>
      <c r="V10" s="10" t="s">
        <v>50</v>
      </c>
      <c r="W10" s="20">
        <v>1</v>
      </c>
    </row>
    <row r="11" spans="1:23" ht="14.25">
      <c r="A11" s="9" t="s">
        <v>60</v>
      </c>
      <c r="B11" s="10" t="s">
        <v>43</v>
      </c>
      <c r="C11" s="10" t="s">
        <v>25</v>
      </c>
      <c r="D11" s="10" t="s">
        <v>44</v>
      </c>
      <c r="E11" s="11">
        <v>10</v>
      </c>
      <c r="F11" s="22" t="s">
        <v>61</v>
      </c>
      <c r="G11" s="23">
        <v>486054</v>
      </c>
      <c r="H11" s="12"/>
      <c r="I11" s="13">
        <v>100</v>
      </c>
      <c r="J11" s="14" t="s">
        <v>28</v>
      </c>
      <c r="K11" s="15">
        <v>5.8</v>
      </c>
      <c r="L11" s="16"/>
      <c r="M11" s="17">
        <v>580</v>
      </c>
      <c r="N11" s="17">
        <v>580</v>
      </c>
      <c r="O11" s="16" t="s">
        <v>29</v>
      </c>
      <c r="P11" s="18">
        <v>45412</v>
      </c>
      <c r="Q11" s="12" t="s">
        <v>47</v>
      </c>
      <c r="R11" s="12" t="s">
        <v>31</v>
      </c>
      <c r="S11" s="12" t="s">
        <v>48</v>
      </c>
      <c r="T11" s="19">
        <v>4</v>
      </c>
      <c r="U11" s="10" t="s">
        <v>49</v>
      </c>
      <c r="V11" s="10" t="s">
        <v>50</v>
      </c>
      <c r="W11" s="20">
        <v>1</v>
      </c>
    </row>
    <row r="12" spans="1:23" ht="14.25">
      <c r="A12" s="9" t="s">
        <v>62</v>
      </c>
      <c r="B12" s="10" t="s">
        <v>43</v>
      </c>
      <c r="C12" s="10" t="s">
        <v>25</v>
      </c>
      <c r="D12" s="10" t="s">
        <v>44</v>
      </c>
      <c r="E12" s="11">
        <v>11</v>
      </c>
      <c r="F12" s="22" t="s">
        <v>63</v>
      </c>
      <c r="G12" s="23">
        <v>435050</v>
      </c>
      <c r="H12" s="12"/>
      <c r="I12" s="13">
        <v>5</v>
      </c>
      <c r="J12" s="14" t="s">
        <v>28</v>
      </c>
      <c r="K12" s="15">
        <v>23</v>
      </c>
      <c r="L12" s="16"/>
      <c r="M12" s="17">
        <v>115</v>
      </c>
      <c r="N12" s="17">
        <v>115</v>
      </c>
      <c r="O12" s="16" t="s">
        <v>29</v>
      </c>
      <c r="P12" s="18">
        <v>45412</v>
      </c>
      <c r="Q12" s="12" t="s">
        <v>47</v>
      </c>
      <c r="R12" s="12" t="s">
        <v>31</v>
      </c>
      <c r="S12" s="12" t="s">
        <v>48</v>
      </c>
      <c r="T12" s="19">
        <v>5</v>
      </c>
      <c r="U12" s="10" t="s">
        <v>49</v>
      </c>
      <c r="V12" s="10" t="s">
        <v>50</v>
      </c>
      <c r="W12" s="20">
        <v>1</v>
      </c>
    </row>
    <row r="13" spans="1:23" ht="14.25">
      <c r="A13" s="9" t="s">
        <v>64</v>
      </c>
      <c r="B13" s="10" t="s">
        <v>43</v>
      </c>
      <c r="C13" s="10" t="s">
        <v>25</v>
      </c>
      <c r="D13" s="10" t="s">
        <v>65</v>
      </c>
      <c r="E13" s="11">
        <v>12</v>
      </c>
      <c r="F13" s="10" t="s">
        <v>66</v>
      </c>
      <c r="G13" s="21">
        <v>11678</v>
      </c>
      <c r="H13" s="12"/>
      <c r="I13" s="11">
        <v>24</v>
      </c>
      <c r="J13" s="14" t="s">
        <v>28</v>
      </c>
      <c r="K13" s="15">
        <v>5</v>
      </c>
      <c r="L13" s="16"/>
      <c r="M13" s="17">
        <v>120</v>
      </c>
      <c r="N13" s="17">
        <v>120</v>
      </c>
      <c r="O13" s="16" t="s">
        <v>29</v>
      </c>
      <c r="P13" s="18">
        <v>45412</v>
      </c>
      <c r="Q13" s="12" t="s">
        <v>47</v>
      </c>
      <c r="R13" s="12" t="s">
        <v>31</v>
      </c>
      <c r="S13" s="12" t="s">
        <v>48</v>
      </c>
      <c r="T13" s="19">
        <v>2</v>
      </c>
      <c r="U13" s="10" t="s">
        <v>49</v>
      </c>
      <c r="V13" s="10" t="s">
        <v>67</v>
      </c>
      <c r="W13" s="20">
        <v>1</v>
      </c>
    </row>
    <row r="14" spans="1:23" ht="14.25">
      <c r="A14" s="9" t="s">
        <v>68</v>
      </c>
      <c r="B14" s="10" t="s">
        <v>43</v>
      </c>
      <c r="C14" s="10" t="s">
        <v>25</v>
      </c>
      <c r="D14" s="10" t="s">
        <v>65</v>
      </c>
      <c r="E14" s="11">
        <v>13</v>
      </c>
      <c r="F14" s="10" t="s">
        <v>69</v>
      </c>
      <c r="G14" s="21">
        <v>244644</v>
      </c>
      <c r="H14" s="12"/>
      <c r="I14" s="11">
        <v>24</v>
      </c>
      <c r="J14" s="14" t="s">
        <v>28</v>
      </c>
      <c r="K14" s="15">
        <v>5</v>
      </c>
      <c r="L14" s="16"/>
      <c r="M14" s="17">
        <v>120</v>
      </c>
      <c r="N14" s="17">
        <v>120</v>
      </c>
      <c r="O14" s="16" t="s">
        <v>29</v>
      </c>
      <c r="P14" s="18">
        <v>45412</v>
      </c>
      <c r="Q14" s="12" t="s">
        <v>47</v>
      </c>
      <c r="R14" s="12" t="s">
        <v>31</v>
      </c>
      <c r="S14" s="12" t="s">
        <v>48</v>
      </c>
      <c r="T14" s="19">
        <v>2</v>
      </c>
      <c r="U14" s="10" t="s">
        <v>49</v>
      </c>
      <c r="V14" s="10" t="s">
        <v>67</v>
      </c>
      <c r="W14" s="20">
        <v>1</v>
      </c>
    </row>
    <row r="15" spans="1:23" ht="14.25">
      <c r="A15" s="9" t="s">
        <v>70</v>
      </c>
      <c r="B15" s="10" t="s">
        <v>43</v>
      </c>
      <c r="C15" s="10" t="s">
        <v>25</v>
      </c>
      <c r="D15" s="10" t="s">
        <v>65</v>
      </c>
      <c r="E15" s="11">
        <v>14</v>
      </c>
      <c r="F15" s="10" t="s">
        <v>71</v>
      </c>
      <c r="G15" s="21">
        <v>220504</v>
      </c>
      <c r="H15" s="12"/>
      <c r="I15" s="11">
        <v>150</v>
      </c>
      <c r="J15" s="14" t="s">
        <v>28</v>
      </c>
      <c r="K15" s="15">
        <v>6</v>
      </c>
      <c r="L15" s="16"/>
      <c r="M15" s="17">
        <v>900</v>
      </c>
      <c r="N15" s="17">
        <v>900</v>
      </c>
      <c r="O15" s="16" t="s">
        <v>29</v>
      </c>
      <c r="P15" s="18">
        <v>45412</v>
      </c>
      <c r="Q15" s="12" t="s">
        <v>47</v>
      </c>
      <c r="R15" s="12" t="s">
        <v>31</v>
      </c>
      <c r="S15" s="12" t="s">
        <v>48</v>
      </c>
      <c r="T15" s="19">
        <v>2</v>
      </c>
      <c r="U15" s="10" t="s">
        <v>49</v>
      </c>
      <c r="V15" s="10" t="s">
        <v>67</v>
      </c>
      <c r="W15" s="20">
        <v>1</v>
      </c>
    </row>
    <row r="16" spans="1:23" ht="14.25">
      <c r="A16" s="9" t="s">
        <v>72</v>
      </c>
      <c r="B16" s="10" t="s">
        <v>43</v>
      </c>
      <c r="C16" s="10" t="s">
        <v>25</v>
      </c>
      <c r="D16" s="10" t="s">
        <v>65</v>
      </c>
      <c r="E16" s="11">
        <v>15</v>
      </c>
      <c r="F16" s="10" t="s">
        <v>73</v>
      </c>
      <c r="G16" s="21">
        <v>256550</v>
      </c>
      <c r="H16" s="12"/>
      <c r="I16" s="11">
        <v>30</v>
      </c>
      <c r="J16" s="14" t="s">
        <v>28</v>
      </c>
      <c r="K16" s="15">
        <v>27</v>
      </c>
      <c r="L16" s="16"/>
      <c r="M16" s="17">
        <v>810</v>
      </c>
      <c r="N16" s="17">
        <v>810</v>
      </c>
      <c r="O16" s="16" t="s">
        <v>29</v>
      </c>
      <c r="P16" s="18">
        <v>45412</v>
      </c>
      <c r="Q16" s="12" t="s">
        <v>47</v>
      </c>
      <c r="R16" s="12" t="s">
        <v>31</v>
      </c>
      <c r="S16" s="12" t="s">
        <v>48</v>
      </c>
      <c r="T16" s="19">
        <v>2</v>
      </c>
      <c r="U16" s="10" t="s">
        <v>49</v>
      </c>
      <c r="V16" s="10" t="s">
        <v>67</v>
      </c>
      <c r="W16" s="20">
        <v>1</v>
      </c>
    </row>
    <row r="17" spans="1:23" ht="14.25">
      <c r="A17" s="9" t="s">
        <v>74</v>
      </c>
      <c r="B17" s="10" t="s">
        <v>43</v>
      </c>
      <c r="C17" s="10" t="s">
        <v>25</v>
      </c>
      <c r="D17" s="10" t="s">
        <v>65</v>
      </c>
      <c r="E17" s="11">
        <v>16</v>
      </c>
      <c r="F17" s="10" t="s">
        <v>75</v>
      </c>
      <c r="G17" s="21">
        <v>30821</v>
      </c>
      <c r="H17" s="12"/>
      <c r="I17" s="11">
        <v>200</v>
      </c>
      <c r="J17" s="14" t="s">
        <v>76</v>
      </c>
      <c r="K17" s="15">
        <v>8</v>
      </c>
      <c r="L17" s="16"/>
      <c r="M17" s="17">
        <v>1600</v>
      </c>
      <c r="N17" s="17">
        <v>1600</v>
      </c>
      <c r="O17" s="16" t="s">
        <v>29</v>
      </c>
      <c r="P17" s="18">
        <v>45412</v>
      </c>
      <c r="Q17" s="12" t="s">
        <v>47</v>
      </c>
      <c r="R17" s="12" t="s">
        <v>31</v>
      </c>
      <c r="S17" s="12" t="s">
        <v>48</v>
      </c>
      <c r="T17" s="19">
        <v>2</v>
      </c>
      <c r="U17" s="10" t="s">
        <v>49</v>
      </c>
      <c r="V17" s="10" t="s">
        <v>67</v>
      </c>
      <c r="W17" s="20">
        <v>1</v>
      </c>
    </row>
    <row r="18" spans="1:23" ht="14.25">
      <c r="A18" s="9" t="s">
        <v>77</v>
      </c>
      <c r="B18" s="10" t="s">
        <v>43</v>
      </c>
      <c r="C18" s="10" t="s">
        <v>25</v>
      </c>
      <c r="D18" s="10" t="s">
        <v>65</v>
      </c>
      <c r="E18" s="11">
        <v>17</v>
      </c>
      <c r="F18" s="10" t="s">
        <v>78</v>
      </c>
      <c r="G18" s="21">
        <v>28401</v>
      </c>
      <c r="H18" s="12"/>
      <c r="I18" s="11">
        <v>600</v>
      </c>
      <c r="J18" s="14" t="s">
        <v>28</v>
      </c>
      <c r="K18" s="15">
        <v>1</v>
      </c>
      <c r="L18" s="16"/>
      <c r="M18" s="17">
        <v>600</v>
      </c>
      <c r="N18" s="17">
        <v>600</v>
      </c>
      <c r="O18" s="16" t="s">
        <v>29</v>
      </c>
      <c r="P18" s="18">
        <v>45412</v>
      </c>
      <c r="Q18" s="12" t="s">
        <v>47</v>
      </c>
      <c r="R18" s="12" t="s">
        <v>31</v>
      </c>
      <c r="S18" s="12" t="s">
        <v>48</v>
      </c>
      <c r="T18" s="19">
        <v>2</v>
      </c>
      <c r="U18" s="10" t="s">
        <v>49</v>
      </c>
      <c r="V18" s="10" t="s">
        <v>67</v>
      </c>
      <c r="W18" s="20">
        <v>1</v>
      </c>
    </row>
    <row r="19" spans="1:23" ht="14.25">
      <c r="A19" s="9" t="s">
        <v>79</v>
      </c>
      <c r="B19" s="10" t="s">
        <v>43</v>
      </c>
      <c r="C19" s="10" t="s">
        <v>25</v>
      </c>
      <c r="D19" s="10" t="s">
        <v>65</v>
      </c>
      <c r="E19" s="11">
        <v>18</v>
      </c>
      <c r="F19" s="10" t="s">
        <v>80</v>
      </c>
      <c r="G19" s="21">
        <v>224873</v>
      </c>
      <c r="H19" s="12"/>
      <c r="I19" s="11">
        <v>24</v>
      </c>
      <c r="J19" s="14" t="s">
        <v>28</v>
      </c>
      <c r="K19" s="15">
        <v>5</v>
      </c>
      <c r="L19" s="16"/>
      <c r="M19" s="17">
        <v>120</v>
      </c>
      <c r="N19" s="17">
        <v>120</v>
      </c>
      <c r="O19" s="16" t="s">
        <v>29</v>
      </c>
      <c r="P19" s="18">
        <v>45412</v>
      </c>
      <c r="Q19" s="12" t="s">
        <v>47</v>
      </c>
      <c r="R19" s="12" t="s">
        <v>31</v>
      </c>
      <c r="S19" s="12" t="s">
        <v>48</v>
      </c>
      <c r="T19" s="19">
        <v>2</v>
      </c>
      <c r="U19" s="10" t="s">
        <v>49</v>
      </c>
      <c r="V19" s="10" t="s">
        <v>67</v>
      </c>
      <c r="W19" s="20">
        <v>1</v>
      </c>
    </row>
    <row r="20" spans="1:23" ht="14.25">
      <c r="A20" s="9" t="s">
        <v>81</v>
      </c>
      <c r="B20" s="10" t="s">
        <v>43</v>
      </c>
      <c r="C20" s="10" t="s">
        <v>25</v>
      </c>
      <c r="D20" s="10" t="s">
        <v>65</v>
      </c>
      <c r="E20" s="11">
        <v>19</v>
      </c>
      <c r="F20" s="10" t="s">
        <v>82</v>
      </c>
      <c r="G20" s="21">
        <v>200282</v>
      </c>
      <c r="H20" s="12"/>
      <c r="I20" s="11">
        <v>200</v>
      </c>
      <c r="J20" s="14" t="s">
        <v>28</v>
      </c>
      <c r="K20" s="15">
        <v>4</v>
      </c>
      <c r="L20" s="16"/>
      <c r="M20" s="17">
        <v>800</v>
      </c>
      <c r="N20" s="17">
        <v>800</v>
      </c>
      <c r="O20" s="16" t="s">
        <v>29</v>
      </c>
      <c r="P20" s="18">
        <v>45412</v>
      </c>
      <c r="Q20" s="12" t="s">
        <v>47</v>
      </c>
      <c r="R20" s="12" t="s">
        <v>31</v>
      </c>
      <c r="S20" s="12" t="s">
        <v>48</v>
      </c>
      <c r="T20" s="19">
        <v>2</v>
      </c>
      <c r="U20" s="10" t="s">
        <v>49</v>
      </c>
      <c r="V20" s="10" t="s">
        <v>67</v>
      </c>
      <c r="W20" s="20">
        <v>1</v>
      </c>
    </row>
    <row r="21" spans="1:23" ht="14.25">
      <c r="A21" s="9" t="s">
        <v>83</v>
      </c>
      <c r="B21" s="10" t="s">
        <v>43</v>
      </c>
      <c r="C21" s="10" t="s">
        <v>25</v>
      </c>
      <c r="D21" s="10" t="s">
        <v>65</v>
      </c>
      <c r="E21" s="11">
        <v>20</v>
      </c>
      <c r="F21" s="10" t="s">
        <v>84</v>
      </c>
      <c r="G21" s="21">
        <v>200282</v>
      </c>
      <c r="H21" s="12"/>
      <c r="I21" s="11">
        <v>300</v>
      </c>
      <c r="J21" s="14" t="s">
        <v>28</v>
      </c>
      <c r="K21" s="15">
        <v>4</v>
      </c>
      <c r="L21" s="16"/>
      <c r="M21" s="17">
        <v>1200</v>
      </c>
      <c r="N21" s="17">
        <v>1200</v>
      </c>
      <c r="O21" s="16" t="s">
        <v>29</v>
      </c>
      <c r="P21" s="18">
        <v>45412</v>
      </c>
      <c r="Q21" s="12" t="s">
        <v>47</v>
      </c>
      <c r="R21" s="12" t="s">
        <v>31</v>
      </c>
      <c r="S21" s="12" t="s">
        <v>48</v>
      </c>
      <c r="T21" s="19">
        <v>2</v>
      </c>
      <c r="U21" s="10" t="s">
        <v>49</v>
      </c>
      <c r="V21" s="10" t="s">
        <v>67</v>
      </c>
      <c r="W21" s="20">
        <v>1</v>
      </c>
    </row>
    <row r="22" spans="1:23" ht="14.25">
      <c r="A22" s="9" t="s">
        <v>85</v>
      </c>
      <c r="B22" s="10" t="s">
        <v>43</v>
      </c>
      <c r="C22" s="10" t="s">
        <v>25</v>
      </c>
      <c r="D22" s="10" t="s">
        <v>65</v>
      </c>
      <c r="E22" s="11">
        <v>21</v>
      </c>
      <c r="F22" s="10" t="s">
        <v>86</v>
      </c>
      <c r="G22" s="21">
        <v>261873</v>
      </c>
      <c r="H22" s="12"/>
      <c r="I22" s="11">
        <v>36</v>
      </c>
      <c r="J22" s="14" t="s">
        <v>28</v>
      </c>
      <c r="K22" s="15">
        <v>15</v>
      </c>
      <c r="L22" s="16"/>
      <c r="M22" s="17">
        <v>540</v>
      </c>
      <c r="N22" s="17">
        <v>540</v>
      </c>
      <c r="O22" s="16" t="s">
        <v>29</v>
      </c>
      <c r="P22" s="18">
        <v>45412</v>
      </c>
      <c r="Q22" s="12" t="s">
        <v>47</v>
      </c>
      <c r="R22" s="12" t="s">
        <v>31</v>
      </c>
      <c r="S22" s="12" t="s">
        <v>48</v>
      </c>
      <c r="T22" s="19">
        <v>2</v>
      </c>
      <c r="U22" s="10" t="s">
        <v>49</v>
      </c>
      <c r="V22" s="10" t="s">
        <v>67</v>
      </c>
      <c r="W22" s="20">
        <v>1</v>
      </c>
    </row>
    <row r="23" spans="1:23" ht="14.25">
      <c r="A23" s="9" t="s">
        <v>87</v>
      </c>
      <c r="B23" s="10" t="s">
        <v>43</v>
      </c>
      <c r="C23" s="10" t="s">
        <v>25</v>
      </c>
      <c r="D23" s="10" t="s">
        <v>65</v>
      </c>
      <c r="E23" s="11">
        <v>22</v>
      </c>
      <c r="F23" s="10" t="s">
        <v>88</v>
      </c>
      <c r="G23" s="21">
        <v>226958</v>
      </c>
      <c r="H23" s="12"/>
      <c r="I23" s="11">
        <v>100</v>
      </c>
      <c r="J23" s="14" t="s">
        <v>28</v>
      </c>
      <c r="K23" s="15">
        <v>10</v>
      </c>
      <c r="L23" s="16"/>
      <c r="M23" s="17">
        <v>1000</v>
      </c>
      <c r="N23" s="17">
        <v>1000</v>
      </c>
      <c r="O23" s="16" t="s">
        <v>29</v>
      </c>
      <c r="P23" s="18">
        <v>45412</v>
      </c>
      <c r="Q23" s="12" t="s">
        <v>47</v>
      </c>
      <c r="R23" s="12" t="s">
        <v>31</v>
      </c>
      <c r="S23" s="12" t="s">
        <v>48</v>
      </c>
      <c r="T23" s="19">
        <v>2</v>
      </c>
      <c r="U23" s="10" t="s">
        <v>49</v>
      </c>
      <c r="V23" s="10" t="s">
        <v>67</v>
      </c>
      <c r="W23" s="20">
        <v>1</v>
      </c>
    </row>
    <row r="24" spans="1:23" ht="14.25">
      <c r="A24" s="9" t="s">
        <v>89</v>
      </c>
      <c r="B24" s="10" t="s">
        <v>43</v>
      </c>
      <c r="C24" s="10" t="s">
        <v>25</v>
      </c>
      <c r="D24" s="10" t="s">
        <v>65</v>
      </c>
      <c r="E24" s="11">
        <v>23</v>
      </c>
      <c r="F24" s="10" t="s">
        <v>90</v>
      </c>
      <c r="G24" s="21">
        <v>376439</v>
      </c>
      <c r="H24" s="12"/>
      <c r="I24" s="11">
        <v>24</v>
      </c>
      <c r="J24" s="14" t="s">
        <v>46</v>
      </c>
      <c r="K24" s="15">
        <v>20</v>
      </c>
      <c r="L24" s="16"/>
      <c r="M24" s="17">
        <v>480</v>
      </c>
      <c r="N24" s="17">
        <v>480</v>
      </c>
      <c r="O24" s="16" t="s">
        <v>29</v>
      </c>
      <c r="P24" s="18">
        <v>45412</v>
      </c>
      <c r="Q24" s="12" t="s">
        <v>47</v>
      </c>
      <c r="R24" s="12" t="s">
        <v>31</v>
      </c>
      <c r="S24" s="12" t="s">
        <v>48</v>
      </c>
      <c r="T24" s="19">
        <v>2</v>
      </c>
      <c r="U24" s="10" t="s">
        <v>49</v>
      </c>
      <c r="V24" s="10" t="s">
        <v>67</v>
      </c>
      <c r="W24" s="20">
        <v>1</v>
      </c>
    </row>
    <row r="25" spans="1:23" ht="14.25">
      <c r="A25" s="9" t="s">
        <v>91</v>
      </c>
      <c r="B25" s="10" t="s">
        <v>43</v>
      </c>
      <c r="C25" s="10" t="s">
        <v>25</v>
      </c>
      <c r="D25" s="10" t="s">
        <v>65</v>
      </c>
      <c r="E25" s="11">
        <v>24</v>
      </c>
      <c r="F25" s="10" t="s">
        <v>92</v>
      </c>
      <c r="G25" s="21">
        <v>368729</v>
      </c>
      <c r="H25" s="12"/>
      <c r="I25" s="11">
        <v>24</v>
      </c>
      <c r="J25" s="14" t="s">
        <v>46</v>
      </c>
      <c r="K25" s="15">
        <v>30</v>
      </c>
      <c r="L25" s="16"/>
      <c r="M25" s="17">
        <v>720</v>
      </c>
      <c r="N25" s="17">
        <v>720</v>
      </c>
      <c r="O25" s="16" t="s">
        <v>29</v>
      </c>
      <c r="P25" s="18">
        <v>45412</v>
      </c>
      <c r="Q25" s="12" t="s">
        <v>47</v>
      </c>
      <c r="R25" s="12" t="s">
        <v>31</v>
      </c>
      <c r="S25" s="12" t="s">
        <v>48</v>
      </c>
      <c r="T25" s="19">
        <v>2</v>
      </c>
      <c r="U25" s="10" t="s">
        <v>49</v>
      </c>
      <c r="V25" s="10" t="s">
        <v>67</v>
      </c>
      <c r="W25" s="20">
        <v>1</v>
      </c>
    </row>
    <row r="26" spans="1:23" ht="14.25">
      <c r="A26" s="9" t="s">
        <v>93</v>
      </c>
      <c r="B26" s="10" t="s">
        <v>94</v>
      </c>
      <c r="C26" s="10" t="s">
        <v>95</v>
      </c>
      <c r="D26" s="10" t="s">
        <v>96</v>
      </c>
      <c r="E26" s="11">
        <v>25</v>
      </c>
      <c r="F26" s="10" t="s">
        <v>94</v>
      </c>
      <c r="G26" s="21">
        <v>4243</v>
      </c>
      <c r="H26" s="12"/>
      <c r="I26" s="11">
        <v>12</v>
      </c>
      <c r="J26" s="14" t="s">
        <v>97</v>
      </c>
      <c r="K26" s="15">
        <v>823.6</v>
      </c>
      <c r="L26" s="16"/>
      <c r="M26" s="17">
        <v>9883.2000000000007</v>
      </c>
      <c r="N26" s="17">
        <v>9883.2000000000007</v>
      </c>
      <c r="O26" s="16" t="s">
        <v>29</v>
      </c>
      <c r="P26" s="18">
        <v>45292</v>
      </c>
      <c r="Q26" s="12" t="s">
        <v>98</v>
      </c>
      <c r="R26" s="12" t="s">
        <v>99</v>
      </c>
      <c r="S26" s="12" t="s">
        <v>100</v>
      </c>
      <c r="T26" s="19">
        <v>2</v>
      </c>
      <c r="U26" s="10" t="s">
        <v>101</v>
      </c>
      <c r="V26" s="10" t="s">
        <v>102</v>
      </c>
      <c r="W26" s="20">
        <v>1</v>
      </c>
    </row>
    <row r="27" spans="1:23" ht="14.25">
      <c r="A27" s="9" t="s">
        <v>103</v>
      </c>
      <c r="B27" s="10" t="s">
        <v>104</v>
      </c>
      <c r="C27" s="10" t="s">
        <v>105</v>
      </c>
      <c r="D27" s="10" t="s">
        <v>106</v>
      </c>
      <c r="E27" s="11">
        <v>26</v>
      </c>
      <c r="F27" s="10" t="s">
        <v>107</v>
      </c>
      <c r="G27" s="21">
        <v>4243</v>
      </c>
      <c r="H27" s="12"/>
      <c r="I27" s="11">
        <v>12</v>
      </c>
      <c r="J27" s="14" t="s">
        <v>108</v>
      </c>
      <c r="K27" s="15">
        <v>1027.75</v>
      </c>
      <c r="L27" s="16"/>
      <c r="M27" s="17">
        <v>12333</v>
      </c>
      <c r="N27" s="17">
        <v>12333</v>
      </c>
      <c r="O27" s="16" t="s">
        <v>29</v>
      </c>
      <c r="P27" s="18">
        <v>45292</v>
      </c>
      <c r="Q27" s="12" t="s">
        <v>109</v>
      </c>
      <c r="R27" s="12" t="s">
        <v>99</v>
      </c>
      <c r="S27" s="12" t="s">
        <v>100</v>
      </c>
      <c r="T27" s="19">
        <v>2</v>
      </c>
      <c r="U27" s="10" t="s">
        <v>110</v>
      </c>
      <c r="V27" s="10" t="s">
        <v>111</v>
      </c>
      <c r="W27" s="20">
        <v>1</v>
      </c>
    </row>
    <row r="28" spans="1:23" ht="63.75">
      <c r="A28" s="9" t="s">
        <v>112</v>
      </c>
      <c r="B28" s="24" t="s">
        <v>113</v>
      </c>
      <c r="C28" s="10" t="s">
        <v>114</v>
      </c>
      <c r="D28" s="24" t="s">
        <v>115</v>
      </c>
      <c r="E28" s="11">
        <v>27</v>
      </c>
      <c r="F28" s="24" t="s">
        <v>116</v>
      </c>
      <c r="G28" s="25">
        <v>20966</v>
      </c>
      <c r="H28" s="12"/>
      <c r="I28" s="11">
        <v>12</v>
      </c>
      <c r="J28" s="11" t="s">
        <v>108</v>
      </c>
      <c r="K28" s="15">
        <v>6319.03</v>
      </c>
      <c r="L28" s="16"/>
      <c r="M28" s="17">
        <v>75828.44</v>
      </c>
      <c r="N28" s="17">
        <v>75828.44</v>
      </c>
      <c r="O28" s="12" t="s">
        <v>29</v>
      </c>
      <c r="P28" s="18">
        <v>45292</v>
      </c>
      <c r="Q28" s="12" t="s">
        <v>47</v>
      </c>
      <c r="R28" s="12" t="s">
        <v>99</v>
      </c>
      <c r="S28" s="12" t="s">
        <v>117</v>
      </c>
      <c r="T28" s="19">
        <v>4</v>
      </c>
      <c r="U28" s="26"/>
      <c r="V28" s="10" t="s">
        <v>118</v>
      </c>
      <c r="W28" s="20">
        <v>1</v>
      </c>
    </row>
    <row r="29" spans="1:23" ht="63.75">
      <c r="A29" s="9" t="s">
        <v>119</v>
      </c>
      <c r="B29" s="24" t="s">
        <v>120</v>
      </c>
      <c r="C29" s="10" t="s">
        <v>114</v>
      </c>
      <c r="D29" s="24" t="s">
        <v>121</v>
      </c>
      <c r="E29" s="11">
        <v>28</v>
      </c>
      <c r="F29" s="24" t="s">
        <v>120</v>
      </c>
      <c r="G29" s="25">
        <v>3557</v>
      </c>
      <c r="H29" s="12"/>
      <c r="I29" s="11">
        <v>12</v>
      </c>
      <c r="J29" s="11" t="s">
        <v>108</v>
      </c>
      <c r="K29" s="15">
        <v>8532</v>
      </c>
      <c r="L29" s="16"/>
      <c r="M29" s="17">
        <v>102384</v>
      </c>
      <c r="N29" s="17">
        <v>102384</v>
      </c>
      <c r="O29" s="12" t="s">
        <v>29</v>
      </c>
      <c r="P29" s="18">
        <v>45292</v>
      </c>
      <c r="Q29" s="12" t="s">
        <v>47</v>
      </c>
      <c r="R29" s="12" t="s">
        <v>99</v>
      </c>
      <c r="S29" s="12" t="s">
        <v>117</v>
      </c>
      <c r="T29" s="19">
        <v>4</v>
      </c>
      <c r="U29" s="26"/>
      <c r="V29" s="10" t="s">
        <v>118</v>
      </c>
      <c r="W29" s="20">
        <v>1</v>
      </c>
    </row>
    <row r="30" spans="1:23" ht="14.25">
      <c r="A30" s="9" t="s">
        <v>122</v>
      </c>
      <c r="B30" s="10" t="s">
        <v>123</v>
      </c>
      <c r="C30" s="10" t="s">
        <v>114</v>
      </c>
      <c r="D30" s="10" t="s">
        <v>124</v>
      </c>
      <c r="E30" s="11">
        <v>29</v>
      </c>
      <c r="F30" s="10" t="s">
        <v>123</v>
      </c>
      <c r="G30" s="25">
        <v>22764</v>
      </c>
      <c r="H30" s="12"/>
      <c r="I30" s="11">
        <v>12</v>
      </c>
      <c r="J30" s="11" t="s">
        <v>108</v>
      </c>
      <c r="K30" s="15">
        <v>1184.76</v>
      </c>
      <c r="L30" s="16"/>
      <c r="M30" s="17">
        <v>14217.66</v>
      </c>
      <c r="N30" s="17">
        <v>14217.16</v>
      </c>
      <c r="O30" s="12" t="s">
        <v>29</v>
      </c>
      <c r="P30" s="18">
        <v>45292</v>
      </c>
      <c r="Q30" s="12" t="s">
        <v>47</v>
      </c>
      <c r="R30" s="12" t="s">
        <v>99</v>
      </c>
      <c r="S30" s="12" t="s">
        <v>117</v>
      </c>
      <c r="T30" s="19">
        <v>4</v>
      </c>
      <c r="U30" s="26"/>
      <c r="V30" s="10" t="s">
        <v>118</v>
      </c>
      <c r="W30" s="20">
        <v>1</v>
      </c>
    </row>
    <row r="31" spans="1:23" ht="76.5">
      <c r="A31" s="9" t="s">
        <v>125</v>
      </c>
      <c r="B31" s="24" t="s">
        <v>126</v>
      </c>
      <c r="C31" s="10" t="s">
        <v>114</v>
      </c>
      <c r="D31" s="24" t="s">
        <v>127</v>
      </c>
      <c r="E31" s="11">
        <v>30</v>
      </c>
      <c r="F31" s="27" t="s">
        <v>128</v>
      </c>
      <c r="G31" s="25">
        <v>25372</v>
      </c>
      <c r="H31" s="12"/>
      <c r="I31" s="11">
        <v>12</v>
      </c>
      <c r="J31" s="11" t="s">
        <v>129</v>
      </c>
      <c r="K31" s="15">
        <v>6166</v>
      </c>
      <c r="L31" s="16"/>
      <c r="M31" s="17">
        <v>74000</v>
      </c>
      <c r="N31" s="17">
        <v>74000</v>
      </c>
      <c r="O31" s="12" t="s">
        <v>29</v>
      </c>
      <c r="P31" s="18">
        <v>45292</v>
      </c>
      <c r="Q31" s="12" t="s">
        <v>47</v>
      </c>
      <c r="R31" s="12" t="s">
        <v>99</v>
      </c>
      <c r="S31" s="12" t="s">
        <v>117</v>
      </c>
      <c r="T31" s="19">
        <v>4</v>
      </c>
      <c r="U31" s="26"/>
      <c r="V31" s="10" t="s">
        <v>118</v>
      </c>
      <c r="W31" s="20">
        <v>1</v>
      </c>
    </row>
    <row r="32" spans="1:23" ht="63.75">
      <c r="A32" s="9" t="s">
        <v>130</v>
      </c>
      <c r="B32" s="24" t="s">
        <v>131</v>
      </c>
      <c r="C32" s="10" t="s">
        <v>114</v>
      </c>
      <c r="D32" s="26" t="s">
        <v>132</v>
      </c>
      <c r="E32" s="11">
        <v>31</v>
      </c>
      <c r="F32" s="27" t="s">
        <v>133</v>
      </c>
      <c r="G32" s="25">
        <v>26999</v>
      </c>
      <c r="H32" s="12"/>
      <c r="I32" s="11">
        <v>12</v>
      </c>
      <c r="J32" s="11" t="s">
        <v>108</v>
      </c>
      <c r="K32" s="15">
        <v>5890.62</v>
      </c>
      <c r="L32" s="16"/>
      <c r="M32" s="17">
        <v>70687.5</v>
      </c>
      <c r="N32" s="17">
        <v>70687.5</v>
      </c>
      <c r="O32" s="12" t="s">
        <v>29</v>
      </c>
      <c r="P32" s="18">
        <v>45292</v>
      </c>
      <c r="Q32" s="12" t="s">
        <v>47</v>
      </c>
      <c r="R32" s="12" t="s">
        <v>99</v>
      </c>
      <c r="S32" s="12" t="s">
        <v>117</v>
      </c>
      <c r="T32" s="19">
        <v>4</v>
      </c>
      <c r="U32" s="26"/>
      <c r="V32" s="10" t="s">
        <v>118</v>
      </c>
      <c r="W32" s="20">
        <v>1</v>
      </c>
    </row>
    <row r="33" spans="1:23" ht="114.75">
      <c r="A33" s="9" t="s">
        <v>134</v>
      </c>
      <c r="B33" s="24" t="s">
        <v>135</v>
      </c>
      <c r="C33" s="10" t="s">
        <v>114</v>
      </c>
      <c r="D33" s="24" t="s">
        <v>136</v>
      </c>
      <c r="E33" s="11">
        <v>32</v>
      </c>
      <c r="F33" s="27" t="s">
        <v>137</v>
      </c>
      <c r="G33" s="25">
        <v>24015</v>
      </c>
      <c r="H33" s="12"/>
      <c r="I33" s="11">
        <v>12</v>
      </c>
      <c r="J33" s="11" t="s">
        <v>108</v>
      </c>
      <c r="K33" s="15">
        <v>246477.57</v>
      </c>
      <c r="L33" s="16"/>
      <c r="M33" s="17">
        <v>2957730.85</v>
      </c>
      <c r="N33" s="17">
        <v>2957730.85</v>
      </c>
      <c r="O33" s="12" t="s">
        <v>29</v>
      </c>
      <c r="P33" s="18">
        <v>45292</v>
      </c>
      <c r="Q33" s="12" t="s">
        <v>47</v>
      </c>
      <c r="R33" s="12" t="s">
        <v>99</v>
      </c>
      <c r="S33" s="12" t="s">
        <v>117</v>
      </c>
      <c r="T33" s="19">
        <v>4</v>
      </c>
      <c r="U33" s="26"/>
      <c r="V33" s="10" t="s">
        <v>118</v>
      </c>
      <c r="W33" s="20">
        <v>1</v>
      </c>
    </row>
    <row r="34" spans="1:23" ht="76.5">
      <c r="A34" s="9" t="s">
        <v>138</v>
      </c>
      <c r="B34" s="24" t="s">
        <v>139</v>
      </c>
      <c r="C34" s="10" t="s">
        <v>114</v>
      </c>
      <c r="D34" s="24" t="s">
        <v>140</v>
      </c>
      <c r="E34" s="11">
        <v>33</v>
      </c>
      <c r="F34" s="24" t="s">
        <v>141</v>
      </c>
      <c r="G34" s="25">
        <v>13943</v>
      </c>
      <c r="H34" s="12"/>
      <c r="I34" s="11">
        <v>12</v>
      </c>
      <c r="J34" s="11" t="s">
        <v>108</v>
      </c>
      <c r="K34" s="15">
        <v>1710</v>
      </c>
      <c r="L34" s="16"/>
      <c r="M34" s="17">
        <v>20520</v>
      </c>
      <c r="N34" s="17">
        <v>20520</v>
      </c>
      <c r="O34" s="12" t="s">
        <v>29</v>
      </c>
      <c r="P34" s="18">
        <v>45292</v>
      </c>
      <c r="Q34" s="12" t="s">
        <v>47</v>
      </c>
      <c r="R34" s="12" t="s">
        <v>99</v>
      </c>
      <c r="S34" s="12" t="s">
        <v>117</v>
      </c>
      <c r="T34" s="19">
        <v>4</v>
      </c>
      <c r="U34" s="26"/>
      <c r="V34" s="10" t="s">
        <v>118</v>
      </c>
      <c r="W34" s="20">
        <v>1</v>
      </c>
    </row>
    <row r="35" spans="1:23" ht="14.25">
      <c r="A35" s="9" t="s">
        <v>142</v>
      </c>
      <c r="B35" s="10" t="s">
        <v>143</v>
      </c>
      <c r="C35" s="10" t="s">
        <v>114</v>
      </c>
      <c r="D35" s="10" t="s">
        <v>124</v>
      </c>
      <c r="E35" s="11">
        <v>34</v>
      </c>
      <c r="F35" s="10" t="s">
        <v>143</v>
      </c>
      <c r="G35" s="25">
        <v>22764</v>
      </c>
      <c r="H35" s="12"/>
      <c r="I35" s="11">
        <v>12</v>
      </c>
      <c r="J35" s="11" t="s">
        <v>108</v>
      </c>
      <c r="K35" s="15">
        <v>1184.75</v>
      </c>
      <c r="L35" s="16"/>
      <c r="M35" s="17">
        <v>14217</v>
      </c>
      <c r="N35" s="17">
        <v>14217</v>
      </c>
      <c r="O35" s="12" t="s">
        <v>29</v>
      </c>
      <c r="P35" s="18">
        <v>45292</v>
      </c>
      <c r="Q35" s="12" t="s">
        <v>30</v>
      </c>
      <c r="R35" s="12" t="s">
        <v>99</v>
      </c>
      <c r="S35" s="12" t="s">
        <v>144</v>
      </c>
      <c r="T35" s="19">
        <v>4</v>
      </c>
      <c r="U35" s="26"/>
      <c r="V35" s="10" t="s">
        <v>118</v>
      </c>
      <c r="W35" s="20">
        <v>1</v>
      </c>
    </row>
    <row r="36" spans="1:23" ht="14.25">
      <c r="A36" s="9" t="s">
        <v>145</v>
      </c>
      <c r="B36" s="10" t="s">
        <v>146</v>
      </c>
      <c r="C36" s="10" t="s">
        <v>147</v>
      </c>
      <c r="D36" s="10"/>
      <c r="E36" s="11">
        <v>35</v>
      </c>
      <c r="F36" s="10" t="s">
        <v>148</v>
      </c>
      <c r="G36" s="22">
        <v>1586</v>
      </c>
      <c r="H36" s="12"/>
      <c r="I36" s="11">
        <v>12</v>
      </c>
      <c r="J36" s="11" t="s">
        <v>97</v>
      </c>
      <c r="K36" s="15">
        <v>1500</v>
      </c>
      <c r="L36" s="16"/>
      <c r="M36" s="17">
        <v>18000</v>
      </c>
      <c r="N36" s="17">
        <v>18000</v>
      </c>
      <c r="O36" s="12" t="s">
        <v>29</v>
      </c>
      <c r="P36" s="18">
        <v>45292</v>
      </c>
      <c r="Q36" s="12" t="s">
        <v>149</v>
      </c>
      <c r="R36" s="12" t="s">
        <v>150</v>
      </c>
      <c r="S36" s="12" t="s">
        <v>151</v>
      </c>
      <c r="T36" s="19">
        <v>4</v>
      </c>
      <c r="U36" s="22" t="s">
        <v>29</v>
      </c>
      <c r="V36" s="10" t="s">
        <v>152</v>
      </c>
      <c r="W36" s="20">
        <v>1</v>
      </c>
    </row>
    <row r="37" spans="1:23" ht="25.5">
      <c r="A37" s="9" t="s">
        <v>153</v>
      </c>
      <c r="B37" s="10" t="s">
        <v>154</v>
      </c>
      <c r="C37" s="10" t="s">
        <v>155</v>
      </c>
      <c r="D37" s="10" t="s">
        <v>156</v>
      </c>
      <c r="E37" s="11">
        <v>36</v>
      </c>
      <c r="F37" s="10" t="s">
        <v>154</v>
      </c>
      <c r="G37" s="22">
        <v>5041</v>
      </c>
      <c r="H37" s="12"/>
      <c r="I37" s="11">
        <v>1</v>
      </c>
      <c r="J37" s="11" t="s">
        <v>108</v>
      </c>
      <c r="K37" s="15">
        <v>1620248.93</v>
      </c>
      <c r="L37" s="16"/>
      <c r="M37" s="15">
        <v>1620248.93</v>
      </c>
      <c r="N37" s="15">
        <v>1620248.93</v>
      </c>
      <c r="O37" s="12" t="s">
        <v>29</v>
      </c>
      <c r="P37" s="18">
        <v>45646</v>
      </c>
      <c r="Q37" s="12" t="s">
        <v>30</v>
      </c>
      <c r="R37" s="12" t="s">
        <v>99</v>
      </c>
      <c r="S37" s="12" t="s">
        <v>144</v>
      </c>
      <c r="T37" s="19">
        <v>4</v>
      </c>
      <c r="U37" s="26" t="s">
        <v>157</v>
      </c>
      <c r="V37" s="10" t="s">
        <v>158</v>
      </c>
      <c r="W37" s="20">
        <v>1</v>
      </c>
    </row>
    <row r="38" spans="1:23" ht="63.75">
      <c r="A38" s="9" t="s">
        <v>159</v>
      </c>
      <c r="B38" s="10" t="s">
        <v>160</v>
      </c>
      <c r="C38" s="10" t="s">
        <v>161</v>
      </c>
      <c r="D38" s="10" t="s">
        <v>162</v>
      </c>
      <c r="E38" s="11">
        <v>37</v>
      </c>
      <c r="F38" s="10" t="s">
        <v>163</v>
      </c>
      <c r="G38" s="22">
        <v>15345</v>
      </c>
      <c r="H38" s="12"/>
      <c r="I38" s="11">
        <v>5</v>
      </c>
      <c r="J38" s="11" t="s">
        <v>28</v>
      </c>
      <c r="K38" s="15">
        <v>1580</v>
      </c>
      <c r="L38" s="16"/>
      <c r="M38" s="15">
        <v>7900</v>
      </c>
      <c r="N38" s="15">
        <v>7900</v>
      </c>
      <c r="O38" s="12" t="s">
        <v>29</v>
      </c>
      <c r="P38" s="18">
        <v>45505</v>
      </c>
      <c r="Q38" s="12" t="s">
        <v>47</v>
      </c>
      <c r="R38" s="12" t="s">
        <v>150</v>
      </c>
      <c r="S38" s="12" t="s">
        <v>48</v>
      </c>
      <c r="T38" s="19">
        <v>3</v>
      </c>
      <c r="U38" s="26" t="s">
        <v>164</v>
      </c>
      <c r="V38" s="10" t="s">
        <v>165</v>
      </c>
      <c r="W38" s="20">
        <v>1</v>
      </c>
    </row>
    <row r="39" spans="1:23" ht="14.25">
      <c r="A39" s="9" t="s">
        <v>166</v>
      </c>
      <c r="B39" s="10" t="s">
        <v>167</v>
      </c>
      <c r="C39" s="10" t="s">
        <v>168</v>
      </c>
      <c r="D39" s="10" t="s">
        <v>169</v>
      </c>
      <c r="E39" s="11">
        <v>38</v>
      </c>
      <c r="F39" s="10" t="s">
        <v>167</v>
      </c>
      <c r="G39" s="25"/>
      <c r="H39" s="12"/>
      <c r="I39" s="11">
        <v>4</v>
      </c>
      <c r="J39" s="11" t="s">
        <v>28</v>
      </c>
      <c r="K39" s="15">
        <v>19000</v>
      </c>
      <c r="L39" s="16"/>
      <c r="M39" s="17">
        <v>76000</v>
      </c>
      <c r="N39" s="17">
        <v>76000</v>
      </c>
      <c r="O39" s="12" t="s">
        <v>29</v>
      </c>
      <c r="P39" s="18">
        <v>45444</v>
      </c>
      <c r="Q39" s="12" t="s">
        <v>30</v>
      </c>
      <c r="R39" s="12" t="s">
        <v>99</v>
      </c>
      <c r="S39" s="12" t="s">
        <v>32</v>
      </c>
      <c r="T39" s="19">
        <v>2</v>
      </c>
      <c r="U39" s="26"/>
      <c r="V39" s="10" t="s">
        <v>170</v>
      </c>
      <c r="W39" s="20">
        <v>1</v>
      </c>
    </row>
    <row r="40" spans="1:23" ht="25.5">
      <c r="A40" s="9" t="s">
        <v>171</v>
      </c>
      <c r="B40" s="10" t="s">
        <v>172</v>
      </c>
      <c r="C40" s="10" t="s">
        <v>173</v>
      </c>
      <c r="D40" s="10" t="s">
        <v>174</v>
      </c>
      <c r="E40" s="11">
        <v>39</v>
      </c>
      <c r="F40" s="10" t="s">
        <v>175</v>
      </c>
      <c r="G40" s="22">
        <v>7289</v>
      </c>
      <c r="H40" s="12"/>
      <c r="I40" s="11">
        <v>1</v>
      </c>
      <c r="J40" s="11" t="s">
        <v>176</v>
      </c>
      <c r="K40" s="15">
        <v>56252.2</v>
      </c>
      <c r="L40" s="16"/>
      <c r="M40" s="15">
        <v>56252.2</v>
      </c>
      <c r="N40" s="15">
        <v>56252.2</v>
      </c>
      <c r="O40" s="12" t="s">
        <v>29</v>
      </c>
      <c r="P40" s="18">
        <v>45382</v>
      </c>
      <c r="Q40" s="12" t="s">
        <v>47</v>
      </c>
      <c r="R40" s="12" t="s">
        <v>99</v>
      </c>
      <c r="S40" s="12" t="s">
        <v>32</v>
      </c>
      <c r="T40" s="19">
        <v>2</v>
      </c>
      <c r="U40" s="26" t="s">
        <v>177</v>
      </c>
      <c r="V40" s="10" t="s">
        <v>178</v>
      </c>
      <c r="W40" s="20">
        <v>1</v>
      </c>
    </row>
    <row r="41" spans="1:23" ht="14.25">
      <c r="A41" s="9" t="s">
        <v>179</v>
      </c>
      <c r="B41" s="10" t="s">
        <v>180</v>
      </c>
      <c r="C41" s="10" t="s">
        <v>181</v>
      </c>
      <c r="D41" s="10" t="s">
        <v>182</v>
      </c>
      <c r="E41" s="11">
        <v>40</v>
      </c>
      <c r="F41" s="10" t="s">
        <v>180</v>
      </c>
      <c r="G41" s="22">
        <v>10020</v>
      </c>
      <c r="H41" s="12"/>
      <c r="I41" s="11">
        <v>12000</v>
      </c>
      <c r="J41" s="11" t="s">
        <v>28</v>
      </c>
      <c r="K41" s="15">
        <v>8.4600000000000009</v>
      </c>
      <c r="L41" s="16"/>
      <c r="M41" s="28">
        <v>101520</v>
      </c>
      <c r="N41" s="28">
        <v>101520</v>
      </c>
      <c r="O41" s="12" t="s">
        <v>29</v>
      </c>
      <c r="P41" s="18">
        <v>45412</v>
      </c>
      <c r="Q41" s="12" t="s">
        <v>109</v>
      </c>
      <c r="R41" s="12" t="s">
        <v>99</v>
      </c>
      <c r="S41" s="12" t="s">
        <v>100</v>
      </c>
      <c r="T41" s="19">
        <v>2</v>
      </c>
      <c r="U41" s="26"/>
      <c r="V41" s="10" t="s">
        <v>183</v>
      </c>
      <c r="W41" s="20">
        <v>1</v>
      </c>
    </row>
    <row r="42" spans="1:23" ht="14.25">
      <c r="A42" s="9" t="s">
        <v>184</v>
      </c>
      <c r="B42" s="10" t="s">
        <v>185</v>
      </c>
      <c r="C42" s="10" t="s">
        <v>181</v>
      </c>
      <c r="D42" s="10" t="s">
        <v>186</v>
      </c>
      <c r="E42" s="11">
        <v>41</v>
      </c>
      <c r="F42" s="10" t="s">
        <v>187</v>
      </c>
      <c r="G42" s="22">
        <v>15257</v>
      </c>
      <c r="H42" s="12"/>
      <c r="I42" s="11">
        <v>38</v>
      </c>
      <c r="J42" s="11" t="s">
        <v>28</v>
      </c>
      <c r="K42" s="15">
        <v>910</v>
      </c>
      <c r="L42" s="16"/>
      <c r="M42" s="28">
        <v>34580</v>
      </c>
      <c r="N42" s="28">
        <v>34580</v>
      </c>
      <c r="O42" s="12" t="s">
        <v>29</v>
      </c>
      <c r="P42" s="18">
        <v>45412</v>
      </c>
      <c r="Q42" s="12" t="s">
        <v>30</v>
      </c>
      <c r="R42" s="12" t="s">
        <v>99</v>
      </c>
      <c r="S42" s="12" t="s">
        <v>32</v>
      </c>
      <c r="T42" s="19">
        <v>2</v>
      </c>
      <c r="U42" s="26"/>
      <c r="V42" s="10"/>
      <c r="W42" s="20">
        <v>1</v>
      </c>
    </row>
    <row r="43" spans="1:23" ht="14.25">
      <c r="A43" s="9" t="s">
        <v>188</v>
      </c>
      <c r="B43" s="22" t="s">
        <v>189</v>
      </c>
      <c r="C43" s="10" t="s">
        <v>114</v>
      </c>
      <c r="D43" s="22" t="s">
        <v>190</v>
      </c>
      <c r="E43" s="11">
        <v>42</v>
      </c>
      <c r="F43" s="22" t="s">
        <v>191</v>
      </c>
      <c r="G43" s="25"/>
      <c r="H43" s="12"/>
      <c r="I43" s="11">
        <v>1</v>
      </c>
      <c r="J43" s="11" t="s">
        <v>108</v>
      </c>
      <c r="K43" s="15">
        <v>4000</v>
      </c>
      <c r="L43" s="16"/>
      <c r="M43" s="28">
        <v>4000</v>
      </c>
      <c r="N43" s="15">
        <v>4000</v>
      </c>
      <c r="O43" s="12" t="s">
        <v>29</v>
      </c>
      <c r="P43" s="18">
        <v>45381</v>
      </c>
      <c r="Q43" s="12" t="s">
        <v>47</v>
      </c>
      <c r="R43" s="12" t="s">
        <v>99</v>
      </c>
      <c r="S43" s="12" t="s">
        <v>48</v>
      </c>
      <c r="T43" s="19">
        <v>1</v>
      </c>
      <c r="U43" s="26" t="s">
        <v>29</v>
      </c>
      <c r="V43" s="22" t="s">
        <v>192</v>
      </c>
      <c r="W43" s="20">
        <v>1</v>
      </c>
    </row>
    <row r="44" spans="1:23" ht="140.25">
      <c r="A44" s="9" t="s">
        <v>193</v>
      </c>
      <c r="B44" s="29" t="s">
        <v>194</v>
      </c>
      <c r="C44" s="24" t="s">
        <v>195</v>
      </c>
      <c r="D44" s="24" t="s">
        <v>196</v>
      </c>
      <c r="E44" s="11">
        <v>43</v>
      </c>
      <c r="F44" s="24" t="s">
        <v>197</v>
      </c>
      <c r="G44" s="11">
        <v>25194</v>
      </c>
      <c r="H44" s="12"/>
      <c r="I44" s="11">
        <v>12</v>
      </c>
      <c r="J44" s="11" t="s">
        <v>108</v>
      </c>
      <c r="K44" s="30">
        <v>163499.91</v>
      </c>
      <c r="L44" s="16"/>
      <c r="M44" s="30">
        <v>1961998.96</v>
      </c>
      <c r="N44" s="30">
        <v>1961998.96</v>
      </c>
      <c r="O44" s="12" t="s">
        <v>29</v>
      </c>
      <c r="P44" s="18">
        <v>45292</v>
      </c>
      <c r="Q44" s="12" t="s">
        <v>47</v>
      </c>
      <c r="R44" s="12" t="s">
        <v>99</v>
      </c>
      <c r="S44" s="12" t="s">
        <v>117</v>
      </c>
      <c r="T44" s="19">
        <v>4</v>
      </c>
      <c r="U44" s="24" t="s">
        <v>198</v>
      </c>
      <c r="V44" s="24" t="s">
        <v>199</v>
      </c>
      <c r="W44" s="20">
        <v>1</v>
      </c>
    </row>
    <row r="45" spans="1:23" ht="140.25">
      <c r="A45" s="9" t="s">
        <v>200</v>
      </c>
      <c r="B45" s="29" t="s">
        <v>201</v>
      </c>
      <c r="C45" s="24" t="s">
        <v>195</v>
      </c>
      <c r="D45" s="24" t="s">
        <v>202</v>
      </c>
      <c r="E45" s="11">
        <v>44</v>
      </c>
      <c r="F45" s="24" t="s">
        <v>203</v>
      </c>
      <c r="G45" s="11">
        <v>13595</v>
      </c>
      <c r="H45" s="12"/>
      <c r="I45" s="11">
        <v>12</v>
      </c>
      <c r="J45" s="11" t="s">
        <v>204</v>
      </c>
      <c r="K45" s="15">
        <v>1585</v>
      </c>
      <c r="L45" s="16"/>
      <c r="M45" s="17">
        <v>19020</v>
      </c>
      <c r="N45" s="17">
        <v>19020</v>
      </c>
      <c r="O45" s="12" t="s">
        <v>29</v>
      </c>
      <c r="P45" s="18">
        <v>45292</v>
      </c>
      <c r="Q45" s="12" t="s">
        <v>47</v>
      </c>
      <c r="R45" s="12" t="s">
        <v>99</v>
      </c>
      <c r="S45" s="12" t="s">
        <v>117</v>
      </c>
      <c r="T45" s="19">
        <v>4</v>
      </c>
      <c r="U45" s="24" t="s">
        <v>205</v>
      </c>
      <c r="V45" s="24" t="s">
        <v>206</v>
      </c>
      <c r="W45" s="20">
        <v>1</v>
      </c>
    </row>
    <row r="46" spans="1:23" ht="89.25">
      <c r="A46" s="9" t="s">
        <v>207</v>
      </c>
      <c r="B46" s="10" t="s">
        <v>208</v>
      </c>
      <c r="C46" s="24" t="s">
        <v>209</v>
      </c>
      <c r="D46" s="24" t="s">
        <v>210</v>
      </c>
      <c r="E46" s="11">
        <v>45</v>
      </c>
      <c r="F46" s="24" t="s">
        <v>211</v>
      </c>
      <c r="G46" s="12" t="s">
        <v>212</v>
      </c>
      <c r="H46" s="12"/>
      <c r="I46" s="11">
        <v>12</v>
      </c>
      <c r="J46" s="11" t="s">
        <v>108</v>
      </c>
      <c r="K46" s="15">
        <v>750</v>
      </c>
      <c r="L46" s="16"/>
      <c r="M46" s="17">
        <v>12000</v>
      </c>
      <c r="N46" s="17">
        <v>12000</v>
      </c>
      <c r="O46" s="12" t="s">
        <v>29</v>
      </c>
      <c r="P46" s="18">
        <v>45292</v>
      </c>
      <c r="Q46" s="12" t="s">
        <v>47</v>
      </c>
      <c r="R46" s="12" t="s">
        <v>99</v>
      </c>
      <c r="S46" s="12" t="s">
        <v>117</v>
      </c>
      <c r="T46" s="19">
        <v>4</v>
      </c>
      <c r="U46" s="24" t="s">
        <v>213</v>
      </c>
      <c r="V46" s="24" t="s">
        <v>206</v>
      </c>
      <c r="W46" s="20">
        <v>1</v>
      </c>
    </row>
    <row r="47" spans="1:23" ht="114.75">
      <c r="A47" s="9" t="s">
        <v>214</v>
      </c>
      <c r="B47" s="10" t="s">
        <v>215</v>
      </c>
      <c r="C47" s="24" t="s">
        <v>95</v>
      </c>
      <c r="D47" s="24" t="s">
        <v>216</v>
      </c>
      <c r="E47" s="11">
        <v>46</v>
      </c>
      <c r="F47" s="24" t="s">
        <v>217</v>
      </c>
      <c r="G47" s="11">
        <v>445484</v>
      </c>
      <c r="H47" s="12"/>
      <c r="I47" s="11">
        <v>1536</v>
      </c>
      <c r="J47" s="11" t="s">
        <v>218</v>
      </c>
      <c r="K47" s="15">
        <v>2.0099999999999998</v>
      </c>
      <c r="L47" s="16"/>
      <c r="M47" s="30">
        <v>3087.36</v>
      </c>
      <c r="N47" s="30">
        <v>3087.36</v>
      </c>
      <c r="O47" s="12" t="s">
        <v>29</v>
      </c>
      <c r="P47" s="18">
        <v>45292</v>
      </c>
      <c r="Q47" s="12" t="s">
        <v>30</v>
      </c>
      <c r="R47" s="12" t="s">
        <v>31</v>
      </c>
      <c r="S47" s="12" t="s">
        <v>144</v>
      </c>
      <c r="T47" s="19">
        <v>4</v>
      </c>
      <c r="U47" s="26"/>
      <c r="V47" s="26" t="s">
        <v>219</v>
      </c>
      <c r="W47" s="20">
        <v>1</v>
      </c>
    </row>
    <row r="48" spans="1:23" ht="114.75">
      <c r="A48" s="9" t="s">
        <v>220</v>
      </c>
      <c r="B48" s="10" t="s">
        <v>215</v>
      </c>
      <c r="C48" s="24" t="s">
        <v>95</v>
      </c>
      <c r="D48" s="24" t="s">
        <v>221</v>
      </c>
      <c r="E48" s="11">
        <v>47</v>
      </c>
      <c r="F48" s="10" t="s">
        <v>222</v>
      </c>
      <c r="G48" s="11" t="s">
        <v>223</v>
      </c>
      <c r="H48" s="12"/>
      <c r="I48" s="11">
        <v>4080</v>
      </c>
      <c r="J48" s="11" t="s">
        <v>218</v>
      </c>
      <c r="K48" s="15">
        <v>6.02</v>
      </c>
      <c r="L48" s="16"/>
      <c r="M48" s="17">
        <v>24561.599999999999</v>
      </c>
      <c r="N48" s="17">
        <v>24561.599999999999</v>
      </c>
      <c r="O48" s="12" t="s">
        <v>29</v>
      </c>
      <c r="P48" s="18">
        <v>45292</v>
      </c>
      <c r="Q48" s="12" t="s">
        <v>30</v>
      </c>
      <c r="R48" s="12" t="s">
        <v>31</v>
      </c>
      <c r="S48" s="12" t="s">
        <v>144</v>
      </c>
      <c r="T48" s="19">
        <v>4</v>
      </c>
      <c r="U48" s="26"/>
      <c r="V48" s="26" t="s">
        <v>219</v>
      </c>
      <c r="W48" s="20">
        <v>1</v>
      </c>
    </row>
    <row r="49" spans="1:23" ht="114.75">
      <c r="A49" s="9" t="s">
        <v>224</v>
      </c>
      <c r="B49" s="10" t="s">
        <v>215</v>
      </c>
      <c r="C49" s="24" t="s">
        <v>95</v>
      </c>
      <c r="D49" s="24" t="s">
        <v>221</v>
      </c>
      <c r="E49" s="11">
        <v>48</v>
      </c>
      <c r="F49" s="10" t="s">
        <v>225</v>
      </c>
      <c r="G49" s="11">
        <v>407921</v>
      </c>
      <c r="H49" s="12"/>
      <c r="I49" s="11">
        <v>30</v>
      </c>
      <c r="J49" s="11" t="s">
        <v>46</v>
      </c>
      <c r="K49" s="15">
        <v>143.33000000000001</v>
      </c>
      <c r="L49" s="16"/>
      <c r="M49" s="17">
        <v>4299.8999999999996</v>
      </c>
      <c r="N49" s="17">
        <v>4299.8999999999996</v>
      </c>
      <c r="O49" s="12" t="s">
        <v>29</v>
      </c>
      <c r="P49" s="18">
        <v>45292</v>
      </c>
      <c r="Q49" s="12" t="s">
        <v>30</v>
      </c>
      <c r="R49" s="12" t="s">
        <v>31</v>
      </c>
      <c r="S49" s="12" t="s">
        <v>144</v>
      </c>
      <c r="T49" s="19">
        <v>4</v>
      </c>
      <c r="U49" s="31" t="s">
        <v>226</v>
      </c>
      <c r="V49" s="26" t="s">
        <v>219</v>
      </c>
      <c r="W49" s="20">
        <v>1</v>
      </c>
    </row>
    <row r="50" spans="1:23" ht="114.75">
      <c r="A50" s="9" t="s">
        <v>227</v>
      </c>
      <c r="B50" s="10" t="s">
        <v>215</v>
      </c>
      <c r="C50" s="24" t="s">
        <v>95</v>
      </c>
      <c r="D50" s="24" t="s">
        <v>221</v>
      </c>
      <c r="E50" s="11">
        <v>49</v>
      </c>
      <c r="F50" s="10" t="s">
        <v>228</v>
      </c>
      <c r="G50" s="11">
        <v>407921</v>
      </c>
      <c r="H50" s="12"/>
      <c r="I50" s="11">
        <v>12</v>
      </c>
      <c r="J50" s="11" t="s">
        <v>229</v>
      </c>
      <c r="K50" s="15">
        <v>178.16</v>
      </c>
      <c r="L50" s="16"/>
      <c r="M50" s="17">
        <v>2137.92</v>
      </c>
      <c r="N50" s="17">
        <v>2137.92</v>
      </c>
      <c r="O50" s="12" t="s">
        <v>29</v>
      </c>
      <c r="P50" s="18">
        <v>45292</v>
      </c>
      <c r="Q50" s="12" t="s">
        <v>30</v>
      </c>
      <c r="R50" s="12" t="s">
        <v>230</v>
      </c>
      <c r="S50" s="12" t="s">
        <v>144</v>
      </c>
      <c r="T50" s="19">
        <v>4</v>
      </c>
      <c r="U50" s="31" t="s">
        <v>226</v>
      </c>
      <c r="V50" s="26" t="s">
        <v>219</v>
      </c>
      <c r="W50" s="20">
        <v>1</v>
      </c>
    </row>
    <row r="51" spans="1:23" ht="89.25">
      <c r="A51" s="9" t="s">
        <v>231</v>
      </c>
      <c r="B51" s="24" t="s">
        <v>232</v>
      </c>
      <c r="C51" s="24" t="s">
        <v>209</v>
      </c>
      <c r="D51" s="24" t="s">
        <v>233</v>
      </c>
      <c r="E51" s="11">
        <v>50</v>
      </c>
      <c r="F51" s="10" t="s">
        <v>234</v>
      </c>
      <c r="G51" s="11">
        <v>22845</v>
      </c>
      <c r="H51" s="12"/>
      <c r="I51" s="11">
        <v>12</v>
      </c>
      <c r="J51" s="11" t="s">
        <v>108</v>
      </c>
      <c r="K51" s="15">
        <v>1711.88</v>
      </c>
      <c r="L51" s="16"/>
      <c r="M51" s="17">
        <v>20542.560000000001</v>
      </c>
      <c r="N51" s="17">
        <v>20542.560000000001</v>
      </c>
      <c r="O51" s="12" t="s">
        <v>29</v>
      </c>
      <c r="P51" s="18">
        <v>45292</v>
      </c>
      <c r="Q51" s="12" t="s">
        <v>47</v>
      </c>
      <c r="R51" s="12" t="s">
        <v>99</v>
      </c>
      <c r="S51" s="12" t="s">
        <v>100</v>
      </c>
      <c r="T51" s="19">
        <v>4</v>
      </c>
      <c r="U51" s="31"/>
      <c r="V51" s="24" t="s">
        <v>235</v>
      </c>
      <c r="W51" s="20">
        <v>1</v>
      </c>
    </row>
    <row r="52" spans="1:23" ht="89.25">
      <c r="A52" s="9" t="s">
        <v>236</v>
      </c>
      <c r="B52" s="29" t="s">
        <v>237</v>
      </c>
      <c r="C52" s="24" t="s">
        <v>209</v>
      </c>
      <c r="D52" s="24" t="s">
        <v>238</v>
      </c>
      <c r="E52" s="11">
        <v>51</v>
      </c>
      <c r="F52" s="24" t="s">
        <v>239</v>
      </c>
      <c r="G52" s="11">
        <v>27863</v>
      </c>
      <c r="H52" s="12"/>
      <c r="I52" s="11">
        <v>12</v>
      </c>
      <c r="J52" s="11" t="s">
        <v>108</v>
      </c>
      <c r="K52" s="15">
        <v>77750</v>
      </c>
      <c r="L52" s="16"/>
      <c r="M52" s="17">
        <v>933000</v>
      </c>
      <c r="N52" s="17">
        <v>933000</v>
      </c>
      <c r="O52" s="12" t="s">
        <v>29</v>
      </c>
      <c r="P52" s="18">
        <v>45292</v>
      </c>
      <c r="Q52" s="12" t="s">
        <v>47</v>
      </c>
      <c r="R52" s="12" t="s">
        <v>99</v>
      </c>
      <c r="S52" s="12" t="s">
        <v>100</v>
      </c>
      <c r="T52" s="19">
        <v>4</v>
      </c>
      <c r="U52" s="24" t="s">
        <v>240</v>
      </c>
      <c r="V52" s="24" t="s">
        <v>241</v>
      </c>
      <c r="W52" s="20">
        <v>1</v>
      </c>
    </row>
    <row r="53" spans="1:23" ht="102">
      <c r="A53" s="9" t="s">
        <v>242</v>
      </c>
      <c r="B53" s="29" t="s">
        <v>243</v>
      </c>
      <c r="C53" s="32" t="s">
        <v>244</v>
      </c>
      <c r="D53" s="24" t="s">
        <v>245</v>
      </c>
      <c r="E53" s="11">
        <v>52</v>
      </c>
      <c r="F53" s="24" t="s">
        <v>246</v>
      </c>
      <c r="G53" s="11">
        <v>19542</v>
      </c>
      <c r="H53" s="12"/>
      <c r="I53" s="11">
        <v>1</v>
      </c>
      <c r="J53" s="11" t="s">
        <v>97</v>
      </c>
      <c r="K53" s="15">
        <v>4000</v>
      </c>
      <c r="L53" s="16"/>
      <c r="M53" s="15">
        <v>4000</v>
      </c>
      <c r="N53" s="15">
        <v>4000</v>
      </c>
      <c r="O53" s="12" t="s">
        <v>29</v>
      </c>
      <c r="P53" s="18">
        <v>45292</v>
      </c>
      <c r="Q53" s="12" t="s">
        <v>30</v>
      </c>
      <c r="R53" s="12" t="s">
        <v>99</v>
      </c>
      <c r="S53" s="12" t="s">
        <v>144</v>
      </c>
      <c r="T53" s="19">
        <v>2</v>
      </c>
      <c r="U53" s="24" t="s">
        <v>247</v>
      </c>
      <c r="V53" s="24" t="s">
        <v>248</v>
      </c>
      <c r="W53" s="20">
        <v>1</v>
      </c>
    </row>
    <row r="54" spans="1:23" ht="153">
      <c r="A54" s="9" t="s">
        <v>249</v>
      </c>
      <c r="B54" s="29" t="s">
        <v>250</v>
      </c>
      <c r="C54" s="32" t="s">
        <v>251</v>
      </c>
      <c r="D54" s="24" t="s">
        <v>252</v>
      </c>
      <c r="E54" s="11">
        <v>53</v>
      </c>
      <c r="F54" s="24" t="s">
        <v>253</v>
      </c>
      <c r="G54" s="11"/>
      <c r="H54" s="12"/>
      <c r="I54" s="11">
        <v>1</v>
      </c>
      <c r="J54" s="11" t="s">
        <v>254</v>
      </c>
      <c r="K54" s="15">
        <v>150000</v>
      </c>
      <c r="L54" s="16"/>
      <c r="M54" s="15">
        <v>150000</v>
      </c>
      <c r="N54" s="15">
        <v>150000</v>
      </c>
      <c r="O54" s="12" t="s">
        <v>29</v>
      </c>
      <c r="P54" s="18">
        <v>45565</v>
      </c>
      <c r="Q54" s="12" t="s">
        <v>30</v>
      </c>
      <c r="R54" s="12" t="s">
        <v>31</v>
      </c>
      <c r="S54" s="12" t="s">
        <v>144</v>
      </c>
      <c r="T54" s="19">
        <v>3</v>
      </c>
      <c r="U54" s="24" t="s">
        <v>255</v>
      </c>
      <c r="V54" s="24" t="s">
        <v>256</v>
      </c>
      <c r="W54" s="20">
        <v>1</v>
      </c>
    </row>
    <row r="55" spans="1:23" ht="153">
      <c r="A55" s="9" t="s">
        <v>257</v>
      </c>
      <c r="B55" s="29" t="s">
        <v>258</v>
      </c>
      <c r="C55" s="32" t="s">
        <v>251</v>
      </c>
      <c r="D55" s="24" t="s">
        <v>259</v>
      </c>
      <c r="E55" s="11">
        <v>54</v>
      </c>
      <c r="F55" s="24" t="s">
        <v>260</v>
      </c>
      <c r="G55" s="11"/>
      <c r="H55" s="12"/>
      <c r="I55" s="11">
        <v>1</v>
      </c>
      <c r="J55" s="11" t="s">
        <v>254</v>
      </c>
      <c r="K55" s="15">
        <v>80000</v>
      </c>
      <c r="L55" s="16"/>
      <c r="M55" s="15">
        <v>80000</v>
      </c>
      <c r="N55" s="15">
        <v>80000</v>
      </c>
      <c r="O55" s="12" t="s">
        <v>29</v>
      </c>
      <c r="P55" s="18">
        <v>45565</v>
      </c>
      <c r="Q55" s="12" t="s">
        <v>30</v>
      </c>
      <c r="R55" s="12" t="s">
        <v>31</v>
      </c>
      <c r="S55" s="12" t="s">
        <v>144</v>
      </c>
      <c r="T55" s="19">
        <v>3</v>
      </c>
      <c r="U55" s="24" t="s">
        <v>261</v>
      </c>
      <c r="V55" s="24" t="s">
        <v>256</v>
      </c>
      <c r="W55" s="20">
        <v>1</v>
      </c>
    </row>
    <row r="56" spans="1:23" ht="89.25">
      <c r="A56" s="9" t="s">
        <v>262</v>
      </c>
      <c r="B56" s="29" t="s">
        <v>263</v>
      </c>
      <c r="C56" s="32" t="s">
        <v>264</v>
      </c>
      <c r="D56" s="24" t="s">
        <v>265</v>
      </c>
      <c r="E56" s="11">
        <v>55</v>
      </c>
      <c r="F56" s="24" t="s">
        <v>266</v>
      </c>
      <c r="G56" s="11">
        <v>5380</v>
      </c>
      <c r="H56" s="12"/>
      <c r="I56" s="11">
        <v>12</v>
      </c>
      <c r="J56" s="11" t="s">
        <v>204</v>
      </c>
      <c r="K56" s="15">
        <v>219556.22</v>
      </c>
      <c r="L56" s="16"/>
      <c r="M56" s="17">
        <v>2634674.7200000002</v>
      </c>
      <c r="N56" s="17">
        <v>2634674.7200000002</v>
      </c>
      <c r="O56" s="12" t="s">
        <v>29</v>
      </c>
      <c r="P56" s="18">
        <v>45292</v>
      </c>
      <c r="Q56" s="12" t="s">
        <v>47</v>
      </c>
      <c r="R56" s="12" t="s">
        <v>99</v>
      </c>
      <c r="S56" s="12" t="s">
        <v>117</v>
      </c>
      <c r="T56" s="19">
        <v>3</v>
      </c>
      <c r="U56" s="24" t="s">
        <v>198</v>
      </c>
      <c r="V56" s="24" t="s">
        <v>267</v>
      </c>
      <c r="W56" s="20">
        <v>1</v>
      </c>
    </row>
    <row r="57" spans="1:23" ht="153">
      <c r="A57" s="9" t="s">
        <v>268</v>
      </c>
      <c r="B57" s="33" t="s">
        <v>269</v>
      </c>
      <c r="C57" s="32" t="s">
        <v>244</v>
      </c>
      <c r="D57" s="32" t="s">
        <v>270</v>
      </c>
      <c r="E57" s="11">
        <v>56</v>
      </c>
      <c r="F57" s="32" t="s">
        <v>271</v>
      </c>
      <c r="G57" s="11">
        <v>26824</v>
      </c>
      <c r="H57" s="12"/>
      <c r="I57" s="11">
        <v>12</v>
      </c>
      <c r="J57" s="11" t="s">
        <v>204</v>
      </c>
      <c r="K57" s="15">
        <v>2250</v>
      </c>
      <c r="L57" s="16"/>
      <c r="M57" s="17">
        <v>27000</v>
      </c>
      <c r="N57" s="17">
        <v>27000</v>
      </c>
      <c r="O57" s="12" t="s">
        <v>29</v>
      </c>
      <c r="P57" s="18">
        <v>45593</v>
      </c>
      <c r="Q57" s="12" t="s">
        <v>30</v>
      </c>
      <c r="R57" s="12" t="s">
        <v>150</v>
      </c>
      <c r="S57" s="12" t="s">
        <v>144</v>
      </c>
      <c r="T57" s="19">
        <v>3</v>
      </c>
      <c r="U57" s="24" t="s">
        <v>272</v>
      </c>
      <c r="V57" s="24" t="s">
        <v>273</v>
      </c>
      <c r="W57" s="20">
        <v>1</v>
      </c>
    </row>
    <row r="58" spans="1:23" ht="102">
      <c r="A58" s="9" t="s">
        <v>274</v>
      </c>
      <c r="B58" s="10" t="s">
        <v>275</v>
      </c>
      <c r="C58" s="10" t="s">
        <v>209</v>
      </c>
      <c r="D58" s="10" t="s">
        <v>276</v>
      </c>
      <c r="E58" s="11">
        <v>57</v>
      </c>
      <c r="F58" s="10" t="s">
        <v>277</v>
      </c>
      <c r="G58" s="21">
        <v>25372</v>
      </c>
      <c r="H58" s="12"/>
      <c r="I58" s="11">
        <v>12</v>
      </c>
      <c r="J58" s="11" t="s">
        <v>108</v>
      </c>
      <c r="K58" s="15">
        <v>1000</v>
      </c>
      <c r="L58" s="16"/>
      <c r="M58" s="17">
        <v>12000</v>
      </c>
      <c r="N58" s="17">
        <v>12000</v>
      </c>
      <c r="O58" s="12" t="s">
        <v>29</v>
      </c>
      <c r="P58" s="18">
        <v>45292</v>
      </c>
      <c r="Q58" s="12" t="s">
        <v>30</v>
      </c>
      <c r="R58" s="12" t="s">
        <v>99</v>
      </c>
      <c r="S58" s="12" t="s">
        <v>32</v>
      </c>
      <c r="T58" s="19">
        <v>3</v>
      </c>
      <c r="U58" s="32" t="s">
        <v>278</v>
      </c>
      <c r="V58" s="32" t="s">
        <v>279</v>
      </c>
      <c r="W58" s="20">
        <v>1</v>
      </c>
    </row>
    <row r="59" spans="1:23" ht="38.25">
      <c r="A59" s="9" t="s">
        <v>280</v>
      </c>
      <c r="B59" s="10" t="s">
        <v>281</v>
      </c>
      <c r="C59" s="10" t="s">
        <v>282</v>
      </c>
      <c r="D59" s="10" t="s">
        <v>283</v>
      </c>
      <c r="E59" s="11">
        <v>58</v>
      </c>
      <c r="F59" s="32" t="s">
        <v>284</v>
      </c>
      <c r="G59" s="11">
        <v>21334</v>
      </c>
      <c r="H59" s="12"/>
      <c r="I59" s="11">
        <v>1</v>
      </c>
      <c r="J59" s="11" t="s">
        <v>108</v>
      </c>
      <c r="K59" s="15">
        <v>30000</v>
      </c>
      <c r="L59" s="16"/>
      <c r="M59" s="15">
        <v>30000</v>
      </c>
      <c r="N59" s="15">
        <v>30000</v>
      </c>
      <c r="O59" s="12" t="s">
        <v>29</v>
      </c>
      <c r="P59" s="18">
        <v>45444</v>
      </c>
      <c r="Q59" s="12" t="s">
        <v>47</v>
      </c>
      <c r="R59" s="12" t="s">
        <v>31</v>
      </c>
      <c r="S59" s="12" t="s">
        <v>48</v>
      </c>
      <c r="T59" s="19">
        <v>1</v>
      </c>
      <c r="U59" s="10" t="s">
        <v>285</v>
      </c>
      <c r="V59" s="10" t="s">
        <v>286</v>
      </c>
      <c r="W59" s="20">
        <v>1</v>
      </c>
    </row>
    <row r="60" spans="1:23" ht="89.25">
      <c r="A60" s="9" t="s">
        <v>287</v>
      </c>
      <c r="B60" s="32" t="s">
        <v>288</v>
      </c>
      <c r="C60" s="10" t="s">
        <v>209</v>
      </c>
      <c r="D60" s="10" t="s">
        <v>289</v>
      </c>
      <c r="E60" s="11">
        <v>59</v>
      </c>
      <c r="F60" s="32" t="s">
        <v>290</v>
      </c>
      <c r="G60" s="21">
        <v>398485</v>
      </c>
      <c r="H60" s="12"/>
      <c r="I60" s="11">
        <v>5</v>
      </c>
      <c r="J60" s="11" t="s">
        <v>28</v>
      </c>
      <c r="K60" s="15">
        <v>12000</v>
      </c>
      <c r="L60" s="16"/>
      <c r="M60" s="17">
        <v>60000</v>
      </c>
      <c r="N60" s="17">
        <v>60000</v>
      </c>
      <c r="O60" s="12" t="s">
        <v>291</v>
      </c>
      <c r="P60" s="18">
        <v>45480</v>
      </c>
      <c r="Q60" s="12" t="s">
        <v>30</v>
      </c>
      <c r="R60" s="12" t="s">
        <v>31</v>
      </c>
      <c r="S60" s="12" t="s">
        <v>32</v>
      </c>
      <c r="T60" s="19">
        <v>2</v>
      </c>
      <c r="U60" s="10" t="s">
        <v>292</v>
      </c>
      <c r="V60" s="32" t="s">
        <v>293</v>
      </c>
      <c r="W60" s="20">
        <v>1</v>
      </c>
    </row>
    <row r="61" spans="1:23" ht="89.25">
      <c r="A61" s="9" t="s">
        <v>294</v>
      </c>
      <c r="B61" s="32" t="s">
        <v>295</v>
      </c>
      <c r="C61" s="24" t="s">
        <v>209</v>
      </c>
      <c r="D61" s="32" t="s">
        <v>296</v>
      </c>
      <c r="E61" s="11">
        <v>60</v>
      </c>
      <c r="F61" s="32" t="s">
        <v>297</v>
      </c>
      <c r="G61" s="22"/>
      <c r="H61" s="12"/>
      <c r="I61" s="11">
        <v>3000</v>
      </c>
      <c r="J61" s="11" t="s">
        <v>108</v>
      </c>
      <c r="K61" s="15">
        <v>2.65</v>
      </c>
      <c r="L61" s="16"/>
      <c r="M61" s="17">
        <v>7950</v>
      </c>
      <c r="N61" s="17">
        <v>7950</v>
      </c>
      <c r="O61" s="12" t="s">
        <v>29</v>
      </c>
      <c r="P61" s="18">
        <v>45446</v>
      </c>
      <c r="Q61" s="12" t="s">
        <v>30</v>
      </c>
      <c r="R61" s="12" t="s">
        <v>31</v>
      </c>
      <c r="S61" s="12" t="s">
        <v>32</v>
      </c>
      <c r="T61" s="19">
        <v>2</v>
      </c>
      <c r="U61" s="24" t="s">
        <v>298</v>
      </c>
      <c r="V61" s="32" t="s">
        <v>299</v>
      </c>
      <c r="W61" s="20">
        <v>1</v>
      </c>
    </row>
    <row r="62" spans="1:23" ht="102">
      <c r="A62" s="9" t="s">
        <v>300</v>
      </c>
      <c r="B62" s="33" t="s">
        <v>301</v>
      </c>
      <c r="C62" s="32" t="s">
        <v>244</v>
      </c>
      <c r="D62" s="32" t="s">
        <v>302</v>
      </c>
      <c r="E62" s="11">
        <v>61</v>
      </c>
      <c r="F62" s="32" t="s">
        <v>303</v>
      </c>
      <c r="G62" s="11">
        <v>15814</v>
      </c>
      <c r="H62" s="12"/>
      <c r="I62" s="11">
        <v>2000</v>
      </c>
      <c r="J62" s="11" t="s">
        <v>304</v>
      </c>
      <c r="K62" s="15">
        <v>75</v>
      </c>
      <c r="L62" s="16"/>
      <c r="M62" s="17">
        <v>150000</v>
      </c>
      <c r="N62" s="17">
        <v>150000</v>
      </c>
      <c r="O62" s="12" t="s">
        <v>29</v>
      </c>
      <c r="P62" s="18">
        <v>45413</v>
      </c>
      <c r="Q62" s="12" t="s">
        <v>30</v>
      </c>
      <c r="R62" s="12" t="s">
        <v>31</v>
      </c>
      <c r="S62" s="12" t="s">
        <v>32</v>
      </c>
      <c r="T62" s="19">
        <v>2</v>
      </c>
      <c r="U62" s="32" t="s">
        <v>305</v>
      </c>
      <c r="V62" s="24" t="s">
        <v>248</v>
      </c>
      <c r="W62" s="20">
        <v>1</v>
      </c>
    </row>
    <row r="63" spans="1:23" ht="102">
      <c r="A63" s="9" t="s">
        <v>306</v>
      </c>
      <c r="B63" s="32" t="s">
        <v>307</v>
      </c>
      <c r="C63" s="32" t="s">
        <v>244</v>
      </c>
      <c r="D63" s="32" t="s">
        <v>308</v>
      </c>
      <c r="E63" s="11">
        <v>62</v>
      </c>
      <c r="F63" s="32" t="s">
        <v>309</v>
      </c>
      <c r="G63" s="21">
        <v>13757</v>
      </c>
      <c r="H63" s="12"/>
      <c r="I63" s="11">
        <v>1</v>
      </c>
      <c r="J63" s="11" t="s">
        <v>204</v>
      </c>
      <c r="K63" s="15">
        <v>45000</v>
      </c>
      <c r="L63" s="12" t="s">
        <v>29</v>
      </c>
      <c r="M63" s="15">
        <v>45000</v>
      </c>
      <c r="N63" s="15">
        <v>45000</v>
      </c>
      <c r="O63" s="12" t="s">
        <v>29</v>
      </c>
      <c r="P63" s="18">
        <v>45505</v>
      </c>
      <c r="Q63" s="12" t="s">
        <v>30</v>
      </c>
      <c r="R63" s="12" t="s">
        <v>31</v>
      </c>
      <c r="S63" s="12" t="s">
        <v>310</v>
      </c>
      <c r="T63" s="19">
        <v>2</v>
      </c>
      <c r="U63" s="24"/>
      <c r="V63" s="24"/>
      <c r="W63" s="20">
        <v>1</v>
      </c>
    </row>
    <row r="64" spans="1:23" ht="102">
      <c r="A64" s="9" t="s">
        <v>311</v>
      </c>
      <c r="B64" s="32" t="s">
        <v>307</v>
      </c>
      <c r="C64" s="32" t="s">
        <v>244</v>
      </c>
      <c r="D64" s="32" t="s">
        <v>308</v>
      </c>
      <c r="E64" s="11">
        <v>63</v>
      </c>
      <c r="F64" s="32" t="s">
        <v>312</v>
      </c>
      <c r="G64" s="21">
        <v>13757</v>
      </c>
      <c r="H64" s="12"/>
      <c r="I64" s="11">
        <v>1</v>
      </c>
      <c r="J64" s="11" t="s">
        <v>204</v>
      </c>
      <c r="K64" s="15">
        <v>12000</v>
      </c>
      <c r="L64" s="12"/>
      <c r="M64" s="15">
        <v>12000</v>
      </c>
      <c r="N64" s="15">
        <v>12000</v>
      </c>
      <c r="O64" s="12" t="s">
        <v>29</v>
      </c>
      <c r="P64" s="18">
        <v>45505</v>
      </c>
      <c r="Q64" s="12" t="s">
        <v>30</v>
      </c>
      <c r="R64" s="12" t="s">
        <v>31</v>
      </c>
      <c r="S64" s="12" t="s">
        <v>310</v>
      </c>
      <c r="T64" s="19">
        <v>2</v>
      </c>
      <c r="U64" s="24"/>
      <c r="V64" s="24"/>
      <c r="W64" s="20">
        <v>1</v>
      </c>
    </row>
    <row r="65" spans="1:23" ht="102">
      <c r="A65" s="9" t="s">
        <v>313</v>
      </c>
      <c r="B65" s="32" t="s">
        <v>314</v>
      </c>
      <c r="C65" s="32" t="s">
        <v>244</v>
      </c>
      <c r="D65" s="32" t="s">
        <v>315</v>
      </c>
      <c r="E65" s="11">
        <v>64</v>
      </c>
      <c r="F65" s="32" t="s">
        <v>314</v>
      </c>
      <c r="G65" s="11"/>
      <c r="H65" s="12"/>
      <c r="I65" s="11">
        <v>1</v>
      </c>
      <c r="J65" s="11" t="s">
        <v>204</v>
      </c>
      <c r="K65" s="15">
        <v>4600</v>
      </c>
      <c r="L65" s="16"/>
      <c r="M65" s="17">
        <v>4600</v>
      </c>
      <c r="N65" s="17">
        <v>4600</v>
      </c>
      <c r="O65" s="12" t="s">
        <v>29</v>
      </c>
      <c r="P65" s="18">
        <v>45383</v>
      </c>
      <c r="Q65" s="12" t="s">
        <v>47</v>
      </c>
      <c r="R65" s="12" t="s">
        <v>316</v>
      </c>
      <c r="S65" s="12" t="s">
        <v>48</v>
      </c>
      <c r="T65" s="19">
        <v>1</v>
      </c>
      <c r="U65" s="32" t="s">
        <v>317</v>
      </c>
      <c r="V65" s="26" t="s">
        <v>29</v>
      </c>
      <c r="W65" s="20">
        <v>1</v>
      </c>
    </row>
    <row r="66" spans="1:23" ht="102">
      <c r="A66" s="9" t="s">
        <v>318</v>
      </c>
      <c r="B66" s="34" t="s">
        <v>319</v>
      </c>
      <c r="C66" s="32" t="s">
        <v>244</v>
      </c>
      <c r="D66" s="32" t="s">
        <v>320</v>
      </c>
      <c r="E66" s="11">
        <v>65</v>
      </c>
      <c r="F66" s="34" t="s">
        <v>319</v>
      </c>
      <c r="G66" s="22">
        <v>4286</v>
      </c>
      <c r="H66" s="12"/>
      <c r="I66" s="11">
        <v>12</v>
      </c>
      <c r="J66" s="11" t="s">
        <v>204</v>
      </c>
      <c r="K66" s="15">
        <v>36833</v>
      </c>
      <c r="L66" s="16"/>
      <c r="M66" s="17">
        <v>442000</v>
      </c>
      <c r="N66" s="17">
        <v>442000</v>
      </c>
      <c r="O66" s="12" t="s">
        <v>29</v>
      </c>
      <c r="P66" s="18">
        <v>45292</v>
      </c>
      <c r="Q66" s="12" t="s">
        <v>47</v>
      </c>
      <c r="R66" s="12" t="s">
        <v>150</v>
      </c>
      <c r="S66" s="12" t="s">
        <v>117</v>
      </c>
      <c r="T66" s="19">
        <v>4</v>
      </c>
      <c r="U66" s="26"/>
      <c r="V66" s="26" t="s">
        <v>321</v>
      </c>
      <c r="W66" s="20">
        <v>1</v>
      </c>
    </row>
    <row r="67" spans="1:23" ht="102">
      <c r="A67" s="9" t="s">
        <v>322</v>
      </c>
      <c r="B67" s="34" t="s">
        <v>323</v>
      </c>
      <c r="C67" s="32" t="s">
        <v>244</v>
      </c>
      <c r="D67" s="32" t="s">
        <v>324</v>
      </c>
      <c r="E67" s="11">
        <v>66</v>
      </c>
      <c r="F67" s="34" t="s">
        <v>323</v>
      </c>
      <c r="G67" s="22">
        <v>26298</v>
      </c>
      <c r="H67" s="12"/>
      <c r="I67" s="11">
        <v>12</v>
      </c>
      <c r="J67" s="11" t="s">
        <v>204</v>
      </c>
      <c r="K67" s="15">
        <v>660</v>
      </c>
      <c r="L67" s="16"/>
      <c r="M67" s="17">
        <v>7920</v>
      </c>
      <c r="N67" s="17">
        <v>7920</v>
      </c>
      <c r="O67" s="12" t="s">
        <v>29</v>
      </c>
      <c r="P67" s="18">
        <v>45479</v>
      </c>
      <c r="Q67" s="12" t="s">
        <v>47</v>
      </c>
      <c r="R67" s="12" t="s">
        <v>99</v>
      </c>
      <c r="S67" s="12" t="s">
        <v>117</v>
      </c>
      <c r="T67" s="19">
        <v>4</v>
      </c>
      <c r="U67" s="10" t="s">
        <v>29</v>
      </c>
      <c r="V67" s="32" t="s">
        <v>325</v>
      </c>
      <c r="W67" s="20">
        <v>1</v>
      </c>
    </row>
    <row r="68" spans="1:23" ht="178.5">
      <c r="A68" s="9" t="s">
        <v>326</v>
      </c>
      <c r="B68" s="34" t="s">
        <v>327</v>
      </c>
      <c r="C68" s="32" t="s">
        <v>244</v>
      </c>
      <c r="D68" s="32" t="s">
        <v>328</v>
      </c>
      <c r="E68" s="11">
        <v>67</v>
      </c>
      <c r="F68" s="34" t="s">
        <v>329</v>
      </c>
      <c r="G68" s="22">
        <v>21873</v>
      </c>
      <c r="H68" s="12"/>
      <c r="I68" s="11">
        <v>12</v>
      </c>
      <c r="J68" s="11" t="s">
        <v>108</v>
      </c>
      <c r="K68" s="15">
        <v>7606.78</v>
      </c>
      <c r="L68" s="16"/>
      <c r="M68" s="17">
        <v>91281.43</v>
      </c>
      <c r="N68" s="17">
        <v>91281.43</v>
      </c>
      <c r="O68" s="12" t="s">
        <v>29</v>
      </c>
      <c r="P68" s="18">
        <v>45350</v>
      </c>
      <c r="Q68" s="12" t="s">
        <v>47</v>
      </c>
      <c r="R68" s="12" t="s">
        <v>99</v>
      </c>
      <c r="S68" s="12" t="s">
        <v>117</v>
      </c>
      <c r="T68" s="19">
        <v>4</v>
      </c>
      <c r="U68" s="10" t="s">
        <v>29</v>
      </c>
      <c r="V68" s="32" t="s">
        <v>325</v>
      </c>
      <c r="W68" s="20">
        <v>1</v>
      </c>
    </row>
    <row r="69" spans="1:23" ht="140.25">
      <c r="A69" s="9" t="s">
        <v>330</v>
      </c>
      <c r="B69" s="34" t="s">
        <v>331</v>
      </c>
      <c r="C69" s="32" t="s">
        <v>244</v>
      </c>
      <c r="D69" s="32" t="s">
        <v>332</v>
      </c>
      <c r="E69" s="11">
        <v>68</v>
      </c>
      <c r="F69" s="34" t="s">
        <v>333</v>
      </c>
      <c r="G69" s="22">
        <v>21873</v>
      </c>
      <c r="H69" s="12"/>
      <c r="I69" s="11">
        <v>12</v>
      </c>
      <c r="J69" s="11" t="s">
        <v>108</v>
      </c>
      <c r="K69" s="15">
        <v>3885.75</v>
      </c>
      <c r="L69" s="16"/>
      <c r="M69" s="17">
        <v>46629</v>
      </c>
      <c r="N69" s="17">
        <v>46629</v>
      </c>
      <c r="O69" s="12" t="s">
        <v>29</v>
      </c>
      <c r="P69" s="18">
        <v>45305</v>
      </c>
      <c r="Q69" s="12" t="s">
        <v>47</v>
      </c>
      <c r="R69" s="12" t="s">
        <v>99</v>
      </c>
      <c r="S69" s="12" t="s">
        <v>117</v>
      </c>
      <c r="T69" s="19">
        <v>4</v>
      </c>
      <c r="U69" s="10" t="s">
        <v>29</v>
      </c>
      <c r="V69" s="32" t="s">
        <v>334</v>
      </c>
      <c r="W69" s="20">
        <v>1</v>
      </c>
    </row>
    <row r="70" spans="1:23" ht="140.25">
      <c r="A70" s="9" t="s">
        <v>335</v>
      </c>
      <c r="B70" s="32" t="s">
        <v>336</v>
      </c>
      <c r="C70" s="32" t="s">
        <v>244</v>
      </c>
      <c r="D70" s="32" t="s">
        <v>337</v>
      </c>
      <c r="E70" s="11">
        <v>69</v>
      </c>
      <c r="F70" s="32" t="s">
        <v>338</v>
      </c>
      <c r="G70" s="22">
        <v>21873</v>
      </c>
      <c r="H70" s="12"/>
      <c r="I70" s="11">
        <v>12</v>
      </c>
      <c r="J70" s="11" t="s">
        <v>204</v>
      </c>
      <c r="K70" s="15">
        <v>2490.46</v>
      </c>
      <c r="L70" s="16"/>
      <c r="M70" s="15">
        <v>29885.59</v>
      </c>
      <c r="N70" s="15">
        <v>29885.59</v>
      </c>
      <c r="O70" s="12" t="s">
        <v>29</v>
      </c>
      <c r="P70" s="18">
        <v>45589</v>
      </c>
      <c r="Q70" s="12" t="s">
        <v>47</v>
      </c>
      <c r="R70" s="12" t="s">
        <v>99</v>
      </c>
      <c r="S70" s="12" t="s">
        <v>117</v>
      </c>
      <c r="T70" s="19">
        <v>1</v>
      </c>
      <c r="U70" s="10" t="s">
        <v>29</v>
      </c>
      <c r="V70" s="32" t="s">
        <v>334</v>
      </c>
      <c r="W70" s="20">
        <v>1</v>
      </c>
    </row>
    <row r="71" spans="1:23" ht="102">
      <c r="A71" s="9" t="s">
        <v>339</v>
      </c>
      <c r="B71" s="32" t="s">
        <v>340</v>
      </c>
      <c r="C71" s="32" t="s">
        <v>244</v>
      </c>
      <c r="D71" s="32" t="s">
        <v>115</v>
      </c>
      <c r="E71" s="11">
        <v>70</v>
      </c>
      <c r="F71" s="32" t="s">
        <v>341</v>
      </c>
      <c r="G71" s="22">
        <v>20966</v>
      </c>
      <c r="H71" s="12"/>
      <c r="I71" s="11">
        <v>12</v>
      </c>
      <c r="J71" s="11" t="s">
        <v>108</v>
      </c>
      <c r="K71" s="15">
        <v>6700</v>
      </c>
      <c r="L71" s="16"/>
      <c r="M71" s="15">
        <v>80400</v>
      </c>
      <c r="N71" s="15">
        <v>80400</v>
      </c>
      <c r="O71" s="12" t="s">
        <v>29</v>
      </c>
      <c r="P71" s="18">
        <v>45561</v>
      </c>
      <c r="Q71" s="12" t="s">
        <v>47</v>
      </c>
      <c r="R71" s="12" t="s">
        <v>99</v>
      </c>
      <c r="S71" s="12" t="s">
        <v>117</v>
      </c>
      <c r="T71" s="19">
        <v>1</v>
      </c>
      <c r="U71" s="10" t="s">
        <v>29</v>
      </c>
      <c r="V71" s="32" t="s">
        <v>342</v>
      </c>
      <c r="W71" s="20">
        <v>1</v>
      </c>
    </row>
    <row r="72" spans="1:23" ht="102">
      <c r="A72" s="9" t="s">
        <v>343</v>
      </c>
      <c r="B72" s="32" t="s">
        <v>344</v>
      </c>
      <c r="C72" s="32" t="s">
        <v>244</v>
      </c>
      <c r="D72" s="32" t="s">
        <v>265</v>
      </c>
      <c r="E72" s="11">
        <v>71</v>
      </c>
      <c r="F72" s="32" t="s">
        <v>344</v>
      </c>
      <c r="G72" s="21"/>
      <c r="H72" s="12"/>
      <c r="I72" s="11">
        <v>12</v>
      </c>
      <c r="J72" s="11" t="s">
        <v>108</v>
      </c>
      <c r="K72" s="15">
        <v>224698.27</v>
      </c>
      <c r="L72" s="16"/>
      <c r="M72" s="30">
        <v>2696379.24</v>
      </c>
      <c r="N72" s="30">
        <v>2696379.24</v>
      </c>
      <c r="O72" s="12" t="s">
        <v>29</v>
      </c>
      <c r="P72" s="18">
        <v>45514</v>
      </c>
      <c r="Q72" s="12" t="s">
        <v>30</v>
      </c>
      <c r="R72" s="12" t="s">
        <v>150</v>
      </c>
      <c r="S72" s="12" t="s">
        <v>310</v>
      </c>
      <c r="T72" s="19">
        <v>3</v>
      </c>
      <c r="U72" s="10" t="s">
        <v>29</v>
      </c>
      <c r="V72" s="32" t="s">
        <v>342</v>
      </c>
      <c r="W72" s="20">
        <v>1</v>
      </c>
    </row>
    <row r="73" spans="1:23" ht="102">
      <c r="A73" s="9" t="s">
        <v>345</v>
      </c>
      <c r="B73" s="32" t="s">
        <v>346</v>
      </c>
      <c r="C73" s="10" t="s">
        <v>347</v>
      </c>
      <c r="D73" s="32" t="s">
        <v>348</v>
      </c>
      <c r="E73" s="11">
        <v>72</v>
      </c>
      <c r="F73" s="32" t="s">
        <v>346</v>
      </c>
      <c r="G73" s="21"/>
      <c r="H73" s="12"/>
      <c r="I73" s="11">
        <v>5706.84</v>
      </c>
      <c r="J73" s="11" t="s">
        <v>304</v>
      </c>
      <c r="K73" s="35">
        <v>1259.03</v>
      </c>
      <c r="L73" s="16"/>
      <c r="M73" s="15">
        <v>7185082.7699999996</v>
      </c>
      <c r="N73" s="15">
        <v>7185082.7699999996</v>
      </c>
      <c r="O73" s="12" t="s">
        <v>29</v>
      </c>
      <c r="P73" s="18">
        <v>45440</v>
      </c>
      <c r="Q73" s="12" t="s">
        <v>30</v>
      </c>
      <c r="R73" s="12" t="s">
        <v>29</v>
      </c>
      <c r="S73" s="12" t="s">
        <v>310</v>
      </c>
      <c r="T73" s="19">
        <v>3</v>
      </c>
      <c r="U73" s="10" t="s">
        <v>157</v>
      </c>
      <c r="V73" s="32" t="s">
        <v>349</v>
      </c>
      <c r="W73" s="20">
        <v>1</v>
      </c>
    </row>
    <row r="74" spans="1:23" ht="153">
      <c r="A74" s="9" t="s">
        <v>350</v>
      </c>
      <c r="B74" s="24" t="s">
        <v>351</v>
      </c>
      <c r="C74" s="24" t="s">
        <v>209</v>
      </c>
      <c r="D74" s="10" t="s">
        <v>352</v>
      </c>
      <c r="E74" s="11">
        <v>73</v>
      </c>
      <c r="F74" s="24" t="s">
        <v>351</v>
      </c>
      <c r="G74" s="12" t="s">
        <v>353</v>
      </c>
      <c r="H74" s="12"/>
      <c r="I74" s="11">
        <v>12</v>
      </c>
      <c r="J74" s="11" t="s">
        <v>108</v>
      </c>
      <c r="K74" s="15">
        <v>35837.58</v>
      </c>
      <c r="L74" s="16"/>
      <c r="M74" s="17">
        <v>430050.96</v>
      </c>
      <c r="N74" s="17">
        <v>430050.96</v>
      </c>
      <c r="O74" s="12" t="s">
        <v>29</v>
      </c>
      <c r="P74" s="18">
        <v>45292</v>
      </c>
      <c r="Q74" s="12" t="s">
        <v>47</v>
      </c>
      <c r="R74" s="12" t="s">
        <v>31</v>
      </c>
      <c r="S74" s="12" t="s">
        <v>117</v>
      </c>
      <c r="T74" s="19">
        <v>4</v>
      </c>
      <c r="U74" s="26" t="s">
        <v>354</v>
      </c>
      <c r="V74" s="24" t="s">
        <v>355</v>
      </c>
      <c r="W74" s="20">
        <v>1</v>
      </c>
    </row>
    <row r="75" spans="1:23" ht="51">
      <c r="A75" s="9" t="s">
        <v>356</v>
      </c>
      <c r="B75" s="32" t="s">
        <v>357</v>
      </c>
      <c r="C75" s="10" t="s">
        <v>358</v>
      </c>
      <c r="D75" s="32" t="s">
        <v>359</v>
      </c>
      <c r="E75" s="11">
        <v>74</v>
      </c>
      <c r="F75" s="32" t="s">
        <v>360</v>
      </c>
      <c r="G75" s="12" t="s">
        <v>353</v>
      </c>
      <c r="H75" s="12"/>
      <c r="I75" s="36">
        <v>1368</v>
      </c>
      <c r="J75" s="11" t="s">
        <v>361</v>
      </c>
      <c r="K75" s="37">
        <v>500</v>
      </c>
      <c r="L75" s="16"/>
      <c r="M75" s="17">
        <v>684000</v>
      </c>
      <c r="N75" s="17">
        <v>684000</v>
      </c>
      <c r="O75" s="12" t="s">
        <v>29</v>
      </c>
      <c r="P75" s="18">
        <v>45440</v>
      </c>
      <c r="Q75" s="12" t="s">
        <v>30</v>
      </c>
      <c r="R75" s="12" t="s">
        <v>316</v>
      </c>
      <c r="S75" s="12" t="s">
        <v>32</v>
      </c>
      <c r="T75" s="19">
        <v>3</v>
      </c>
      <c r="U75" s="10" t="s">
        <v>362</v>
      </c>
      <c r="V75" s="32" t="s">
        <v>363</v>
      </c>
      <c r="W75" s="20">
        <v>1</v>
      </c>
    </row>
    <row r="76" spans="1:23" ht="114.75">
      <c r="A76" s="9" t="s">
        <v>364</v>
      </c>
      <c r="B76" s="32" t="s">
        <v>365</v>
      </c>
      <c r="C76" s="32" t="s">
        <v>366</v>
      </c>
      <c r="D76" s="32" t="s">
        <v>367</v>
      </c>
      <c r="E76" s="11">
        <v>75</v>
      </c>
      <c r="F76" s="32" t="s">
        <v>368</v>
      </c>
      <c r="G76" s="12"/>
      <c r="H76" s="12"/>
      <c r="I76" s="11">
        <v>10</v>
      </c>
      <c r="J76" s="11" t="s">
        <v>176</v>
      </c>
      <c r="K76" s="15">
        <v>25000</v>
      </c>
      <c r="L76" s="16"/>
      <c r="M76" s="17">
        <v>250000</v>
      </c>
      <c r="N76" s="17">
        <v>250000</v>
      </c>
      <c r="O76" s="12" t="s">
        <v>29</v>
      </c>
      <c r="P76" s="18">
        <v>45657</v>
      </c>
      <c r="Q76" s="12" t="s">
        <v>30</v>
      </c>
      <c r="R76" s="12" t="s">
        <v>99</v>
      </c>
      <c r="S76" s="12" t="s">
        <v>310</v>
      </c>
      <c r="T76" s="19">
        <v>3</v>
      </c>
      <c r="U76" s="24" t="s">
        <v>369</v>
      </c>
      <c r="V76" s="24" t="s">
        <v>363</v>
      </c>
      <c r="W76" s="20">
        <v>1</v>
      </c>
    </row>
    <row r="77" spans="1:23" ht="114.75">
      <c r="A77" s="9" t="s">
        <v>370</v>
      </c>
      <c r="B77" s="32" t="s">
        <v>371</v>
      </c>
      <c r="C77" s="32" t="s">
        <v>372</v>
      </c>
      <c r="D77" s="32" t="s">
        <v>373</v>
      </c>
      <c r="E77" s="11">
        <v>76</v>
      </c>
      <c r="F77" s="32" t="s">
        <v>374</v>
      </c>
      <c r="G77" s="12"/>
      <c r="H77" s="12"/>
      <c r="I77" s="11">
        <v>1</v>
      </c>
      <c r="J77" s="11" t="s">
        <v>108</v>
      </c>
      <c r="K77" s="15">
        <v>250000</v>
      </c>
      <c r="L77" s="16"/>
      <c r="M77" s="15">
        <v>250000</v>
      </c>
      <c r="N77" s="15">
        <v>250000</v>
      </c>
      <c r="O77" s="12" t="s">
        <v>29</v>
      </c>
      <c r="P77" s="18">
        <v>45442</v>
      </c>
      <c r="Q77" s="12" t="s">
        <v>30</v>
      </c>
      <c r="R77" s="12" t="s">
        <v>99</v>
      </c>
      <c r="S77" s="12" t="s">
        <v>310</v>
      </c>
      <c r="T77" s="19">
        <v>1</v>
      </c>
      <c r="U77" s="24" t="s">
        <v>369</v>
      </c>
      <c r="V77" s="32" t="s">
        <v>375</v>
      </c>
      <c r="W77" s="20">
        <v>1</v>
      </c>
    </row>
    <row r="78" spans="1:23" ht="38.25">
      <c r="A78" s="9" t="s">
        <v>376</v>
      </c>
      <c r="B78" s="32" t="s">
        <v>377</v>
      </c>
      <c r="C78" s="24" t="s">
        <v>378</v>
      </c>
      <c r="D78" s="32" t="s">
        <v>379</v>
      </c>
      <c r="E78" s="11">
        <v>77</v>
      </c>
      <c r="F78" s="32" t="s">
        <v>380</v>
      </c>
      <c r="G78" s="21"/>
      <c r="H78" s="12"/>
      <c r="I78" s="11">
        <v>3</v>
      </c>
      <c r="J78" s="11" t="s">
        <v>381</v>
      </c>
      <c r="K78" s="15">
        <v>25000</v>
      </c>
      <c r="L78" s="16"/>
      <c r="M78" s="17">
        <v>25000</v>
      </c>
      <c r="N78" s="17">
        <v>25000</v>
      </c>
      <c r="O78" s="12" t="s">
        <v>29</v>
      </c>
      <c r="P78" s="18">
        <v>45636</v>
      </c>
      <c r="Q78" s="12" t="s">
        <v>47</v>
      </c>
      <c r="R78" s="12" t="s">
        <v>31</v>
      </c>
      <c r="S78" s="12" t="s">
        <v>48</v>
      </c>
      <c r="T78" s="19">
        <v>4</v>
      </c>
      <c r="U78" s="32" t="s">
        <v>382</v>
      </c>
      <c r="V78" s="32" t="s">
        <v>383</v>
      </c>
      <c r="W78" s="20">
        <v>1</v>
      </c>
    </row>
    <row r="79" spans="1:23" ht="114.75">
      <c r="A79" s="9" t="s">
        <v>384</v>
      </c>
      <c r="B79" s="32" t="s">
        <v>385</v>
      </c>
      <c r="C79" s="24" t="s">
        <v>386</v>
      </c>
      <c r="D79" s="32" t="s">
        <v>387</v>
      </c>
      <c r="E79" s="11">
        <v>78</v>
      </c>
      <c r="F79" s="32" t="s">
        <v>388</v>
      </c>
      <c r="G79" s="21"/>
      <c r="H79" s="12"/>
      <c r="I79" s="11">
        <v>2</v>
      </c>
      <c r="J79" s="11" t="s">
        <v>176</v>
      </c>
      <c r="K79" s="15">
        <v>35000</v>
      </c>
      <c r="L79" s="16"/>
      <c r="M79" s="17">
        <v>70000</v>
      </c>
      <c r="N79" s="17">
        <v>70000</v>
      </c>
      <c r="O79" s="12" t="s">
        <v>29</v>
      </c>
      <c r="P79" s="18">
        <v>45636</v>
      </c>
      <c r="Q79" s="12" t="s">
        <v>30</v>
      </c>
      <c r="R79" s="12" t="s">
        <v>99</v>
      </c>
      <c r="S79" s="12" t="s">
        <v>310</v>
      </c>
      <c r="T79" s="19">
        <v>1</v>
      </c>
      <c r="U79" s="24" t="s">
        <v>369</v>
      </c>
      <c r="V79" s="32" t="s">
        <v>389</v>
      </c>
      <c r="W79" s="20">
        <v>1</v>
      </c>
    </row>
    <row r="80" spans="1:23" ht="114.75">
      <c r="A80" s="9" t="s">
        <v>390</v>
      </c>
      <c r="B80" s="32" t="s">
        <v>391</v>
      </c>
      <c r="C80" s="24" t="s">
        <v>378</v>
      </c>
      <c r="D80" s="32" t="s">
        <v>392</v>
      </c>
      <c r="E80" s="11">
        <v>79</v>
      </c>
      <c r="F80" s="32" t="s">
        <v>393</v>
      </c>
      <c r="G80" s="21"/>
      <c r="H80" s="12"/>
      <c r="I80" s="11">
        <v>700</v>
      </c>
      <c r="J80" s="11" t="s">
        <v>304</v>
      </c>
      <c r="K80" s="15">
        <v>714.29</v>
      </c>
      <c r="L80" s="16"/>
      <c r="M80" s="17">
        <v>500000</v>
      </c>
      <c r="N80" s="17">
        <v>500000</v>
      </c>
      <c r="O80" s="12" t="s">
        <v>29</v>
      </c>
      <c r="P80" s="18">
        <v>45636</v>
      </c>
      <c r="Q80" s="12" t="s">
        <v>30</v>
      </c>
      <c r="R80" s="12" t="s">
        <v>99</v>
      </c>
      <c r="S80" s="12" t="s">
        <v>310</v>
      </c>
      <c r="T80" s="19">
        <v>2</v>
      </c>
      <c r="U80" s="24" t="s">
        <v>369</v>
      </c>
      <c r="V80" s="24" t="s">
        <v>389</v>
      </c>
      <c r="W80" s="20">
        <v>1</v>
      </c>
    </row>
    <row r="81" spans="1:23" ht="102">
      <c r="A81" s="9" t="s">
        <v>394</v>
      </c>
      <c r="B81" s="32" t="s">
        <v>395</v>
      </c>
      <c r="C81" s="32" t="s">
        <v>209</v>
      </c>
      <c r="D81" s="32" t="s">
        <v>396</v>
      </c>
      <c r="E81" s="11">
        <v>80</v>
      </c>
      <c r="F81" s="32" t="s">
        <v>397</v>
      </c>
      <c r="G81" s="21"/>
      <c r="H81" s="12"/>
      <c r="I81" s="11">
        <v>290</v>
      </c>
      <c r="J81" s="11" t="s">
        <v>304</v>
      </c>
      <c r="K81" s="15">
        <v>660</v>
      </c>
      <c r="L81" s="16"/>
      <c r="M81" s="15">
        <v>191400</v>
      </c>
      <c r="N81" s="15">
        <v>191400</v>
      </c>
      <c r="O81" s="12" t="s">
        <v>29</v>
      </c>
      <c r="P81" s="18">
        <v>45646</v>
      </c>
      <c r="Q81" s="12" t="s">
        <v>30</v>
      </c>
      <c r="R81" s="12" t="s">
        <v>99</v>
      </c>
      <c r="S81" s="12" t="s">
        <v>310</v>
      </c>
      <c r="T81" s="19">
        <v>1</v>
      </c>
      <c r="U81" s="32" t="s">
        <v>398</v>
      </c>
      <c r="V81" s="32" t="s">
        <v>399</v>
      </c>
      <c r="W81" s="20">
        <v>1</v>
      </c>
    </row>
    <row r="82" spans="1:23" ht="114.75">
      <c r="A82" s="9" t="s">
        <v>400</v>
      </c>
      <c r="B82" s="32" t="s">
        <v>401</v>
      </c>
      <c r="C82" s="32" t="s">
        <v>366</v>
      </c>
      <c r="D82" s="32" t="s">
        <v>402</v>
      </c>
      <c r="E82" s="11">
        <v>81</v>
      </c>
      <c r="F82" s="32" t="s">
        <v>403</v>
      </c>
      <c r="G82" s="21"/>
      <c r="H82" s="12"/>
      <c r="I82" s="11">
        <v>5706.84</v>
      </c>
      <c r="J82" s="11" t="s">
        <v>304</v>
      </c>
      <c r="K82" s="15">
        <v>44.84</v>
      </c>
      <c r="L82" s="16"/>
      <c r="M82" s="15">
        <v>255894.7</v>
      </c>
      <c r="N82" s="15">
        <v>255894.7</v>
      </c>
      <c r="O82" s="12" t="s">
        <v>29</v>
      </c>
      <c r="P82" s="18">
        <v>45440</v>
      </c>
      <c r="Q82" s="12" t="s">
        <v>30</v>
      </c>
      <c r="R82" s="12" t="s">
        <v>404</v>
      </c>
      <c r="S82" s="12" t="s">
        <v>310</v>
      </c>
      <c r="T82" s="19">
        <v>3</v>
      </c>
      <c r="U82" s="32" t="s">
        <v>405</v>
      </c>
      <c r="V82" s="32" t="s">
        <v>349</v>
      </c>
      <c r="W82" s="20">
        <v>1</v>
      </c>
    </row>
    <row r="83" spans="1:23" ht="25.5">
      <c r="A83" s="9" t="s">
        <v>406</v>
      </c>
      <c r="B83" s="32" t="s">
        <v>407</v>
      </c>
      <c r="C83" s="32" t="s">
        <v>408</v>
      </c>
      <c r="D83" s="32" t="s">
        <v>409</v>
      </c>
      <c r="E83" s="11">
        <v>82</v>
      </c>
      <c r="F83" s="32" t="s">
        <v>410</v>
      </c>
      <c r="G83" s="21"/>
      <c r="H83" s="12"/>
      <c r="I83" s="11">
        <v>1</v>
      </c>
      <c r="J83" s="11" t="s">
        <v>28</v>
      </c>
      <c r="K83" s="15">
        <v>150000</v>
      </c>
      <c r="L83" s="16"/>
      <c r="M83" s="15">
        <v>150000</v>
      </c>
      <c r="N83" s="15">
        <v>150000</v>
      </c>
      <c r="O83" s="12" t="s">
        <v>29</v>
      </c>
      <c r="P83" s="18">
        <v>45636</v>
      </c>
      <c r="Q83" s="12" t="s">
        <v>30</v>
      </c>
      <c r="R83" s="12" t="s">
        <v>99</v>
      </c>
      <c r="S83" s="12" t="s">
        <v>310</v>
      </c>
      <c r="T83" s="19">
        <v>1</v>
      </c>
      <c r="U83" s="32" t="s">
        <v>398</v>
      </c>
      <c r="V83" s="32"/>
      <c r="W83" s="20">
        <v>1</v>
      </c>
    </row>
    <row r="84" spans="1:23" ht="114.75">
      <c r="A84" s="9" t="s">
        <v>411</v>
      </c>
      <c r="B84" s="32" t="s">
        <v>412</v>
      </c>
      <c r="C84" s="32" t="s">
        <v>209</v>
      </c>
      <c r="D84" s="32" t="s">
        <v>396</v>
      </c>
      <c r="E84" s="11">
        <v>83</v>
      </c>
      <c r="F84" s="32" t="s">
        <v>397</v>
      </c>
      <c r="G84" s="21"/>
      <c r="H84" s="12"/>
      <c r="I84" s="11">
        <v>190</v>
      </c>
      <c r="J84" s="11" t="s">
        <v>304</v>
      </c>
      <c r="K84" s="15">
        <v>660</v>
      </c>
      <c r="L84" s="16"/>
      <c r="M84" s="15">
        <v>125400</v>
      </c>
      <c r="N84" s="15">
        <v>125400</v>
      </c>
      <c r="O84" s="12" t="s">
        <v>29</v>
      </c>
      <c r="P84" s="18">
        <v>45646</v>
      </c>
      <c r="Q84" s="12" t="s">
        <v>30</v>
      </c>
      <c r="R84" s="12" t="s">
        <v>99</v>
      </c>
      <c r="S84" s="12" t="s">
        <v>310</v>
      </c>
      <c r="T84" s="19">
        <v>1</v>
      </c>
      <c r="U84" s="32" t="s">
        <v>405</v>
      </c>
      <c r="V84" s="32" t="s">
        <v>399</v>
      </c>
      <c r="W84" s="20">
        <v>1</v>
      </c>
    </row>
    <row r="85" spans="1:23" ht="114.75">
      <c r="A85" s="9" t="s">
        <v>413</v>
      </c>
      <c r="B85" s="32" t="s">
        <v>414</v>
      </c>
      <c r="C85" s="32" t="s">
        <v>408</v>
      </c>
      <c r="D85" s="32" t="s">
        <v>415</v>
      </c>
      <c r="E85" s="11">
        <v>84</v>
      </c>
      <c r="F85" s="32" t="s">
        <v>416</v>
      </c>
      <c r="G85" s="21"/>
      <c r="H85" s="12"/>
      <c r="I85" s="11">
        <v>1</v>
      </c>
      <c r="J85" s="11" t="s">
        <v>108</v>
      </c>
      <c r="K85" s="15">
        <v>135000</v>
      </c>
      <c r="L85" s="16"/>
      <c r="M85" s="15">
        <v>135000</v>
      </c>
      <c r="N85" s="15">
        <v>135000</v>
      </c>
      <c r="O85" s="12" t="s">
        <v>29</v>
      </c>
      <c r="P85" s="18">
        <v>45440</v>
      </c>
      <c r="Q85" s="12" t="s">
        <v>30</v>
      </c>
      <c r="R85" s="12" t="s">
        <v>150</v>
      </c>
      <c r="S85" s="12" t="s">
        <v>310</v>
      </c>
      <c r="T85" s="19">
        <v>1</v>
      </c>
      <c r="U85" s="32" t="s">
        <v>405</v>
      </c>
      <c r="V85" s="32" t="s">
        <v>399</v>
      </c>
      <c r="W85" s="20">
        <v>1</v>
      </c>
    </row>
    <row r="86" spans="1:23" ht="114.75">
      <c r="A86" s="9" t="s">
        <v>417</v>
      </c>
      <c r="B86" s="32" t="s">
        <v>418</v>
      </c>
      <c r="C86" s="32" t="s">
        <v>408</v>
      </c>
      <c r="D86" s="32" t="s">
        <v>419</v>
      </c>
      <c r="E86" s="11">
        <v>85</v>
      </c>
      <c r="F86" s="32" t="s">
        <v>420</v>
      </c>
      <c r="G86" s="21"/>
      <c r="H86" s="12"/>
      <c r="I86" s="11">
        <v>755</v>
      </c>
      <c r="J86" s="11" t="s">
        <v>304</v>
      </c>
      <c r="K86" s="15">
        <v>471.58</v>
      </c>
      <c r="L86" s="16"/>
      <c r="M86" s="15">
        <v>356048.9</v>
      </c>
      <c r="N86" s="15">
        <v>356048.9</v>
      </c>
      <c r="O86" s="12" t="s">
        <v>29</v>
      </c>
      <c r="P86" s="18">
        <v>45636</v>
      </c>
      <c r="Q86" s="12" t="s">
        <v>30</v>
      </c>
      <c r="R86" s="12" t="s">
        <v>99</v>
      </c>
      <c r="S86" s="12" t="s">
        <v>310</v>
      </c>
      <c r="T86" s="19">
        <v>1</v>
      </c>
      <c r="U86" s="32" t="s">
        <v>405</v>
      </c>
      <c r="V86" s="32" t="s">
        <v>399</v>
      </c>
      <c r="W86" s="20">
        <v>1</v>
      </c>
    </row>
    <row r="87" spans="1:23" ht="114.75">
      <c r="A87" s="9" t="s">
        <v>421</v>
      </c>
      <c r="B87" s="32" t="s">
        <v>422</v>
      </c>
      <c r="C87" s="32" t="s">
        <v>95</v>
      </c>
      <c r="D87" s="32" t="s">
        <v>423</v>
      </c>
      <c r="E87" s="11">
        <v>86</v>
      </c>
      <c r="F87" s="32" t="s">
        <v>424</v>
      </c>
      <c r="G87" s="21"/>
      <c r="H87" s="12"/>
      <c r="I87" s="11">
        <v>1</v>
      </c>
      <c r="J87" s="11" t="s">
        <v>108</v>
      </c>
      <c r="K87" s="15">
        <v>580000</v>
      </c>
      <c r="L87" s="16"/>
      <c r="M87" s="15">
        <v>580000</v>
      </c>
      <c r="N87" s="15">
        <v>580000</v>
      </c>
      <c r="O87" s="12" t="s">
        <v>29</v>
      </c>
      <c r="P87" s="18">
        <v>45440</v>
      </c>
      <c r="Q87" s="12" t="s">
        <v>30</v>
      </c>
      <c r="R87" s="12" t="s">
        <v>150</v>
      </c>
      <c r="S87" s="12" t="s">
        <v>310</v>
      </c>
      <c r="T87" s="19">
        <v>1</v>
      </c>
      <c r="U87" s="32" t="s">
        <v>405</v>
      </c>
      <c r="V87" s="32" t="s">
        <v>399</v>
      </c>
      <c r="W87" s="20">
        <v>1</v>
      </c>
    </row>
    <row r="88" spans="1:23" ht="89.25">
      <c r="A88" s="9" t="s">
        <v>425</v>
      </c>
      <c r="B88" s="32" t="s">
        <v>426</v>
      </c>
      <c r="C88" s="32" t="s">
        <v>95</v>
      </c>
      <c r="D88" s="32" t="s">
        <v>427</v>
      </c>
      <c r="E88" s="11">
        <v>87</v>
      </c>
      <c r="F88" s="32" t="s">
        <v>426</v>
      </c>
      <c r="G88" s="21"/>
      <c r="H88" s="12"/>
      <c r="I88" s="11">
        <v>12</v>
      </c>
      <c r="J88" s="11" t="s">
        <v>108</v>
      </c>
      <c r="K88" s="15">
        <v>8333.33</v>
      </c>
      <c r="L88" s="16"/>
      <c r="M88" s="15">
        <v>100000</v>
      </c>
      <c r="N88" s="15">
        <v>100000</v>
      </c>
      <c r="O88" s="12" t="s">
        <v>29</v>
      </c>
      <c r="P88" s="18">
        <v>45292</v>
      </c>
      <c r="Q88" s="12" t="s">
        <v>428</v>
      </c>
      <c r="R88" s="12" t="s">
        <v>429</v>
      </c>
      <c r="S88" s="12" t="s">
        <v>32</v>
      </c>
      <c r="T88" s="19">
        <v>3</v>
      </c>
      <c r="U88" s="32" t="s">
        <v>101</v>
      </c>
      <c r="V88" s="32" t="s">
        <v>430</v>
      </c>
      <c r="W88" s="20">
        <v>1</v>
      </c>
    </row>
    <row r="89" spans="1:23" ht="102">
      <c r="A89" s="38" t="s">
        <v>431</v>
      </c>
      <c r="B89" s="22" t="s">
        <v>432</v>
      </c>
      <c r="C89" s="39" t="s">
        <v>433</v>
      </c>
      <c r="D89" s="22" t="s">
        <v>434</v>
      </c>
      <c r="E89" s="11">
        <v>88</v>
      </c>
      <c r="F89" s="22" t="s">
        <v>435</v>
      </c>
      <c r="G89" s="23">
        <v>27090</v>
      </c>
      <c r="H89" s="40"/>
      <c r="I89" s="41">
        <v>12</v>
      </c>
      <c r="J89" s="41" t="s">
        <v>108</v>
      </c>
      <c r="K89" s="42">
        <v>60730</v>
      </c>
      <c r="L89" s="42"/>
      <c r="M89" s="43">
        <v>728760</v>
      </c>
      <c r="N89" s="43">
        <v>728760</v>
      </c>
      <c r="O89" s="40" t="s">
        <v>29</v>
      </c>
      <c r="P89" s="44">
        <v>45292</v>
      </c>
      <c r="Q89" s="40" t="s">
        <v>30</v>
      </c>
      <c r="R89" s="40" t="s">
        <v>31</v>
      </c>
      <c r="S89" s="40" t="s">
        <v>144</v>
      </c>
      <c r="T89" s="45">
        <v>4</v>
      </c>
      <c r="U89" s="46" t="s">
        <v>436</v>
      </c>
      <c r="V89" s="46" t="s">
        <v>437</v>
      </c>
      <c r="W89" s="47">
        <v>1</v>
      </c>
    </row>
    <row r="90" spans="1:23" ht="63.75">
      <c r="A90" s="38" t="s">
        <v>438</v>
      </c>
      <c r="B90" s="24" t="s">
        <v>439</v>
      </c>
      <c r="C90" s="48" t="s">
        <v>440</v>
      </c>
      <c r="D90" s="24" t="s">
        <v>441</v>
      </c>
      <c r="E90" s="11">
        <v>89</v>
      </c>
      <c r="F90" s="24" t="s">
        <v>439</v>
      </c>
      <c r="G90" s="46">
        <v>1421</v>
      </c>
      <c r="H90" s="40"/>
      <c r="I90" s="41">
        <v>12</v>
      </c>
      <c r="J90" s="41" t="s">
        <v>108</v>
      </c>
      <c r="K90" s="42">
        <v>27532.080000000002</v>
      </c>
      <c r="L90" s="42"/>
      <c r="M90" s="43">
        <v>330385.01</v>
      </c>
      <c r="N90" s="43">
        <v>330385.01</v>
      </c>
      <c r="O90" s="40" t="s">
        <v>29</v>
      </c>
      <c r="P90" s="44">
        <v>45292</v>
      </c>
      <c r="Q90" s="40" t="s">
        <v>30</v>
      </c>
      <c r="R90" s="40" t="s">
        <v>31</v>
      </c>
      <c r="S90" s="40" t="s">
        <v>144</v>
      </c>
      <c r="T90" s="45">
        <v>4</v>
      </c>
      <c r="U90" s="46" t="s">
        <v>442</v>
      </c>
      <c r="V90" s="22" t="s">
        <v>443</v>
      </c>
      <c r="W90" s="47">
        <v>1</v>
      </c>
    </row>
    <row r="91" spans="1:23" ht="178.5">
      <c r="A91" s="38" t="s">
        <v>444</v>
      </c>
      <c r="B91" s="32" t="s">
        <v>445</v>
      </c>
      <c r="C91" s="49" t="s">
        <v>446</v>
      </c>
      <c r="D91" s="24" t="s">
        <v>441</v>
      </c>
      <c r="E91" s="11">
        <v>90</v>
      </c>
      <c r="F91" s="32" t="s">
        <v>447</v>
      </c>
      <c r="G91" s="11">
        <v>1421</v>
      </c>
      <c r="H91" s="12"/>
      <c r="I91" s="11">
        <v>12</v>
      </c>
      <c r="J91" s="11" t="s">
        <v>108</v>
      </c>
      <c r="K91" s="37">
        <v>6062.34</v>
      </c>
      <c r="L91" s="16"/>
      <c r="M91" s="17">
        <v>72748.08</v>
      </c>
      <c r="N91" s="17">
        <v>72748.08</v>
      </c>
      <c r="O91" s="12" t="s">
        <v>29</v>
      </c>
      <c r="P91" s="18">
        <v>45292</v>
      </c>
      <c r="Q91" s="12" t="s">
        <v>30</v>
      </c>
      <c r="R91" s="12" t="s">
        <v>31</v>
      </c>
      <c r="S91" s="12" t="s">
        <v>144</v>
      </c>
      <c r="T91" s="19">
        <v>4</v>
      </c>
      <c r="U91" s="26" t="s">
        <v>29</v>
      </c>
      <c r="V91" s="24" t="s">
        <v>448</v>
      </c>
      <c r="W91" s="20">
        <v>1</v>
      </c>
    </row>
    <row r="92" spans="1:23" ht="306">
      <c r="A92" s="38" t="s">
        <v>449</v>
      </c>
      <c r="B92" s="32" t="s">
        <v>450</v>
      </c>
      <c r="C92" s="49" t="s">
        <v>451</v>
      </c>
      <c r="D92" s="24" t="s">
        <v>452</v>
      </c>
      <c r="E92" s="11">
        <v>91</v>
      </c>
      <c r="F92" s="32" t="s">
        <v>453</v>
      </c>
      <c r="G92" s="32">
        <v>484747</v>
      </c>
      <c r="H92" s="12"/>
      <c r="I92" s="11">
        <v>1</v>
      </c>
      <c r="J92" s="11" t="s">
        <v>28</v>
      </c>
      <c r="K92" s="15">
        <v>11188.5</v>
      </c>
      <c r="L92" s="16"/>
      <c r="M92" s="17">
        <v>11188.5</v>
      </c>
      <c r="N92" s="17">
        <v>11188.5</v>
      </c>
      <c r="O92" s="12" t="s">
        <v>29</v>
      </c>
      <c r="P92" s="18">
        <v>45292</v>
      </c>
      <c r="Q92" s="12" t="s">
        <v>30</v>
      </c>
      <c r="R92" s="12" t="s">
        <v>31</v>
      </c>
      <c r="S92" s="12" t="s">
        <v>310</v>
      </c>
      <c r="T92" s="19">
        <v>4</v>
      </c>
      <c r="U92" s="26" t="s">
        <v>29</v>
      </c>
      <c r="V92" s="32" t="s">
        <v>454</v>
      </c>
      <c r="W92" s="20">
        <v>1</v>
      </c>
    </row>
    <row r="93" spans="1:23" ht="306">
      <c r="A93" s="38" t="s">
        <v>455</v>
      </c>
      <c r="B93" s="32" t="s">
        <v>450</v>
      </c>
      <c r="C93" s="49" t="s">
        <v>451</v>
      </c>
      <c r="D93" s="24" t="s">
        <v>452</v>
      </c>
      <c r="E93" s="11">
        <v>92</v>
      </c>
      <c r="F93" s="32" t="s">
        <v>456</v>
      </c>
      <c r="G93" s="32">
        <v>484747</v>
      </c>
      <c r="H93" s="12"/>
      <c r="I93" s="11">
        <v>8</v>
      </c>
      <c r="J93" s="11" t="s">
        <v>457</v>
      </c>
      <c r="K93" s="15">
        <v>7354.91</v>
      </c>
      <c r="L93" s="16"/>
      <c r="M93" s="17">
        <v>58839.28</v>
      </c>
      <c r="N93" s="17">
        <v>58839.28</v>
      </c>
      <c r="O93" s="12" t="s">
        <v>29</v>
      </c>
      <c r="P93" s="18">
        <v>45292</v>
      </c>
      <c r="Q93" s="12" t="s">
        <v>30</v>
      </c>
      <c r="R93" s="12" t="s">
        <v>31</v>
      </c>
      <c r="S93" s="12" t="s">
        <v>310</v>
      </c>
      <c r="T93" s="19">
        <v>4</v>
      </c>
      <c r="U93" s="26" t="s">
        <v>29</v>
      </c>
      <c r="V93" s="32" t="s">
        <v>454</v>
      </c>
      <c r="W93" s="20">
        <v>1</v>
      </c>
    </row>
    <row r="94" spans="1:23" ht="293.25">
      <c r="A94" s="38" t="s">
        <v>458</v>
      </c>
      <c r="B94" s="10" t="s">
        <v>459</v>
      </c>
      <c r="C94" s="10" t="s">
        <v>460</v>
      </c>
      <c r="D94" s="32" t="s">
        <v>461</v>
      </c>
      <c r="E94" s="11">
        <v>93</v>
      </c>
      <c r="F94" s="11" t="s">
        <v>462</v>
      </c>
      <c r="G94" s="32">
        <v>27618</v>
      </c>
      <c r="H94" s="12"/>
      <c r="I94" s="11">
        <v>30</v>
      </c>
      <c r="J94" s="11" t="s">
        <v>97</v>
      </c>
      <c r="K94" s="37">
        <v>16910</v>
      </c>
      <c r="L94" s="16"/>
      <c r="M94" s="17">
        <v>507300</v>
      </c>
      <c r="N94" s="17">
        <v>507300</v>
      </c>
      <c r="O94" s="12" t="s">
        <v>29</v>
      </c>
      <c r="P94" s="18">
        <v>45292</v>
      </c>
      <c r="Q94" s="12" t="s">
        <v>30</v>
      </c>
      <c r="R94" s="12" t="s">
        <v>99</v>
      </c>
      <c r="S94" s="12" t="s">
        <v>310</v>
      </c>
      <c r="T94" s="19">
        <v>3</v>
      </c>
      <c r="U94" s="32" t="s">
        <v>463</v>
      </c>
      <c r="V94" s="32" t="s">
        <v>464</v>
      </c>
      <c r="W94" s="20">
        <v>1</v>
      </c>
    </row>
    <row r="95" spans="1:23" ht="89.25">
      <c r="A95" s="38" t="s">
        <v>465</v>
      </c>
      <c r="B95" s="32" t="s">
        <v>466</v>
      </c>
      <c r="C95" s="32" t="s">
        <v>467</v>
      </c>
      <c r="D95" s="32" t="s">
        <v>468</v>
      </c>
      <c r="E95" s="11">
        <v>94</v>
      </c>
      <c r="F95" s="32" t="s">
        <v>469</v>
      </c>
      <c r="G95" s="32">
        <v>26484</v>
      </c>
      <c r="H95" s="12"/>
      <c r="I95" s="11">
        <v>12</v>
      </c>
      <c r="J95" s="11" t="s">
        <v>108</v>
      </c>
      <c r="K95" s="50">
        <v>42240</v>
      </c>
      <c r="L95" s="16"/>
      <c r="M95" s="17">
        <v>506880</v>
      </c>
      <c r="N95" s="17">
        <v>506880</v>
      </c>
      <c r="O95" s="12" t="s">
        <v>29</v>
      </c>
      <c r="P95" s="18">
        <v>45292</v>
      </c>
      <c r="Q95" s="12" t="s">
        <v>30</v>
      </c>
      <c r="R95" s="12" t="s">
        <v>31</v>
      </c>
      <c r="S95" s="12" t="s">
        <v>310</v>
      </c>
      <c r="T95" s="19">
        <v>4</v>
      </c>
      <c r="U95" s="51" t="s">
        <v>29</v>
      </c>
      <c r="V95" s="32" t="s">
        <v>470</v>
      </c>
      <c r="W95" s="20">
        <v>1</v>
      </c>
    </row>
    <row r="96" spans="1:23" ht="89.25">
      <c r="A96" s="38" t="s">
        <v>471</v>
      </c>
      <c r="B96" s="32" t="s">
        <v>472</v>
      </c>
      <c r="C96" s="32" t="s">
        <v>473</v>
      </c>
      <c r="D96" s="32" t="s">
        <v>468</v>
      </c>
      <c r="E96" s="11">
        <v>95</v>
      </c>
      <c r="F96" s="32" t="s">
        <v>474</v>
      </c>
      <c r="G96" s="32">
        <v>26484</v>
      </c>
      <c r="H96" s="12"/>
      <c r="I96" s="11">
        <v>12</v>
      </c>
      <c r="J96" s="11" t="s">
        <v>108</v>
      </c>
      <c r="K96" s="50">
        <v>385</v>
      </c>
      <c r="L96" s="16"/>
      <c r="M96" s="17">
        <v>4620</v>
      </c>
      <c r="N96" s="17">
        <v>4620</v>
      </c>
      <c r="O96" s="12" t="s">
        <v>29</v>
      </c>
      <c r="P96" s="18">
        <v>45292</v>
      </c>
      <c r="Q96" s="12" t="s">
        <v>47</v>
      </c>
      <c r="R96" s="12" t="s">
        <v>31</v>
      </c>
      <c r="S96" s="12" t="s">
        <v>117</v>
      </c>
      <c r="T96" s="19">
        <v>4</v>
      </c>
      <c r="U96" s="51" t="s">
        <v>29</v>
      </c>
      <c r="V96" s="32" t="s">
        <v>470</v>
      </c>
      <c r="W96" s="20">
        <v>1</v>
      </c>
    </row>
    <row r="97" spans="1:23" ht="76.5">
      <c r="A97" s="9" t="s">
        <v>475</v>
      </c>
      <c r="B97" s="32" t="s">
        <v>476</v>
      </c>
      <c r="C97" s="32" t="s">
        <v>477</v>
      </c>
      <c r="D97" s="32" t="s">
        <v>478</v>
      </c>
      <c r="E97" s="11">
        <v>96</v>
      </c>
      <c r="F97" s="10" t="s">
        <v>479</v>
      </c>
      <c r="G97" s="11"/>
      <c r="H97" s="12"/>
      <c r="I97" s="11">
        <v>12</v>
      </c>
      <c r="J97" s="11" t="s">
        <v>108</v>
      </c>
      <c r="K97" s="15">
        <v>36578.660000000003</v>
      </c>
      <c r="L97" s="16"/>
      <c r="M97" s="32">
        <v>438943.92</v>
      </c>
      <c r="N97" s="17">
        <v>438943.92</v>
      </c>
      <c r="O97" s="12" t="s">
        <v>29</v>
      </c>
      <c r="P97" s="18">
        <v>45298</v>
      </c>
      <c r="Q97" s="12" t="s">
        <v>30</v>
      </c>
      <c r="R97" s="12" t="s">
        <v>99</v>
      </c>
      <c r="S97" s="12" t="s">
        <v>117</v>
      </c>
      <c r="T97" s="19">
        <v>4</v>
      </c>
      <c r="U97" s="12" t="s">
        <v>29</v>
      </c>
      <c r="V97" s="32" t="s">
        <v>480</v>
      </c>
      <c r="W97" s="20">
        <v>1</v>
      </c>
    </row>
    <row r="98" spans="1:23" ht="153">
      <c r="A98" s="9" t="s">
        <v>481</v>
      </c>
      <c r="B98" s="32" t="s">
        <v>482</v>
      </c>
      <c r="C98" s="32" t="s">
        <v>483</v>
      </c>
      <c r="D98" s="32" t="s">
        <v>484</v>
      </c>
      <c r="E98" s="11">
        <v>97</v>
      </c>
      <c r="F98" s="32" t="s">
        <v>482</v>
      </c>
      <c r="G98" s="12"/>
      <c r="H98" s="12"/>
      <c r="I98" s="11">
        <v>1</v>
      </c>
      <c r="J98" s="11" t="s">
        <v>176</v>
      </c>
      <c r="K98" s="15">
        <v>0</v>
      </c>
      <c r="L98" s="16"/>
      <c r="M98" s="17">
        <v>0</v>
      </c>
      <c r="N98" s="17">
        <v>0</v>
      </c>
      <c r="O98" s="12" t="s">
        <v>29</v>
      </c>
      <c r="P98" s="18">
        <v>45565</v>
      </c>
      <c r="Q98" s="12" t="s">
        <v>47</v>
      </c>
      <c r="R98" s="12" t="s">
        <v>99</v>
      </c>
      <c r="S98" s="12" t="s">
        <v>48</v>
      </c>
      <c r="T98" s="19">
        <v>4</v>
      </c>
      <c r="U98" s="32" t="s">
        <v>485</v>
      </c>
      <c r="V98" s="32" t="s">
        <v>486</v>
      </c>
      <c r="W98" s="20">
        <v>1</v>
      </c>
    </row>
    <row r="99" spans="1:23" ht="229.5">
      <c r="A99" s="52" t="s">
        <v>487</v>
      </c>
      <c r="B99" s="10" t="s">
        <v>488</v>
      </c>
      <c r="C99" s="10" t="s">
        <v>105</v>
      </c>
      <c r="D99" s="32" t="s">
        <v>489</v>
      </c>
      <c r="E99" s="11">
        <v>98</v>
      </c>
      <c r="F99" s="32" t="s">
        <v>490</v>
      </c>
      <c r="G99" s="11"/>
      <c r="H99" s="12"/>
      <c r="I99" s="11">
        <v>1</v>
      </c>
      <c r="J99" s="11" t="s">
        <v>254</v>
      </c>
      <c r="K99" s="15">
        <v>0</v>
      </c>
      <c r="L99" s="16"/>
      <c r="M99" s="17">
        <v>0</v>
      </c>
      <c r="N99" s="17">
        <v>0</v>
      </c>
      <c r="O99" s="12" t="s">
        <v>29</v>
      </c>
      <c r="P99" s="18">
        <v>45298</v>
      </c>
      <c r="Q99" s="12" t="s">
        <v>47</v>
      </c>
      <c r="R99" s="12" t="s">
        <v>31</v>
      </c>
      <c r="S99" s="12" t="s">
        <v>48</v>
      </c>
      <c r="T99" s="19">
        <v>4</v>
      </c>
      <c r="U99" s="10" t="s">
        <v>485</v>
      </c>
      <c r="V99" s="32" t="s">
        <v>491</v>
      </c>
      <c r="W99" s="20">
        <v>1</v>
      </c>
    </row>
    <row r="100" spans="1:23" ht="216.75">
      <c r="A100" s="52" t="s">
        <v>492</v>
      </c>
      <c r="B100" s="32" t="s">
        <v>493</v>
      </c>
      <c r="C100" s="32" t="s">
        <v>494</v>
      </c>
      <c r="D100" s="32" t="s">
        <v>495</v>
      </c>
      <c r="E100" s="11">
        <v>99</v>
      </c>
      <c r="F100" s="32" t="s">
        <v>496</v>
      </c>
      <c r="G100" s="21"/>
      <c r="H100" s="12"/>
      <c r="I100" s="11">
        <v>7</v>
      </c>
      <c r="J100" s="11" t="s">
        <v>28</v>
      </c>
      <c r="K100" s="15">
        <v>0</v>
      </c>
      <c r="L100" s="16"/>
      <c r="M100" s="17">
        <v>0</v>
      </c>
      <c r="N100" s="17">
        <v>0</v>
      </c>
      <c r="O100" s="12" t="s">
        <v>29</v>
      </c>
      <c r="P100" s="18">
        <v>45298</v>
      </c>
      <c r="Q100" s="12" t="s">
        <v>30</v>
      </c>
      <c r="R100" s="12" t="s">
        <v>31</v>
      </c>
      <c r="S100" s="12" t="s">
        <v>32</v>
      </c>
      <c r="T100" s="19">
        <v>4</v>
      </c>
      <c r="U100" s="10" t="s">
        <v>485</v>
      </c>
      <c r="V100" s="32" t="s">
        <v>497</v>
      </c>
      <c r="W100" s="20">
        <v>1</v>
      </c>
    </row>
    <row r="101" spans="1:23" ht="216.75">
      <c r="A101" s="52" t="s">
        <v>498</v>
      </c>
      <c r="B101" s="32" t="s">
        <v>493</v>
      </c>
      <c r="C101" s="32" t="s">
        <v>494</v>
      </c>
      <c r="D101" s="32" t="s">
        <v>495</v>
      </c>
      <c r="E101" s="11">
        <v>100</v>
      </c>
      <c r="F101" s="34" t="s">
        <v>499</v>
      </c>
      <c r="G101" s="21"/>
      <c r="H101" s="12"/>
      <c r="I101" s="11">
        <v>2</v>
      </c>
      <c r="J101" s="11" t="s">
        <v>28</v>
      </c>
      <c r="K101" s="15">
        <v>0</v>
      </c>
      <c r="L101" s="16"/>
      <c r="M101" s="17">
        <v>0</v>
      </c>
      <c r="N101" s="17">
        <v>0</v>
      </c>
      <c r="O101" s="12" t="s">
        <v>29</v>
      </c>
      <c r="P101" s="18">
        <v>45298</v>
      </c>
      <c r="Q101" s="12" t="s">
        <v>30</v>
      </c>
      <c r="R101" s="12" t="s">
        <v>31</v>
      </c>
      <c r="S101" s="12" t="s">
        <v>32</v>
      </c>
      <c r="T101" s="19">
        <v>4</v>
      </c>
      <c r="U101" s="10" t="s">
        <v>485</v>
      </c>
      <c r="V101" s="32" t="s">
        <v>497</v>
      </c>
      <c r="W101" s="20">
        <v>1</v>
      </c>
    </row>
    <row r="102" spans="1:23" ht="216.75">
      <c r="A102" s="52" t="s">
        <v>500</v>
      </c>
      <c r="B102" s="32" t="s">
        <v>493</v>
      </c>
      <c r="C102" s="32" t="s">
        <v>494</v>
      </c>
      <c r="D102" s="32" t="s">
        <v>495</v>
      </c>
      <c r="E102" s="11">
        <v>101</v>
      </c>
      <c r="F102" s="34" t="s">
        <v>501</v>
      </c>
      <c r="G102" s="21"/>
      <c r="H102" s="12"/>
      <c r="I102" s="11">
        <v>2</v>
      </c>
      <c r="J102" s="11" t="s">
        <v>28</v>
      </c>
      <c r="K102" s="15">
        <v>0</v>
      </c>
      <c r="L102" s="16"/>
      <c r="M102" s="17">
        <v>0</v>
      </c>
      <c r="N102" s="17">
        <v>0</v>
      </c>
      <c r="O102" s="12" t="s">
        <v>29</v>
      </c>
      <c r="P102" s="18">
        <v>45298</v>
      </c>
      <c r="Q102" s="12" t="s">
        <v>30</v>
      </c>
      <c r="R102" s="12" t="s">
        <v>31</v>
      </c>
      <c r="S102" s="12" t="s">
        <v>32</v>
      </c>
      <c r="T102" s="19">
        <v>4</v>
      </c>
      <c r="U102" s="10" t="s">
        <v>485</v>
      </c>
      <c r="V102" s="32" t="s">
        <v>497</v>
      </c>
      <c r="W102" s="20">
        <v>1</v>
      </c>
    </row>
    <row r="103" spans="1:23" ht="76.5">
      <c r="A103" s="52" t="s">
        <v>502</v>
      </c>
      <c r="B103" s="10" t="s">
        <v>488</v>
      </c>
      <c r="C103" s="10" t="s">
        <v>105</v>
      </c>
      <c r="D103" s="31" t="s">
        <v>489</v>
      </c>
      <c r="E103" s="11">
        <v>102</v>
      </c>
      <c r="F103" s="10" t="s">
        <v>503</v>
      </c>
      <c r="G103" s="21">
        <v>442385</v>
      </c>
      <c r="H103" s="12"/>
      <c r="I103" s="11">
        <v>20</v>
      </c>
      <c r="J103" s="11" t="s">
        <v>46</v>
      </c>
      <c r="K103" s="15">
        <v>0</v>
      </c>
      <c r="L103" s="16"/>
      <c r="M103" s="17">
        <v>0</v>
      </c>
      <c r="N103" s="17">
        <v>0</v>
      </c>
      <c r="O103" s="12" t="s">
        <v>29</v>
      </c>
      <c r="P103" s="18">
        <v>45322</v>
      </c>
      <c r="Q103" s="12" t="s">
        <v>47</v>
      </c>
      <c r="R103" s="12" t="s">
        <v>31</v>
      </c>
      <c r="S103" s="12" t="s">
        <v>48</v>
      </c>
      <c r="T103" s="19">
        <v>4</v>
      </c>
      <c r="U103" s="10" t="s">
        <v>485</v>
      </c>
      <c r="V103" s="10" t="s">
        <v>504</v>
      </c>
      <c r="W103" s="20">
        <v>1</v>
      </c>
    </row>
    <row r="104" spans="1:23" ht="140.25">
      <c r="A104" s="52" t="s">
        <v>505</v>
      </c>
      <c r="B104" s="24" t="s">
        <v>506</v>
      </c>
      <c r="C104" s="24" t="s">
        <v>507</v>
      </c>
      <c r="D104" s="10" t="s">
        <v>238</v>
      </c>
      <c r="E104" s="11">
        <v>103</v>
      </c>
      <c r="F104" s="24" t="s">
        <v>506</v>
      </c>
      <c r="G104" s="11">
        <v>27863</v>
      </c>
      <c r="H104" s="12"/>
      <c r="I104" s="11">
        <v>12</v>
      </c>
      <c r="J104" s="11" t="s">
        <v>108</v>
      </c>
      <c r="K104" s="15">
        <v>1750</v>
      </c>
      <c r="L104" s="16"/>
      <c r="M104" s="17">
        <v>21000</v>
      </c>
      <c r="N104" s="17">
        <v>21000</v>
      </c>
      <c r="O104" s="12" t="s">
        <v>29</v>
      </c>
      <c r="P104" s="18">
        <v>45292</v>
      </c>
      <c r="Q104" s="12" t="s">
        <v>109</v>
      </c>
      <c r="R104" s="12" t="s">
        <v>31</v>
      </c>
      <c r="S104" s="12" t="s">
        <v>100</v>
      </c>
      <c r="T104" s="19">
        <v>4</v>
      </c>
      <c r="U104" s="24" t="s">
        <v>240</v>
      </c>
      <c r="V104" s="24" t="s">
        <v>256</v>
      </c>
      <c r="W104" s="20">
        <v>1</v>
      </c>
    </row>
    <row r="105" spans="1:23" ht="140.25">
      <c r="A105" s="52" t="s">
        <v>508</v>
      </c>
      <c r="B105" s="24" t="s">
        <v>509</v>
      </c>
      <c r="C105" s="24" t="s">
        <v>507</v>
      </c>
      <c r="D105" s="24" t="s">
        <v>510</v>
      </c>
      <c r="E105" s="11">
        <v>104</v>
      </c>
      <c r="F105" s="24" t="s">
        <v>509</v>
      </c>
      <c r="G105" s="12" t="s">
        <v>511</v>
      </c>
      <c r="H105" s="12"/>
      <c r="I105" s="11">
        <v>3</v>
      </c>
      <c r="J105" s="11" t="s">
        <v>108</v>
      </c>
      <c r="K105" s="15">
        <v>3645</v>
      </c>
      <c r="L105" s="16"/>
      <c r="M105" s="17">
        <v>10935</v>
      </c>
      <c r="N105" s="17">
        <v>10935</v>
      </c>
      <c r="O105" s="24" t="s">
        <v>29</v>
      </c>
      <c r="P105" s="18">
        <v>45402</v>
      </c>
      <c r="Q105" s="12" t="s">
        <v>512</v>
      </c>
      <c r="R105" s="12" t="s">
        <v>29</v>
      </c>
      <c r="S105" s="12" t="s">
        <v>48</v>
      </c>
      <c r="T105" s="19">
        <v>4</v>
      </c>
      <c r="U105" s="24" t="s">
        <v>513</v>
      </c>
      <c r="V105" s="24" t="s">
        <v>514</v>
      </c>
      <c r="W105" s="20">
        <v>1</v>
      </c>
    </row>
    <row r="106" spans="1:23" ht="140.25">
      <c r="A106" s="52" t="s">
        <v>515</v>
      </c>
      <c r="B106" s="27" t="s">
        <v>516</v>
      </c>
      <c r="C106" s="26" t="s">
        <v>517</v>
      </c>
      <c r="D106" s="26" t="s">
        <v>518</v>
      </c>
      <c r="E106" s="11">
        <v>105</v>
      </c>
      <c r="F106" s="24" t="s">
        <v>519</v>
      </c>
      <c r="G106" s="11">
        <v>445484</v>
      </c>
      <c r="H106" s="12"/>
      <c r="I106" s="11">
        <v>300</v>
      </c>
      <c r="J106" s="11" t="s">
        <v>28</v>
      </c>
      <c r="K106" s="15">
        <v>1.5</v>
      </c>
      <c r="L106" s="16"/>
      <c r="M106" s="17">
        <v>450</v>
      </c>
      <c r="N106" s="17">
        <v>450</v>
      </c>
      <c r="O106" s="12" t="s">
        <v>29</v>
      </c>
      <c r="P106" s="18">
        <v>45292</v>
      </c>
      <c r="Q106" s="12" t="s">
        <v>47</v>
      </c>
      <c r="R106" s="12" t="s">
        <v>31</v>
      </c>
      <c r="S106" s="12" t="s">
        <v>48</v>
      </c>
      <c r="T106" s="19">
        <v>4</v>
      </c>
      <c r="U106" s="22"/>
      <c r="V106" s="26" t="s">
        <v>520</v>
      </c>
      <c r="W106" s="20">
        <v>1</v>
      </c>
    </row>
    <row r="107" spans="1:23" ht="140.25">
      <c r="A107" s="52" t="s">
        <v>521</v>
      </c>
      <c r="B107" s="27" t="s">
        <v>516</v>
      </c>
      <c r="C107" s="26" t="s">
        <v>517</v>
      </c>
      <c r="D107" s="26" t="s">
        <v>518</v>
      </c>
      <c r="E107" s="11">
        <v>106</v>
      </c>
      <c r="F107" s="24" t="s">
        <v>522</v>
      </c>
      <c r="G107" s="11">
        <v>445485</v>
      </c>
      <c r="H107" s="12"/>
      <c r="I107" s="11">
        <v>360</v>
      </c>
      <c r="J107" s="11" t="s">
        <v>28</v>
      </c>
      <c r="K107" s="15">
        <v>13.75</v>
      </c>
      <c r="L107" s="16"/>
      <c r="M107" s="17">
        <v>4950</v>
      </c>
      <c r="N107" s="17">
        <v>4950</v>
      </c>
      <c r="O107" s="12" t="s">
        <v>29</v>
      </c>
      <c r="P107" s="18">
        <v>45292</v>
      </c>
      <c r="Q107" s="12" t="s">
        <v>47</v>
      </c>
      <c r="R107" s="12" t="s">
        <v>31</v>
      </c>
      <c r="S107" s="12" t="s">
        <v>48</v>
      </c>
      <c r="T107" s="19">
        <v>4</v>
      </c>
      <c r="U107" s="26"/>
      <c r="V107" s="26" t="s">
        <v>520</v>
      </c>
      <c r="W107" s="20">
        <v>1</v>
      </c>
    </row>
    <row r="108" spans="1:23" ht="140.25">
      <c r="A108" s="52" t="s">
        <v>523</v>
      </c>
      <c r="B108" s="27" t="s">
        <v>516</v>
      </c>
      <c r="C108" s="26" t="s">
        <v>517</v>
      </c>
      <c r="D108" s="26" t="s">
        <v>518</v>
      </c>
      <c r="E108" s="11">
        <v>107</v>
      </c>
      <c r="F108" s="24" t="s">
        <v>524</v>
      </c>
      <c r="G108" s="11">
        <v>407921</v>
      </c>
      <c r="H108" s="12"/>
      <c r="I108" s="11">
        <v>120</v>
      </c>
      <c r="J108" s="11" t="s">
        <v>525</v>
      </c>
      <c r="K108" s="15">
        <v>6.75</v>
      </c>
      <c r="L108" s="16"/>
      <c r="M108" s="17">
        <v>810</v>
      </c>
      <c r="N108" s="17">
        <v>810</v>
      </c>
      <c r="O108" s="12" t="s">
        <v>29</v>
      </c>
      <c r="P108" s="18">
        <v>45292</v>
      </c>
      <c r="Q108" s="12" t="s">
        <v>47</v>
      </c>
      <c r="R108" s="12" t="s">
        <v>31</v>
      </c>
      <c r="S108" s="12" t="s">
        <v>48</v>
      </c>
      <c r="T108" s="19">
        <v>4</v>
      </c>
      <c r="U108" s="26" t="s">
        <v>526</v>
      </c>
      <c r="V108" s="26" t="s">
        <v>520</v>
      </c>
      <c r="W108" s="20">
        <v>1</v>
      </c>
    </row>
    <row r="109" spans="1:23" ht="38.25">
      <c r="A109" s="52" t="s">
        <v>527</v>
      </c>
      <c r="B109" s="10" t="s">
        <v>528</v>
      </c>
      <c r="C109" s="10" t="s">
        <v>529</v>
      </c>
      <c r="D109" s="32" t="s">
        <v>530</v>
      </c>
      <c r="E109" s="11">
        <v>108</v>
      </c>
      <c r="F109" s="32" t="s">
        <v>528</v>
      </c>
      <c r="G109" s="21">
        <v>2952</v>
      </c>
      <c r="H109" s="12"/>
      <c r="I109" s="11">
        <v>2</v>
      </c>
      <c r="J109" s="11" t="s">
        <v>28</v>
      </c>
      <c r="K109" s="15">
        <v>8000</v>
      </c>
      <c r="L109" s="16"/>
      <c r="M109" s="17">
        <v>16000</v>
      </c>
      <c r="N109" s="17">
        <v>16000</v>
      </c>
      <c r="O109" s="12" t="s">
        <v>29</v>
      </c>
      <c r="P109" s="18">
        <v>45413</v>
      </c>
      <c r="Q109" s="12" t="s">
        <v>47</v>
      </c>
      <c r="R109" s="12" t="s">
        <v>31</v>
      </c>
      <c r="S109" s="12" t="s">
        <v>48</v>
      </c>
      <c r="T109" s="19">
        <v>4</v>
      </c>
      <c r="U109" s="10" t="s">
        <v>531</v>
      </c>
      <c r="V109" s="32" t="s">
        <v>532</v>
      </c>
      <c r="W109" s="20">
        <v>1</v>
      </c>
    </row>
    <row r="110" spans="1:23" ht="38.25">
      <c r="A110" s="52" t="s">
        <v>533</v>
      </c>
      <c r="B110" s="10" t="s">
        <v>534</v>
      </c>
      <c r="C110" s="10" t="s">
        <v>535</v>
      </c>
      <c r="D110" s="10" t="s">
        <v>536</v>
      </c>
      <c r="E110" s="11">
        <v>109</v>
      </c>
      <c r="F110" s="10" t="s">
        <v>537</v>
      </c>
      <c r="G110" s="21">
        <v>19810</v>
      </c>
      <c r="H110" s="12"/>
      <c r="I110" s="11">
        <v>2</v>
      </c>
      <c r="J110" s="11" t="s">
        <v>108</v>
      </c>
      <c r="K110" s="15">
        <v>3000</v>
      </c>
      <c r="L110" s="16"/>
      <c r="M110" s="17">
        <v>6000</v>
      </c>
      <c r="N110" s="17">
        <v>6000</v>
      </c>
      <c r="O110" s="12" t="s">
        <v>29</v>
      </c>
      <c r="P110" s="18">
        <v>45413</v>
      </c>
      <c r="Q110" s="12" t="s">
        <v>47</v>
      </c>
      <c r="R110" s="12" t="s">
        <v>99</v>
      </c>
      <c r="S110" s="12" t="s">
        <v>48</v>
      </c>
      <c r="T110" s="19">
        <v>4</v>
      </c>
      <c r="U110" s="10" t="s">
        <v>538</v>
      </c>
      <c r="V110" s="10" t="s">
        <v>539</v>
      </c>
      <c r="W110" s="20">
        <v>1</v>
      </c>
    </row>
    <row r="111" spans="1:23" ht="38.25">
      <c r="A111" s="52" t="s">
        <v>540</v>
      </c>
      <c r="B111" s="32" t="s">
        <v>541</v>
      </c>
      <c r="C111" s="32" t="s">
        <v>542</v>
      </c>
      <c r="D111" s="32" t="s">
        <v>543</v>
      </c>
      <c r="E111" s="11">
        <v>110</v>
      </c>
      <c r="F111" s="32" t="s">
        <v>544</v>
      </c>
      <c r="G111" s="21"/>
      <c r="H111" s="12"/>
      <c r="I111" s="11">
        <v>5</v>
      </c>
      <c r="J111" s="11" t="s">
        <v>28</v>
      </c>
      <c r="K111" s="15">
        <v>2200</v>
      </c>
      <c r="L111" s="16"/>
      <c r="M111" s="17">
        <v>11000</v>
      </c>
      <c r="N111" s="17">
        <v>11000</v>
      </c>
      <c r="O111" s="12" t="s">
        <v>29</v>
      </c>
      <c r="P111" s="18">
        <v>45413</v>
      </c>
      <c r="Q111" s="12" t="s">
        <v>47</v>
      </c>
      <c r="R111" s="12" t="s">
        <v>99</v>
      </c>
      <c r="S111" s="12" t="s">
        <v>48</v>
      </c>
      <c r="T111" s="19">
        <v>4</v>
      </c>
      <c r="U111" s="32" t="s">
        <v>545</v>
      </c>
      <c r="V111" s="46" t="s">
        <v>546</v>
      </c>
      <c r="W111" s="20">
        <v>1</v>
      </c>
    </row>
    <row r="112" spans="1:23" ht="76.5">
      <c r="A112" s="52" t="s">
        <v>547</v>
      </c>
      <c r="B112" s="32" t="s">
        <v>548</v>
      </c>
      <c r="C112" s="32" t="s">
        <v>549</v>
      </c>
      <c r="D112" s="32" t="s">
        <v>550</v>
      </c>
      <c r="E112" s="11">
        <v>111</v>
      </c>
      <c r="F112" s="32" t="s">
        <v>551</v>
      </c>
      <c r="G112" s="22"/>
      <c r="H112" s="12"/>
      <c r="I112" s="11">
        <v>1</v>
      </c>
      <c r="J112" s="11" t="s">
        <v>28</v>
      </c>
      <c r="K112" s="15">
        <v>20000</v>
      </c>
      <c r="L112" s="16"/>
      <c r="M112" s="17">
        <v>20000</v>
      </c>
      <c r="N112" s="17">
        <v>20000</v>
      </c>
      <c r="O112" s="12" t="s">
        <v>29</v>
      </c>
      <c r="P112" s="18">
        <v>45352</v>
      </c>
      <c r="Q112" s="12" t="s">
        <v>47</v>
      </c>
      <c r="R112" s="12" t="s">
        <v>99</v>
      </c>
      <c r="S112" s="12" t="s">
        <v>48</v>
      </c>
      <c r="T112" s="19">
        <v>4</v>
      </c>
      <c r="U112" s="32" t="s">
        <v>552</v>
      </c>
      <c r="V112" s="32" t="s">
        <v>553</v>
      </c>
      <c r="W112" s="20">
        <v>1</v>
      </c>
    </row>
    <row r="113" spans="1:23" ht="76.5">
      <c r="A113" s="52" t="s">
        <v>554</v>
      </c>
      <c r="B113" s="32" t="s">
        <v>555</v>
      </c>
      <c r="C113" s="32" t="s">
        <v>549</v>
      </c>
      <c r="D113" s="32" t="s">
        <v>556</v>
      </c>
      <c r="E113" s="11">
        <v>112</v>
      </c>
      <c r="F113" s="32" t="s">
        <v>557</v>
      </c>
      <c r="G113" s="22"/>
      <c r="H113" s="12"/>
      <c r="I113" s="11">
        <v>1</v>
      </c>
      <c r="J113" s="11" t="s">
        <v>28</v>
      </c>
      <c r="K113" s="15">
        <v>50000</v>
      </c>
      <c r="L113" s="16"/>
      <c r="M113" s="17">
        <v>50000</v>
      </c>
      <c r="N113" s="17">
        <v>50000</v>
      </c>
      <c r="O113" s="12" t="s">
        <v>29</v>
      </c>
      <c r="P113" s="18">
        <v>45413</v>
      </c>
      <c r="Q113" s="12" t="s">
        <v>47</v>
      </c>
      <c r="R113" s="12" t="s">
        <v>99</v>
      </c>
      <c r="S113" s="12" t="s">
        <v>48</v>
      </c>
      <c r="T113" s="19">
        <v>4</v>
      </c>
      <c r="U113" s="32" t="s">
        <v>558</v>
      </c>
      <c r="V113" s="32" t="s">
        <v>559</v>
      </c>
      <c r="W113" s="20">
        <v>1</v>
      </c>
    </row>
    <row r="114" spans="1:23" ht="51">
      <c r="A114" s="52" t="s">
        <v>560</v>
      </c>
      <c r="B114" s="32" t="s">
        <v>561</v>
      </c>
      <c r="C114" s="32" t="s">
        <v>549</v>
      </c>
      <c r="D114" s="32" t="s">
        <v>562</v>
      </c>
      <c r="E114" s="11">
        <v>113</v>
      </c>
      <c r="F114" s="32" t="s">
        <v>561</v>
      </c>
      <c r="G114" s="22"/>
      <c r="H114" s="12"/>
      <c r="I114" s="11">
        <v>1</v>
      </c>
      <c r="J114" s="11" t="s">
        <v>28</v>
      </c>
      <c r="K114" s="15">
        <v>100000</v>
      </c>
      <c r="L114" s="16"/>
      <c r="M114" s="17">
        <v>100000</v>
      </c>
      <c r="N114" s="17">
        <v>100000</v>
      </c>
      <c r="O114" s="12" t="s">
        <v>29</v>
      </c>
      <c r="P114" s="18">
        <v>45413</v>
      </c>
      <c r="Q114" s="12" t="s">
        <v>30</v>
      </c>
      <c r="R114" s="12" t="s">
        <v>31</v>
      </c>
      <c r="S114" s="12" t="s">
        <v>310</v>
      </c>
      <c r="T114" s="19">
        <v>3</v>
      </c>
      <c r="U114" s="32" t="s">
        <v>563</v>
      </c>
      <c r="V114" s="32" t="s">
        <v>564</v>
      </c>
      <c r="W114" s="20">
        <v>1</v>
      </c>
    </row>
    <row r="115" spans="1:23" ht="51">
      <c r="A115" s="52" t="s">
        <v>565</v>
      </c>
      <c r="B115" s="32" t="s">
        <v>566</v>
      </c>
      <c r="C115" s="32" t="s">
        <v>549</v>
      </c>
      <c r="D115" s="32" t="s">
        <v>562</v>
      </c>
      <c r="E115" s="11">
        <v>114</v>
      </c>
      <c r="F115" s="32" t="s">
        <v>566</v>
      </c>
      <c r="G115" s="22"/>
      <c r="H115" s="12"/>
      <c r="I115" s="11">
        <v>1</v>
      </c>
      <c r="J115" s="11" t="s">
        <v>457</v>
      </c>
      <c r="K115" s="15">
        <v>10000</v>
      </c>
      <c r="L115" s="22"/>
      <c r="M115" s="17">
        <v>10000</v>
      </c>
      <c r="N115" s="17">
        <v>10000</v>
      </c>
      <c r="O115" s="12" t="s">
        <v>29</v>
      </c>
      <c r="P115" s="18">
        <v>45413</v>
      </c>
      <c r="Q115" s="12" t="s">
        <v>47</v>
      </c>
      <c r="R115" s="12" t="s">
        <v>99</v>
      </c>
      <c r="S115" s="12" t="s">
        <v>567</v>
      </c>
      <c r="T115" s="19">
        <v>3</v>
      </c>
      <c r="U115" s="32" t="s">
        <v>568</v>
      </c>
      <c r="V115" s="32" t="s">
        <v>569</v>
      </c>
      <c r="W115" s="20">
        <v>1</v>
      </c>
    </row>
    <row r="116" spans="1:23" ht="38.25">
      <c r="A116" s="52" t="s">
        <v>570</v>
      </c>
      <c r="B116" s="32" t="s">
        <v>571</v>
      </c>
      <c r="C116" s="32" t="s">
        <v>549</v>
      </c>
      <c r="D116" s="32" t="s">
        <v>572</v>
      </c>
      <c r="E116" s="11">
        <v>115</v>
      </c>
      <c r="F116" s="32" t="s">
        <v>573</v>
      </c>
      <c r="G116" s="22"/>
      <c r="H116" s="12"/>
      <c r="I116" s="11">
        <v>12</v>
      </c>
      <c r="J116" s="11" t="s">
        <v>108</v>
      </c>
      <c r="K116" s="15">
        <v>1000</v>
      </c>
      <c r="L116" s="22"/>
      <c r="M116" s="17">
        <v>12000</v>
      </c>
      <c r="N116" s="17">
        <v>12000</v>
      </c>
      <c r="O116" s="12" t="s">
        <v>29</v>
      </c>
      <c r="P116" s="18">
        <v>45292</v>
      </c>
      <c r="Q116" s="12" t="s">
        <v>47</v>
      </c>
      <c r="R116" s="12" t="s">
        <v>31</v>
      </c>
      <c r="S116" s="12" t="s">
        <v>48</v>
      </c>
      <c r="T116" s="19">
        <v>3</v>
      </c>
      <c r="U116" s="32" t="s">
        <v>574</v>
      </c>
      <c r="V116" s="32" t="s">
        <v>575</v>
      </c>
      <c r="W116" s="20">
        <v>1</v>
      </c>
    </row>
    <row r="117" spans="1:23" ht="51">
      <c r="A117" s="52" t="s">
        <v>576</v>
      </c>
      <c r="B117" s="32" t="s">
        <v>577</v>
      </c>
      <c r="C117" s="32" t="s">
        <v>549</v>
      </c>
      <c r="D117" s="32" t="s">
        <v>578</v>
      </c>
      <c r="E117" s="11">
        <v>116</v>
      </c>
      <c r="F117" s="32" t="s">
        <v>579</v>
      </c>
      <c r="G117" s="22"/>
      <c r="H117" s="12"/>
      <c r="I117" s="11">
        <v>6</v>
      </c>
      <c r="J117" s="11" t="s">
        <v>28</v>
      </c>
      <c r="K117" s="15">
        <v>800</v>
      </c>
      <c r="L117" s="22"/>
      <c r="M117" s="17">
        <v>4800</v>
      </c>
      <c r="N117" s="17">
        <v>4800</v>
      </c>
      <c r="O117" s="12" t="s">
        <v>29</v>
      </c>
      <c r="P117" s="18">
        <v>45444</v>
      </c>
      <c r="Q117" s="12" t="s">
        <v>47</v>
      </c>
      <c r="R117" s="12" t="s">
        <v>99</v>
      </c>
      <c r="S117" s="12" t="s">
        <v>48</v>
      </c>
      <c r="T117" s="19">
        <v>3</v>
      </c>
      <c r="U117" s="32" t="s">
        <v>580</v>
      </c>
      <c r="V117" s="32" t="s">
        <v>581</v>
      </c>
      <c r="W117" s="20">
        <v>1</v>
      </c>
    </row>
    <row r="118" spans="1:23" ht="38.25">
      <c r="A118" s="52" t="s">
        <v>582</v>
      </c>
      <c r="B118" s="24" t="s">
        <v>583</v>
      </c>
      <c r="C118" s="10" t="s">
        <v>549</v>
      </c>
      <c r="D118" s="24" t="s">
        <v>584</v>
      </c>
      <c r="E118" s="11">
        <v>117</v>
      </c>
      <c r="F118" s="24" t="s">
        <v>585</v>
      </c>
      <c r="G118" s="21">
        <v>4120</v>
      </c>
      <c r="H118" s="12"/>
      <c r="I118" s="11">
        <v>12</v>
      </c>
      <c r="J118" s="11" t="s">
        <v>108</v>
      </c>
      <c r="K118" s="32">
        <v>5719.32</v>
      </c>
      <c r="L118" s="16"/>
      <c r="M118" s="17">
        <v>68631.839999999997</v>
      </c>
      <c r="N118" s="17">
        <v>68631.839999999997</v>
      </c>
      <c r="O118" s="12" t="s">
        <v>29</v>
      </c>
      <c r="P118" s="18">
        <v>45292</v>
      </c>
      <c r="Q118" s="12" t="s">
        <v>109</v>
      </c>
      <c r="R118" s="12" t="s">
        <v>31</v>
      </c>
      <c r="S118" s="12" t="s">
        <v>100</v>
      </c>
      <c r="T118" s="19">
        <v>4</v>
      </c>
      <c r="U118" s="26"/>
      <c r="V118" s="24" t="s">
        <v>586</v>
      </c>
      <c r="W118" s="20">
        <v>1</v>
      </c>
    </row>
    <row r="119" spans="1:23" ht="102">
      <c r="A119" s="52" t="s">
        <v>587</v>
      </c>
      <c r="B119" s="32" t="s">
        <v>588</v>
      </c>
      <c r="C119" s="32" t="s">
        <v>589</v>
      </c>
      <c r="D119" s="32" t="s">
        <v>590</v>
      </c>
      <c r="E119" s="11">
        <v>118</v>
      </c>
      <c r="F119" s="32" t="s">
        <v>591</v>
      </c>
      <c r="G119" s="21">
        <v>2801</v>
      </c>
      <c r="H119" s="12"/>
      <c r="I119" s="11">
        <v>12</v>
      </c>
      <c r="J119" s="11" t="s">
        <v>108</v>
      </c>
      <c r="K119" s="15">
        <v>1500</v>
      </c>
      <c r="L119" s="16"/>
      <c r="M119" s="17">
        <v>18000</v>
      </c>
      <c r="N119" s="17">
        <v>18000</v>
      </c>
      <c r="O119" s="12" t="s">
        <v>29</v>
      </c>
      <c r="P119" s="18">
        <v>45474</v>
      </c>
      <c r="Q119" s="12" t="s">
        <v>47</v>
      </c>
      <c r="R119" s="12" t="s">
        <v>99</v>
      </c>
      <c r="S119" s="12" t="s">
        <v>567</v>
      </c>
      <c r="T119" s="19">
        <v>4</v>
      </c>
      <c r="U119" s="32" t="s">
        <v>592</v>
      </c>
      <c r="V119" s="32" t="s">
        <v>593</v>
      </c>
      <c r="W119" s="20">
        <v>1</v>
      </c>
    </row>
    <row r="120" spans="1:23" ht="38.25">
      <c r="A120" s="52" t="s">
        <v>594</v>
      </c>
      <c r="B120" s="32" t="s">
        <v>595</v>
      </c>
      <c r="C120" s="32" t="s">
        <v>596</v>
      </c>
      <c r="D120" s="32" t="s">
        <v>597</v>
      </c>
      <c r="E120" s="11">
        <v>119</v>
      </c>
      <c r="F120" s="32" t="s">
        <v>598</v>
      </c>
      <c r="G120" s="21"/>
      <c r="H120" s="12"/>
      <c r="I120" s="11">
        <v>1</v>
      </c>
      <c r="J120" s="11" t="s">
        <v>176</v>
      </c>
      <c r="K120" s="15">
        <v>1200</v>
      </c>
      <c r="L120" s="16"/>
      <c r="M120" s="17">
        <v>1200</v>
      </c>
      <c r="N120" s="17">
        <v>1200</v>
      </c>
      <c r="O120" s="12" t="s">
        <v>29</v>
      </c>
      <c r="P120" s="18">
        <v>45292</v>
      </c>
      <c r="Q120" s="12" t="s">
        <v>599</v>
      </c>
      <c r="R120" s="12" t="s">
        <v>99</v>
      </c>
      <c r="S120" s="12" t="s">
        <v>48</v>
      </c>
      <c r="T120" s="19">
        <v>4</v>
      </c>
      <c r="U120" s="32" t="s">
        <v>600</v>
      </c>
      <c r="V120" s="32" t="s">
        <v>601</v>
      </c>
      <c r="W120" s="20">
        <v>1</v>
      </c>
    </row>
    <row r="121" spans="1:23" ht="38.25">
      <c r="A121" s="52" t="s">
        <v>602</v>
      </c>
      <c r="B121" s="32" t="s">
        <v>603</v>
      </c>
      <c r="C121" s="10" t="s">
        <v>549</v>
      </c>
      <c r="D121" s="24" t="s">
        <v>604</v>
      </c>
      <c r="E121" s="11">
        <v>120</v>
      </c>
      <c r="F121" s="24" t="s">
        <v>605</v>
      </c>
      <c r="G121" s="21">
        <v>4316</v>
      </c>
      <c r="H121" s="12"/>
      <c r="I121" s="11">
        <v>12</v>
      </c>
      <c r="J121" s="11" t="s">
        <v>108</v>
      </c>
      <c r="K121" s="15">
        <v>29000</v>
      </c>
      <c r="L121" s="16"/>
      <c r="M121" s="17">
        <v>348000</v>
      </c>
      <c r="N121" s="17">
        <v>348000</v>
      </c>
      <c r="O121" s="12" t="s">
        <v>29</v>
      </c>
      <c r="P121" s="18">
        <v>45292</v>
      </c>
      <c r="Q121" s="12" t="s">
        <v>109</v>
      </c>
      <c r="R121" s="12" t="s">
        <v>99</v>
      </c>
      <c r="S121" s="12" t="s">
        <v>100</v>
      </c>
      <c r="T121" s="19">
        <v>4</v>
      </c>
      <c r="U121" s="26"/>
      <c r="V121" s="32" t="s">
        <v>606</v>
      </c>
      <c r="W121" s="20">
        <v>1</v>
      </c>
    </row>
    <row r="122" spans="1:23" ht="102">
      <c r="A122" s="52" t="s">
        <v>607</v>
      </c>
      <c r="B122" s="32" t="s">
        <v>608</v>
      </c>
      <c r="C122" s="32" t="s">
        <v>609</v>
      </c>
      <c r="D122" s="32" t="s">
        <v>610</v>
      </c>
      <c r="E122" s="11">
        <v>121</v>
      </c>
      <c r="F122" s="32" t="s">
        <v>611</v>
      </c>
      <c r="G122" s="21"/>
      <c r="H122" s="12"/>
      <c r="I122" s="11">
        <v>1</v>
      </c>
      <c r="J122" s="11" t="s">
        <v>612</v>
      </c>
      <c r="K122" s="15">
        <v>6000</v>
      </c>
      <c r="L122" s="16"/>
      <c r="M122" s="17">
        <v>6000</v>
      </c>
      <c r="N122" s="17">
        <v>6000</v>
      </c>
      <c r="O122" s="12" t="s">
        <v>29</v>
      </c>
      <c r="P122" s="18">
        <v>45292</v>
      </c>
      <c r="Q122" s="12" t="s">
        <v>47</v>
      </c>
      <c r="R122" s="12" t="s">
        <v>99</v>
      </c>
      <c r="S122" s="12" t="s">
        <v>48</v>
      </c>
      <c r="T122" s="19">
        <v>4</v>
      </c>
      <c r="U122" s="32" t="s">
        <v>592</v>
      </c>
      <c r="V122" s="32" t="s">
        <v>593</v>
      </c>
      <c r="W122" s="20">
        <v>1</v>
      </c>
    </row>
    <row r="123" spans="1:23" ht="38.25">
      <c r="A123" s="52" t="s">
        <v>613</v>
      </c>
      <c r="B123" s="32" t="s">
        <v>614</v>
      </c>
      <c r="C123" s="32" t="s">
        <v>615</v>
      </c>
      <c r="D123" s="32" t="s">
        <v>616</v>
      </c>
      <c r="E123" s="11">
        <v>122</v>
      </c>
      <c r="F123" s="32" t="s">
        <v>617</v>
      </c>
      <c r="G123" s="21"/>
      <c r="H123" s="12"/>
      <c r="I123" s="11">
        <v>6</v>
      </c>
      <c r="J123" s="11" t="s">
        <v>28</v>
      </c>
      <c r="K123" s="15">
        <v>4121.49</v>
      </c>
      <c r="L123" s="16"/>
      <c r="M123" s="17">
        <v>24728.94</v>
      </c>
      <c r="N123" s="17">
        <v>24728.94</v>
      </c>
      <c r="O123" s="12" t="s">
        <v>29</v>
      </c>
      <c r="P123" s="18">
        <v>45627</v>
      </c>
      <c r="Q123" s="12" t="s">
        <v>47</v>
      </c>
      <c r="R123" s="12" t="s">
        <v>99</v>
      </c>
      <c r="S123" s="12" t="s">
        <v>48</v>
      </c>
      <c r="T123" s="19">
        <v>4</v>
      </c>
      <c r="U123" s="32" t="s">
        <v>600</v>
      </c>
      <c r="V123" s="32" t="s">
        <v>601</v>
      </c>
      <c r="W123" s="20">
        <v>1</v>
      </c>
    </row>
    <row r="124" spans="1:23" ht="38.25">
      <c r="A124" s="52" t="s">
        <v>618</v>
      </c>
      <c r="B124" s="32" t="s">
        <v>614</v>
      </c>
      <c r="C124" s="32" t="s">
        <v>615</v>
      </c>
      <c r="D124" s="32" t="s">
        <v>616</v>
      </c>
      <c r="E124" s="11">
        <v>123</v>
      </c>
      <c r="F124" s="32" t="s">
        <v>619</v>
      </c>
      <c r="G124" s="21"/>
      <c r="H124" s="12"/>
      <c r="I124" s="11">
        <v>6</v>
      </c>
      <c r="J124" s="11" t="s">
        <v>28</v>
      </c>
      <c r="K124" s="15">
        <v>3395</v>
      </c>
      <c r="L124" s="16"/>
      <c r="M124" s="17">
        <v>20370</v>
      </c>
      <c r="N124" s="17">
        <v>20370</v>
      </c>
      <c r="O124" s="12" t="s">
        <v>29</v>
      </c>
      <c r="P124" s="18">
        <v>45627</v>
      </c>
      <c r="Q124" s="12" t="s">
        <v>47</v>
      </c>
      <c r="R124" s="12" t="s">
        <v>404</v>
      </c>
      <c r="S124" s="12" t="s">
        <v>48</v>
      </c>
      <c r="T124" s="19">
        <v>4</v>
      </c>
      <c r="U124" s="32" t="s">
        <v>600</v>
      </c>
      <c r="V124" s="32" t="s">
        <v>601</v>
      </c>
      <c r="W124" s="20">
        <v>1</v>
      </c>
    </row>
    <row r="125" spans="1:23" ht="38.25">
      <c r="A125" s="52" t="s">
        <v>620</v>
      </c>
      <c r="B125" s="32" t="s">
        <v>621</v>
      </c>
      <c r="C125" s="32" t="s">
        <v>596</v>
      </c>
      <c r="D125" s="32" t="s">
        <v>616</v>
      </c>
      <c r="E125" s="11">
        <v>124</v>
      </c>
      <c r="F125" s="32" t="s">
        <v>622</v>
      </c>
      <c r="G125" s="21"/>
      <c r="H125" s="12"/>
      <c r="I125" s="11">
        <v>6</v>
      </c>
      <c r="J125" s="11" t="s">
        <v>28</v>
      </c>
      <c r="K125" s="15">
        <v>20</v>
      </c>
      <c r="L125" s="16"/>
      <c r="M125" s="17">
        <v>120</v>
      </c>
      <c r="N125" s="17">
        <v>120</v>
      </c>
      <c r="O125" s="12" t="s">
        <v>29</v>
      </c>
      <c r="P125" s="18">
        <v>45645</v>
      </c>
      <c r="Q125" s="12" t="s">
        <v>47</v>
      </c>
      <c r="R125" s="12" t="s">
        <v>99</v>
      </c>
      <c r="S125" s="12" t="s">
        <v>48</v>
      </c>
      <c r="T125" s="19">
        <v>4</v>
      </c>
      <c r="U125" s="32" t="s">
        <v>600</v>
      </c>
      <c r="V125" s="32" t="s">
        <v>601</v>
      </c>
      <c r="W125" s="20">
        <v>1</v>
      </c>
    </row>
    <row r="126" spans="1:23" ht="38.25">
      <c r="A126" s="52" t="s">
        <v>623</v>
      </c>
      <c r="B126" s="32" t="s">
        <v>621</v>
      </c>
      <c r="C126" s="32" t="s">
        <v>596</v>
      </c>
      <c r="D126" s="32" t="s">
        <v>616</v>
      </c>
      <c r="E126" s="11">
        <v>125</v>
      </c>
      <c r="F126" s="32" t="s">
        <v>624</v>
      </c>
      <c r="G126" s="21"/>
      <c r="H126" s="12"/>
      <c r="I126" s="11">
        <v>6</v>
      </c>
      <c r="J126" s="11" t="s">
        <v>457</v>
      </c>
      <c r="K126" s="15">
        <v>30</v>
      </c>
      <c r="L126" s="16"/>
      <c r="M126" s="17">
        <v>300</v>
      </c>
      <c r="N126" s="17">
        <v>300</v>
      </c>
      <c r="O126" s="12" t="s">
        <v>29</v>
      </c>
      <c r="P126" s="18">
        <v>45645</v>
      </c>
      <c r="Q126" s="12" t="s">
        <v>47</v>
      </c>
      <c r="R126" s="12" t="s">
        <v>99</v>
      </c>
      <c r="S126" s="12" t="s">
        <v>567</v>
      </c>
      <c r="T126" s="19">
        <v>4</v>
      </c>
      <c r="U126" s="32" t="s">
        <v>600</v>
      </c>
      <c r="V126" s="32" t="s">
        <v>601</v>
      </c>
      <c r="W126" s="20">
        <v>1</v>
      </c>
    </row>
    <row r="127" spans="1:23" ht="38.25">
      <c r="A127" s="52" t="s">
        <v>625</v>
      </c>
      <c r="B127" s="32" t="s">
        <v>626</v>
      </c>
      <c r="C127" s="32" t="s">
        <v>596</v>
      </c>
      <c r="D127" s="32" t="s">
        <v>627</v>
      </c>
      <c r="E127" s="11">
        <v>126</v>
      </c>
      <c r="F127" s="34" t="s">
        <v>628</v>
      </c>
      <c r="G127" s="10"/>
      <c r="H127" s="12"/>
      <c r="I127" s="11">
        <v>21</v>
      </c>
      <c r="J127" s="11" t="s">
        <v>629</v>
      </c>
      <c r="K127" s="15">
        <v>350</v>
      </c>
      <c r="L127" s="16"/>
      <c r="M127" s="17">
        <v>7350</v>
      </c>
      <c r="N127" s="17">
        <v>7350</v>
      </c>
      <c r="O127" s="12" t="s">
        <v>29</v>
      </c>
      <c r="P127" s="18">
        <v>45645</v>
      </c>
      <c r="Q127" s="12" t="s">
        <v>47</v>
      </c>
      <c r="R127" s="12" t="s">
        <v>99</v>
      </c>
      <c r="S127" s="12" t="s">
        <v>630</v>
      </c>
      <c r="T127" s="19">
        <v>4</v>
      </c>
      <c r="U127" s="32" t="s">
        <v>600</v>
      </c>
      <c r="V127" s="32" t="s">
        <v>601</v>
      </c>
      <c r="W127" s="20">
        <v>1</v>
      </c>
    </row>
    <row r="128" spans="1:23" ht="38.25">
      <c r="A128" s="52" t="s">
        <v>631</v>
      </c>
      <c r="B128" s="24" t="s">
        <v>632</v>
      </c>
      <c r="C128" s="10" t="s">
        <v>549</v>
      </c>
      <c r="D128" s="26" t="s">
        <v>633</v>
      </c>
      <c r="E128" s="11">
        <v>127</v>
      </c>
      <c r="F128" s="68"/>
      <c r="G128" s="68"/>
      <c r="H128" s="12"/>
      <c r="I128" s="11">
        <v>6</v>
      </c>
      <c r="J128" s="11" t="s">
        <v>28</v>
      </c>
      <c r="K128" s="15">
        <v>90</v>
      </c>
      <c r="L128" s="16"/>
      <c r="M128" s="17">
        <v>780</v>
      </c>
      <c r="N128" s="17">
        <v>780</v>
      </c>
      <c r="O128" s="12" t="s">
        <v>29</v>
      </c>
      <c r="P128" s="18">
        <v>45323</v>
      </c>
      <c r="Q128" s="12" t="s">
        <v>47</v>
      </c>
      <c r="R128" s="12" t="s">
        <v>31</v>
      </c>
      <c r="S128" s="12" t="s">
        <v>48</v>
      </c>
      <c r="T128" s="19">
        <v>3</v>
      </c>
      <c r="U128" s="26"/>
      <c r="V128" s="26" t="s">
        <v>634</v>
      </c>
      <c r="W128" s="20">
        <v>1</v>
      </c>
    </row>
    <row r="129" spans="1:23" ht="38.25">
      <c r="A129" s="52" t="s">
        <v>635</v>
      </c>
      <c r="B129" s="24" t="s">
        <v>632</v>
      </c>
      <c r="C129" s="10" t="s">
        <v>549</v>
      </c>
      <c r="D129" s="26" t="s">
        <v>633</v>
      </c>
      <c r="E129" s="11">
        <v>128</v>
      </c>
      <c r="F129" s="24" t="s">
        <v>636</v>
      </c>
      <c r="G129" s="11">
        <v>269330</v>
      </c>
      <c r="H129" s="12"/>
      <c r="I129" s="11">
        <v>6</v>
      </c>
      <c r="J129" s="11" t="s">
        <v>28</v>
      </c>
      <c r="K129" s="15">
        <v>80</v>
      </c>
      <c r="L129" s="16"/>
      <c r="M129" s="17">
        <v>780</v>
      </c>
      <c r="N129" s="17">
        <v>780</v>
      </c>
      <c r="O129" s="12" t="s">
        <v>29</v>
      </c>
      <c r="P129" s="18">
        <v>45323</v>
      </c>
      <c r="Q129" s="12" t="s">
        <v>47</v>
      </c>
      <c r="R129" s="12" t="s">
        <v>31</v>
      </c>
      <c r="S129" s="12" t="s">
        <v>48</v>
      </c>
      <c r="T129" s="19">
        <v>3</v>
      </c>
      <c r="U129" s="26"/>
      <c r="V129" s="26" t="s">
        <v>634</v>
      </c>
      <c r="W129" s="20">
        <v>1</v>
      </c>
    </row>
    <row r="130" spans="1:23" ht="51">
      <c r="A130" s="52" t="s">
        <v>637</v>
      </c>
      <c r="B130" s="32" t="s">
        <v>638</v>
      </c>
      <c r="C130" s="32" t="s">
        <v>639</v>
      </c>
      <c r="D130" s="32" t="s">
        <v>640</v>
      </c>
      <c r="E130" s="11">
        <v>129</v>
      </c>
      <c r="F130" s="32" t="s">
        <v>641</v>
      </c>
      <c r="G130" s="32">
        <v>440745</v>
      </c>
      <c r="H130" s="12"/>
      <c r="I130" s="11">
        <v>2</v>
      </c>
      <c r="J130" s="11" t="s">
        <v>457</v>
      </c>
      <c r="K130" s="15">
        <v>7649.1</v>
      </c>
      <c r="L130" s="16"/>
      <c r="M130" s="17">
        <v>15298</v>
      </c>
      <c r="N130" s="17">
        <v>15298</v>
      </c>
      <c r="O130" s="12" t="s">
        <v>31</v>
      </c>
      <c r="P130" s="18">
        <v>45536</v>
      </c>
      <c r="Q130" s="12" t="s">
        <v>47</v>
      </c>
      <c r="R130" s="12" t="s">
        <v>31</v>
      </c>
      <c r="S130" s="12" t="s">
        <v>48</v>
      </c>
      <c r="T130" s="19">
        <v>3</v>
      </c>
      <c r="U130" s="32" t="s">
        <v>642</v>
      </c>
      <c r="V130" s="32" t="s">
        <v>643</v>
      </c>
      <c r="W130" s="20">
        <v>1</v>
      </c>
    </row>
    <row r="131" spans="1:23" ht="51">
      <c r="A131" s="52" t="s">
        <v>644</v>
      </c>
      <c r="B131" s="32" t="s">
        <v>638</v>
      </c>
      <c r="C131" s="32" t="s">
        <v>639</v>
      </c>
      <c r="D131" s="32" t="s">
        <v>640</v>
      </c>
      <c r="E131" s="11">
        <v>130</v>
      </c>
      <c r="F131" s="32" t="s">
        <v>645</v>
      </c>
      <c r="G131" s="32">
        <v>440745</v>
      </c>
      <c r="H131" s="12"/>
      <c r="I131" s="11">
        <v>2</v>
      </c>
      <c r="J131" s="11" t="s">
        <v>28</v>
      </c>
      <c r="K131" s="15">
        <v>6647.17</v>
      </c>
      <c r="L131" s="16"/>
      <c r="M131" s="17">
        <v>13294.34</v>
      </c>
      <c r="N131" s="17">
        <v>13294.34</v>
      </c>
      <c r="O131" s="12" t="s">
        <v>31</v>
      </c>
      <c r="P131" s="18">
        <v>45536</v>
      </c>
      <c r="Q131" s="12" t="s">
        <v>47</v>
      </c>
      <c r="R131" s="12" t="s">
        <v>31</v>
      </c>
      <c r="S131" s="12" t="s">
        <v>48</v>
      </c>
      <c r="T131" s="19">
        <v>3</v>
      </c>
      <c r="U131" s="32" t="s">
        <v>642</v>
      </c>
      <c r="V131" s="32" t="s">
        <v>643</v>
      </c>
      <c r="W131" s="20">
        <v>1</v>
      </c>
    </row>
    <row r="132" spans="1:23" ht="76.5">
      <c r="A132" s="52" t="s">
        <v>646</v>
      </c>
      <c r="B132" s="32" t="s">
        <v>647</v>
      </c>
      <c r="C132" s="32" t="s">
        <v>609</v>
      </c>
      <c r="D132" s="32" t="s">
        <v>648</v>
      </c>
      <c r="E132" s="11">
        <v>131</v>
      </c>
      <c r="F132" s="32" t="s">
        <v>649</v>
      </c>
      <c r="G132" s="32"/>
      <c r="H132" s="12"/>
      <c r="I132" s="11">
        <v>1</v>
      </c>
      <c r="J132" s="11" t="s">
        <v>108</v>
      </c>
      <c r="K132" s="15">
        <v>4400</v>
      </c>
      <c r="L132" s="16"/>
      <c r="M132" s="17">
        <v>4400</v>
      </c>
      <c r="N132" s="17">
        <v>4400</v>
      </c>
      <c r="O132" s="12" t="s">
        <v>31</v>
      </c>
      <c r="P132" s="18">
        <v>45645</v>
      </c>
      <c r="Q132" s="12" t="s">
        <v>47</v>
      </c>
      <c r="R132" s="12" t="s">
        <v>31</v>
      </c>
      <c r="S132" s="12" t="s">
        <v>48</v>
      </c>
      <c r="T132" s="19">
        <v>3</v>
      </c>
      <c r="U132" s="32" t="s">
        <v>592</v>
      </c>
      <c r="V132" s="32" t="s">
        <v>650</v>
      </c>
      <c r="W132" s="20">
        <v>1</v>
      </c>
    </row>
    <row r="133" spans="1:23" ht="76.5">
      <c r="A133" s="52" t="s">
        <v>651</v>
      </c>
      <c r="B133" s="32" t="s">
        <v>652</v>
      </c>
      <c r="C133" s="32" t="s">
        <v>653</v>
      </c>
      <c r="D133" s="32" t="s">
        <v>654</v>
      </c>
      <c r="E133" s="11">
        <v>132</v>
      </c>
      <c r="F133" s="32" t="s">
        <v>655</v>
      </c>
      <c r="G133" s="32">
        <v>400047</v>
      </c>
      <c r="H133" s="12"/>
      <c r="I133" s="11">
        <v>1</v>
      </c>
      <c r="J133" s="11" t="s">
        <v>656</v>
      </c>
      <c r="K133" s="15">
        <v>997.5</v>
      </c>
      <c r="L133" s="16"/>
      <c r="M133" s="17">
        <v>997.5</v>
      </c>
      <c r="N133" s="17">
        <v>997.5</v>
      </c>
      <c r="O133" s="12" t="s">
        <v>31</v>
      </c>
      <c r="P133" s="18">
        <v>45323</v>
      </c>
      <c r="Q133" s="12" t="s">
        <v>47</v>
      </c>
      <c r="R133" s="12" t="s">
        <v>31</v>
      </c>
      <c r="S133" s="12" t="s">
        <v>48</v>
      </c>
      <c r="T133" s="19">
        <v>3</v>
      </c>
      <c r="U133" s="32" t="s">
        <v>592</v>
      </c>
      <c r="V133" s="32" t="s">
        <v>657</v>
      </c>
      <c r="W133" s="20">
        <v>1</v>
      </c>
    </row>
    <row r="134" spans="1:23" ht="51">
      <c r="A134" s="52" t="s">
        <v>658</v>
      </c>
      <c r="B134" s="32" t="s">
        <v>659</v>
      </c>
      <c r="C134" s="32" t="s">
        <v>660</v>
      </c>
      <c r="D134" s="32" t="s">
        <v>660</v>
      </c>
      <c r="E134" s="11">
        <v>133</v>
      </c>
      <c r="F134" s="32" t="s">
        <v>661</v>
      </c>
      <c r="G134" s="32"/>
      <c r="H134" s="12"/>
      <c r="I134" s="11">
        <v>1</v>
      </c>
      <c r="J134" s="11" t="s">
        <v>108</v>
      </c>
      <c r="K134" s="15">
        <v>1000</v>
      </c>
      <c r="L134" s="16"/>
      <c r="M134" s="17">
        <v>1000</v>
      </c>
      <c r="N134" s="17">
        <v>1000</v>
      </c>
      <c r="O134" s="12" t="s">
        <v>99</v>
      </c>
      <c r="P134" s="18">
        <v>45474</v>
      </c>
      <c r="Q134" s="12" t="s">
        <v>47</v>
      </c>
      <c r="R134" s="12" t="s">
        <v>99</v>
      </c>
      <c r="S134" s="12" t="s">
        <v>48</v>
      </c>
      <c r="T134" s="19">
        <v>3</v>
      </c>
      <c r="U134" s="32"/>
      <c r="V134" s="32" t="s">
        <v>662</v>
      </c>
      <c r="W134" s="20">
        <v>1</v>
      </c>
    </row>
    <row r="135" spans="1:23" ht="216.75">
      <c r="A135" s="52" t="s">
        <v>663</v>
      </c>
      <c r="B135" s="32" t="s">
        <v>664</v>
      </c>
      <c r="C135" s="32" t="s">
        <v>653</v>
      </c>
      <c r="D135" s="32" t="s">
        <v>665</v>
      </c>
      <c r="E135" s="11">
        <v>134</v>
      </c>
      <c r="F135" s="32" t="s">
        <v>664</v>
      </c>
      <c r="G135" s="32"/>
      <c r="H135" s="12"/>
      <c r="I135" s="11">
        <v>4</v>
      </c>
      <c r="J135" s="11" t="s">
        <v>28</v>
      </c>
      <c r="K135" s="15">
        <v>6105</v>
      </c>
      <c r="L135" s="16"/>
      <c r="M135" s="17">
        <v>24420</v>
      </c>
      <c r="N135" s="17">
        <v>24420</v>
      </c>
      <c r="O135" s="12" t="s">
        <v>31</v>
      </c>
      <c r="P135" s="18">
        <v>45323</v>
      </c>
      <c r="Q135" s="12" t="s">
        <v>599</v>
      </c>
      <c r="R135" s="12" t="s">
        <v>31</v>
      </c>
      <c r="S135" s="12" t="s">
        <v>48</v>
      </c>
      <c r="T135" s="19">
        <v>2</v>
      </c>
      <c r="U135" s="32" t="s">
        <v>600</v>
      </c>
      <c r="V135" s="32" t="s">
        <v>666</v>
      </c>
      <c r="W135" s="20">
        <v>1</v>
      </c>
    </row>
    <row r="136" spans="1:23" ht="38.25">
      <c r="A136" s="52" t="s">
        <v>667</v>
      </c>
      <c r="B136" s="24" t="s">
        <v>668</v>
      </c>
      <c r="C136" s="10" t="s">
        <v>549</v>
      </c>
      <c r="D136" s="32" t="s">
        <v>669</v>
      </c>
      <c r="E136" s="11">
        <v>135</v>
      </c>
      <c r="F136" s="24" t="s">
        <v>668</v>
      </c>
      <c r="G136" s="21">
        <v>4413</v>
      </c>
      <c r="H136" s="12"/>
      <c r="I136" s="11">
        <v>12</v>
      </c>
      <c r="J136" s="11" t="s">
        <v>108</v>
      </c>
      <c r="K136" s="15">
        <v>107.5</v>
      </c>
      <c r="L136" s="16"/>
      <c r="M136" s="17">
        <v>1290</v>
      </c>
      <c r="N136" s="17">
        <v>1290</v>
      </c>
      <c r="O136" s="12" t="s">
        <v>29</v>
      </c>
      <c r="P136" s="18">
        <v>45292</v>
      </c>
      <c r="Q136" s="12" t="s">
        <v>30</v>
      </c>
      <c r="R136" s="12" t="s">
        <v>99</v>
      </c>
      <c r="S136" s="12" t="s">
        <v>310</v>
      </c>
      <c r="T136" s="19">
        <v>2</v>
      </c>
      <c r="U136" s="26"/>
      <c r="V136" s="24" t="s">
        <v>670</v>
      </c>
      <c r="W136" s="20">
        <v>1</v>
      </c>
    </row>
    <row r="137" spans="1:23" ht="38.25">
      <c r="A137" s="52" t="s">
        <v>671</v>
      </c>
      <c r="B137" s="24" t="s">
        <v>672</v>
      </c>
      <c r="C137" s="10" t="s">
        <v>549</v>
      </c>
      <c r="D137" s="24" t="s">
        <v>673</v>
      </c>
      <c r="E137" s="11">
        <v>136</v>
      </c>
      <c r="F137" s="24" t="s">
        <v>672</v>
      </c>
      <c r="G137" s="21">
        <v>3417</v>
      </c>
      <c r="H137" s="12"/>
      <c r="I137" s="11">
        <v>1</v>
      </c>
      <c r="J137" s="11" t="s">
        <v>108</v>
      </c>
      <c r="K137" s="15">
        <v>2000</v>
      </c>
      <c r="L137" s="16"/>
      <c r="M137" s="17">
        <v>2000</v>
      </c>
      <c r="N137" s="17">
        <v>2000</v>
      </c>
      <c r="O137" s="12" t="s">
        <v>29</v>
      </c>
      <c r="P137" s="18">
        <v>45627</v>
      </c>
      <c r="Q137" s="12" t="s">
        <v>47</v>
      </c>
      <c r="R137" s="12" t="s">
        <v>99</v>
      </c>
      <c r="S137" s="12" t="s">
        <v>567</v>
      </c>
      <c r="T137" s="19">
        <v>2</v>
      </c>
      <c r="U137" s="26"/>
      <c r="V137" s="24" t="s">
        <v>674</v>
      </c>
      <c r="W137" s="20">
        <v>1</v>
      </c>
    </row>
    <row r="138" spans="1:23" ht="153">
      <c r="A138" s="52" t="s">
        <v>675</v>
      </c>
      <c r="B138" s="32" t="s">
        <v>676</v>
      </c>
      <c r="C138" s="32" t="s">
        <v>677</v>
      </c>
      <c r="D138" s="32" t="s">
        <v>678</v>
      </c>
      <c r="E138" s="11">
        <v>137</v>
      </c>
      <c r="F138" s="32" t="s">
        <v>679</v>
      </c>
      <c r="G138" s="21"/>
      <c r="H138" s="12"/>
      <c r="I138" s="11">
        <v>1</v>
      </c>
      <c r="J138" s="11" t="s">
        <v>28</v>
      </c>
      <c r="K138" s="15">
        <v>1000</v>
      </c>
      <c r="L138" s="16"/>
      <c r="M138" s="17">
        <v>1000</v>
      </c>
      <c r="N138" s="17">
        <v>1000</v>
      </c>
      <c r="O138" s="12" t="s">
        <v>31</v>
      </c>
      <c r="P138" s="18">
        <v>45649</v>
      </c>
      <c r="Q138" s="12" t="s">
        <v>47</v>
      </c>
      <c r="R138" s="12" t="s">
        <v>316</v>
      </c>
      <c r="S138" s="12" t="s">
        <v>48</v>
      </c>
      <c r="T138" s="19">
        <v>2</v>
      </c>
      <c r="U138" s="32" t="s">
        <v>680</v>
      </c>
      <c r="V138" s="32" t="s">
        <v>681</v>
      </c>
      <c r="W138" s="20">
        <v>1</v>
      </c>
    </row>
    <row r="139" spans="1:23" ht="165.75">
      <c r="A139" s="52" t="s">
        <v>682</v>
      </c>
      <c r="B139" s="32" t="s">
        <v>683</v>
      </c>
      <c r="C139" s="32" t="s">
        <v>677</v>
      </c>
      <c r="D139" s="32" t="s">
        <v>684</v>
      </c>
      <c r="E139" s="11">
        <v>138</v>
      </c>
      <c r="F139" s="32" t="s">
        <v>685</v>
      </c>
      <c r="G139" s="21"/>
      <c r="H139" s="12"/>
      <c r="I139" s="11">
        <v>1</v>
      </c>
      <c r="J139" s="11" t="s">
        <v>108</v>
      </c>
      <c r="K139" s="15">
        <v>300</v>
      </c>
      <c r="L139" s="16"/>
      <c r="M139" s="17">
        <v>300</v>
      </c>
      <c r="N139" s="17">
        <v>300</v>
      </c>
      <c r="O139" s="12" t="s">
        <v>31</v>
      </c>
      <c r="P139" s="18">
        <v>45649</v>
      </c>
      <c r="Q139" s="12" t="s">
        <v>47</v>
      </c>
      <c r="R139" s="12" t="s">
        <v>99</v>
      </c>
      <c r="S139" s="12" t="s">
        <v>48</v>
      </c>
      <c r="T139" s="19">
        <v>2</v>
      </c>
      <c r="U139" s="32" t="s">
        <v>680</v>
      </c>
      <c r="V139" s="32" t="s">
        <v>686</v>
      </c>
      <c r="W139" s="20">
        <v>1</v>
      </c>
    </row>
    <row r="140" spans="1:23" ht="63.75">
      <c r="A140" s="52" t="s">
        <v>687</v>
      </c>
      <c r="B140" s="24" t="s">
        <v>688</v>
      </c>
      <c r="C140" s="24" t="s">
        <v>689</v>
      </c>
      <c r="D140" s="26" t="s">
        <v>690</v>
      </c>
      <c r="E140" s="11">
        <v>139</v>
      </c>
      <c r="F140" s="32" t="s">
        <v>691</v>
      </c>
      <c r="G140" s="11">
        <v>445485</v>
      </c>
      <c r="H140" s="12"/>
      <c r="I140" s="11">
        <v>360</v>
      </c>
      <c r="J140" s="11" t="s">
        <v>28</v>
      </c>
      <c r="K140" s="15">
        <v>17</v>
      </c>
      <c r="L140" s="16"/>
      <c r="M140" s="17">
        <v>6120</v>
      </c>
      <c r="N140" s="17">
        <v>6120</v>
      </c>
      <c r="O140" s="12" t="s">
        <v>29</v>
      </c>
      <c r="P140" s="18">
        <v>45292</v>
      </c>
      <c r="Q140" s="12" t="s">
        <v>47</v>
      </c>
      <c r="R140" s="12" t="s">
        <v>31</v>
      </c>
      <c r="S140" s="12" t="s">
        <v>48</v>
      </c>
      <c r="T140" s="19">
        <v>4</v>
      </c>
      <c r="U140" s="26" t="s">
        <v>692</v>
      </c>
      <c r="V140" s="26" t="s">
        <v>693</v>
      </c>
      <c r="W140" s="20">
        <v>1</v>
      </c>
    </row>
    <row r="141" spans="1:23" ht="63.75">
      <c r="A141" s="52" t="s">
        <v>694</v>
      </c>
      <c r="B141" s="24" t="s">
        <v>688</v>
      </c>
      <c r="C141" s="24" t="s">
        <v>689</v>
      </c>
      <c r="D141" s="26" t="s">
        <v>690</v>
      </c>
      <c r="E141" s="11">
        <v>140</v>
      </c>
      <c r="F141" s="32" t="s">
        <v>695</v>
      </c>
      <c r="G141" s="11">
        <v>332641</v>
      </c>
      <c r="H141" s="12"/>
      <c r="I141" s="11">
        <v>240</v>
      </c>
      <c r="J141" s="11" t="s">
        <v>696</v>
      </c>
      <c r="K141" s="15">
        <v>3</v>
      </c>
      <c r="L141" s="16"/>
      <c r="M141" s="17">
        <v>720</v>
      </c>
      <c r="N141" s="17">
        <v>720</v>
      </c>
      <c r="O141" s="12" t="s">
        <v>29</v>
      </c>
      <c r="P141" s="18">
        <v>45292</v>
      </c>
      <c r="Q141" s="12" t="s">
        <v>47</v>
      </c>
      <c r="R141" s="12" t="s">
        <v>31</v>
      </c>
      <c r="S141" s="12" t="s">
        <v>48</v>
      </c>
      <c r="T141" s="19">
        <v>4</v>
      </c>
      <c r="U141" s="26" t="s">
        <v>692</v>
      </c>
      <c r="V141" s="26" t="s">
        <v>693</v>
      </c>
      <c r="W141" s="20">
        <v>1</v>
      </c>
    </row>
    <row r="142" spans="1:23" ht="102">
      <c r="A142" s="52" t="s">
        <v>697</v>
      </c>
      <c r="B142" s="24" t="s">
        <v>698</v>
      </c>
      <c r="C142" s="24" t="s">
        <v>699</v>
      </c>
      <c r="D142" s="24" t="s">
        <v>700</v>
      </c>
      <c r="E142" s="11">
        <v>141</v>
      </c>
      <c r="F142" s="32" t="s">
        <v>701</v>
      </c>
      <c r="G142" s="11">
        <v>4316</v>
      </c>
      <c r="H142" s="12"/>
      <c r="I142" s="11">
        <v>12</v>
      </c>
      <c r="J142" s="11" t="s">
        <v>108</v>
      </c>
      <c r="K142" s="50">
        <v>16621.27</v>
      </c>
      <c r="L142" s="16"/>
      <c r="M142" s="17">
        <v>199455.24</v>
      </c>
      <c r="N142" s="17">
        <v>199455.24</v>
      </c>
      <c r="O142" s="12" t="s">
        <v>29</v>
      </c>
      <c r="P142" s="18">
        <v>45292</v>
      </c>
      <c r="Q142" s="12" t="s">
        <v>109</v>
      </c>
      <c r="R142" s="12" t="s">
        <v>99</v>
      </c>
      <c r="S142" s="12" t="s">
        <v>100</v>
      </c>
      <c r="T142" s="19">
        <v>4</v>
      </c>
      <c r="U142" s="26" t="s">
        <v>29</v>
      </c>
      <c r="V142" s="24" t="s">
        <v>702</v>
      </c>
      <c r="W142" s="20">
        <v>1</v>
      </c>
    </row>
    <row r="143" spans="1:23" ht="38.25">
      <c r="A143" s="52" t="s">
        <v>703</v>
      </c>
      <c r="B143" s="24" t="s">
        <v>704</v>
      </c>
      <c r="C143" s="24" t="s">
        <v>705</v>
      </c>
      <c r="D143" s="24" t="s">
        <v>706</v>
      </c>
      <c r="E143" s="11">
        <v>142</v>
      </c>
      <c r="F143" s="32" t="s">
        <v>707</v>
      </c>
      <c r="G143" s="11">
        <v>4120</v>
      </c>
      <c r="H143" s="12"/>
      <c r="I143" s="11">
        <v>12</v>
      </c>
      <c r="J143" s="11" t="s">
        <v>108</v>
      </c>
      <c r="K143" s="15">
        <v>10560</v>
      </c>
      <c r="L143" s="16"/>
      <c r="M143" s="17">
        <v>126720</v>
      </c>
      <c r="N143" s="17">
        <v>126720</v>
      </c>
      <c r="O143" s="12" t="s">
        <v>29</v>
      </c>
      <c r="P143" s="18">
        <v>45292</v>
      </c>
      <c r="Q143" s="12" t="s">
        <v>109</v>
      </c>
      <c r="R143" s="12" t="s">
        <v>99</v>
      </c>
      <c r="S143" s="24" t="s">
        <v>100</v>
      </c>
      <c r="T143" s="19">
        <v>4</v>
      </c>
      <c r="U143" s="26" t="s">
        <v>29</v>
      </c>
      <c r="V143" s="24" t="s">
        <v>708</v>
      </c>
      <c r="W143" s="20">
        <v>1</v>
      </c>
    </row>
    <row r="144" spans="1:23" ht="38.25">
      <c r="A144" s="52" t="s">
        <v>709</v>
      </c>
      <c r="B144" s="10" t="s">
        <v>710</v>
      </c>
      <c r="C144" s="10" t="s">
        <v>689</v>
      </c>
      <c r="D144" s="10" t="s">
        <v>711</v>
      </c>
      <c r="E144" s="11">
        <v>143</v>
      </c>
      <c r="F144" s="32" t="s">
        <v>712</v>
      </c>
      <c r="G144" s="11">
        <v>2356</v>
      </c>
      <c r="H144" s="12"/>
      <c r="I144" s="11">
        <v>1</v>
      </c>
      <c r="J144" s="11" t="s">
        <v>108</v>
      </c>
      <c r="K144" s="15">
        <v>9000</v>
      </c>
      <c r="L144" s="16"/>
      <c r="M144" s="17">
        <v>9000</v>
      </c>
      <c r="N144" s="17">
        <v>9000</v>
      </c>
      <c r="O144" s="12" t="s">
        <v>29</v>
      </c>
      <c r="P144" s="18">
        <v>45474</v>
      </c>
      <c r="Q144" s="12" t="s">
        <v>47</v>
      </c>
      <c r="R144" s="12" t="s">
        <v>99</v>
      </c>
      <c r="S144" s="12" t="s">
        <v>48</v>
      </c>
      <c r="T144" s="19">
        <v>3</v>
      </c>
      <c r="U144" s="10" t="s">
        <v>713</v>
      </c>
      <c r="V144" s="10" t="s">
        <v>714</v>
      </c>
      <c r="W144" s="20">
        <v>1</v>
      </c>
    </row>
    <row r="145" spans="1:23" ht="102">
      <c r="A145" s="52" t="s">
        <v>715</v>
      </c>
      <c r="B145" s="24" t="s">
        <v>716</v>
      </c>
      <c r="C145" s="24" t="s">
        <v>589</v>
      </c>
      <c r="D145" s="24" t="s">
        <v>590</v>
      </c>
      <c r="E145" s="11">
        <v>144</v>
      </c>
      <c r="F145" s="27" t="s">
        <v>717</v>
      </c>
      <c r="G145" s="12" t="s">
        <v>718</v>
      </c>
      <c r="H145" s="12"/>
      <c r="I145" s="11">
        <v>3</v>
      </c>
      <c r="J145" s="11" t="s">
        <v>108</v>
      </c>
      <c r="K145" s="15">
        <v>5080</v>
      </c>
      <c r="L145" s="16"/>
      <c r="M145" s="17">
        <v>15240</v>
      </c>
      <c r="N145" s="17">
        <v>15240</v>
      </c>
      <c r="O145" s="12" t="s">
        <v>29</v>
      </c>
      <c r="P145" s="18">
        <v>45292</v>
      </c>
      <c r="Q145" s="12" t="s">
        <v>47</v>
      </c>
      <c r="R145" s="12" t="s">
        <v>99</v>
      </c>
      <c r="S145" s="12" t="s">
        <v>48</v>
      </c>
      <c r="T145" s="19">
        <v>3</v>
      </c>
      <c r="U145" s="24" t="s">
        <v>719</v>
      </c>
      <c r="V145" s="24" t="s">
        <v>593</v>
      </c>
      <c r="W145" s="20">
        <v>1</v>
      </c>
    </row>
    <row r="146" spans="1:23" ht="63.75">
      <c r="A146" s="53" t="s">
        <v>720</v>
      </c>
      <c r="B146" s="24" t="s">
        <v>721</v>
      </c>
      <c r="C146" s="24" t="s">
        <v>549</v>
      </c>
      <c r="D146" s="24" t="s">
        <v>722</v>
      </c>
      <c r="E146" s="11">
        <v>145</v>
      </c>
      <c r="F146" s="24" t="s">
        <v>721</v>
      </c>
      <c r="G146" s="11">
        <v>26522</v>
      </c>
      <c r="H146" s="12"/>
      <c r="I146" s="11">
        <v>12</v>
      </c>
      <c r="J146" s="11" t="s">
        <v>108</v>
      </c>
      <c r="K146" s="15">
        <v>500</v>
      </c>
      <c r="L146" s="16"/>
      <c r="M146" s="17">
        <v>6000</v>
      </c>
      <c r="N146" s="17">
        <v>6000</v>
      </c>
      <c r="O146" s="12" t="s">
        <v>29</v>
      </c>
      <c r="P146" s="18">
        <v>45394</v>
      </c>
      <c r="Q146" s="12" t="s">
        <v>47</v>
      </c>
      <c r="R146" s="12" t="s">
        <v>99</v>
      </c>
      <c r="S146" s="12" t="s">
        <v>48</v>
      </c>
      <c r="T146" s="19">
        <v>3</v>
      </c>
      <c r="U146" s="26" t="s">
        <v>29</v>
      </c>
      <c r="V146" s="24" t="s">
        <v>723</v>
      </c>
      <c r="W146" s="20">
        <v>1</v>
      </c>
    </row>
    <row r="147" spans="1:23" ht="38.25">
      <c r="A147" s="52" t="s">
        <v>724</v>
      </c>
      <c r="B147" s="24" t="s">
        <v>725</v>
      </c>
      <c r="C147" s="24" t="s">
        <v>549</v>
      </c>
      <c r="D147" s="24" t="s">
        <v>726</v>
      </c>
      <c r="E147" s="11">
        <v>146</v>
      </c>
      <c r="F147" s="24" t="s">
        <v>725</v>
      </c>
      <c r="G147" s="11">
        <v>3557</v>
      </c>
      <c r="H147" s="12"/>
      <c r="I147" s="11">
        <v>12</v>
      </c>
      <c r="J147" s="11" t="s">
        <v>108</v>
      </c>
      <c r="K147" s="15">
        <v>1900</v>
      </c>
      <c r="L147" s="16"/>
      <c r="M147" s="17">
        <v>22800</v>
      </c>
      <c r="N147" s="17">
        <v>22800</v>
      </c>
      <c r="O147" s="12" t="s">
        <v>29</v>
      </c>
      <c r="P147" s="18">
        <v>45292</v>
      </c>
      <c r="Q147" s="12" t="s">
        <v>47</v>
      </c>
      <c r="R147" s="12" t="s">
        <v>31</v>
      </c>
      <c r="S147" s="12" t="s">
        <v>117</v>
      </c>
      <c r="T147" s="19">
        <v>4</v>
      </c>
      <c r="U147" s="26" t="s">
        <v>29</v>
      </c>
      <c r="V147" s="24" t="s">
        <v>727</v>
      </c>
      <c r="W147" s="20">
        <v>1</v>
      </c>
    </row>
    <row r="148" spans="1:23" ht="63.75">
      <c r="A148" s="52" t="s">
        <v>728</v>
      </c>
      <c r="B148" s="27" t="s">
        <v>729</v>
      </c>
      <c r="C148" s="26" t="s">
        <v>689</v>
      </c>
      <c r="D148" s="26" t="s">
        <v>730</v>
      </c>
      <c r="E148" s="11">
        <v>147</v>
      </c>
      <c r="F148" s="27" t="s">
        <v>731</v>
      </c>
      <c r="G148" s="11">
        <v>217773</v>
      </c>
      <c r="H148" s="12"/>
      <c r="I148" s="11">
        <v>1</v>
      </c>
      <c r="J148" s="11" t="s">
        <v>254</v>
      </c>
      <c r="K148" s="15">
        <v>9500</v>
      </c>
      <c r="L148" s="16"/>
      <c r="M148" s="17">
        <v>9500</v>
      </c>
      <c r="N148" s="17">
        <v>9500</v>
      </c>
      <c r="O148" s="12" t="s">
        <v>29</v>
      </c>
      <c r="P148" s="18">
        <v>45292</v>
      </c>
      <c r="Q148" s="12" t="s">
        <v>47</v>
      </c>
      <c r="R148" s="12" t="s">
        <v>31</v>
      </c>
      <c r="S148" s="12" t="s">
        <v>48</v>
      </c>
      <c r="T148" s="19">
        <v>4</v>
      </c>
      <c r="U148" s="26" t="s">
        <v>29</v>
      </c>
      <c r="V148" s="26" t="s">
        <v>732</v>
      </c>
      <c r="W148" s="20">
        <v>1</v>
      </c>
    </row>
    <row r="149" spans="1:23" ht="38.25">
      <c r="A149" s="52" t="s">
        <v>733</v>
      </c>
      <c r="B149" s="24" t="s">
        <v>734</v>
      </c>
      <c r="C149" s="24" t="s">
        <v>549</v>
      </c>
      <c r="D149" s="24" t="s">
        <v>735</v>
      </c>
      <c r="E149" s="11">
        <v>148</v>
      </c>
      <c r="F149" s="24" t="s">
        <v>734</v>
      </c>
      <c r="G149" s="12" t="s">
        <v>736</v>
      </c>
      <c r="H149" s="12"/>
      <c r="I149" s="11">
        <v>12</v>
      </c>
      <c r="J149" s="11" t="s">
        <v>108</v>
      </c>
      <c r="K149" s="15">
        <v>4500</v>
      </c>
      <c r="L149" s="16"/>
      <c r="M149" s="17">
        <v>54000</v>
      </c>
      <c r="N149" s="17">
        <v>54000</v>
      </c>
      <c r="O149" s="12" t="s">
        <v>29</v>
      </c>
      <c r="P149" s="18">
        <v>45292</v>
      </c>
      <c r="Q149" s="12" t="s">
        <v>30</v>
      </c>
      <c r="R149" s="12" t="s">
        <v>99</v>
      </c>
      <c r="S149" s="12" t="s">
        <v>117</v>
      </c>
      <c r="T149" s="19">
        <v>4</v>
      </c>
      <c r="U149" s="26" t="s">
        <v>29</v>
      </c>
      <c r="V149" s="24" t="s">
        <v>737</v>
      </c>
      <c r="W149" s="20">
        <v>1</v>
      </c>
    </row>
    <row r="150" spans="1:23" ht="38.25">
      <c r="A150" s="52" t="s">
        <v>738</v>
      </c>
      <c r="B150" s="24" t="s">
        <v>739</v>
      </c>
      <c r="C150" s="24" t="s">
        <v>549</v>
      </c>
      <c r="D150" s="24" t="s">
        <v>740</v>
      </c>
      <c r="E150" s="11">
        <v>149</v>
      </c>
      <c r="F150" s="24" t="s">
        <v>739</v>
      </c>
      <c r="G150" s="12" t="s">
        <v>741</v>
      </c>
      <c r="H150" s="12"/>
      <c r="I150" s="11">
        <v>12</v>
      </c>
      <c r="J150" s="11" t="s">
        <v>108</v>
      </c>
      <c r="K150" s="15">
        <v>5500</v>
      </c>
      <c r="L150" s="16"/>
      <c r="M150" s="54">
        <v>66000</v>
      </c>
      <c r="N150" s="54">
        <v>66000</v>
      </c>
      <c r="O150" s="12" t="s">
        <v>29</v>
      </c>
      <c r="P150" s="18">
        <v>45292</v>
      </c>
      <c r="Q150" s="12" t="s">
        <v>109</v>
      </c>
      <c r="R150" s="12" t="s">
        <v>99</v>
      </c>
      <c r="S150" s="12" t="s">
        <v>100</v>
      </c>
      <c r="T150" s="19">
        <v>4</v>
      </c>
      <c r="U150" s="26" t="s">
        <v>29</v>
      </c>
      <c r="V150" s="24" t="s">
        <v>742</v>
      </c>
      <c r="W150" s="20">
        <v>1</v>
      </c>
    </row>
    <row r="151" spans="1:23" ht="63.75">
      <c r="A151" s="52" t="s">
        <v>743</v>
      </c>
      <c r="B151" s="24" t="s">
        <v>744</v>
      </c>
      <c r="C151" s="24" t="s">
        <v>745</v>
      </c>
      <c r="D151" s="24" t="s">
        <v>746</v>
      </c>
      <c r="E151" s="11">
        <v>150</v>
      </c>
      <c r="F151" s="24" t="s">
        <v>744</v>
      </c>
      <c r="G151" s="11">
        <v>301873</v>
      </c>
      <c r="H151" s="12"/>
      <c r="I151" s="52">
        <v>50</v>
      </c>
      <c r="J151" s="11" t="s">
        <v>747</v>
      </c>
      <c r="K151" s="15">
        <v>30</v>
      </c>
      <c r="L151" s="16"/>
      <c r="M151" s="17">
        <v>1500</v>
      </c>
      <c r="N151" s="17">
        <v>1500</v>
      </c>
      <c r="O151" s="12" t="s">
        <v>29</v>
      </c>
      <c r="P151" s="18">
        <v>45292</v>
      </c>
      <c r="Q151" s="12" t="s">
        <v>47</v>
      </c>
      <c r="R151" s="12" t="s">
        <v>31</v>
      </c>
      <c r="S151" s="12" t="s">
        <v>48</v>
      </c>
      <c r="T151" s="19">
        <v>4</v>
      </c>
      <c r="U151" s="26" t="s">
        <v>29</v>
      </c>
      <c r="V151" s="24" t="s">
        <v>748</v>
      </c>
      <c r="W151" s="20">
        <v>1</v>
      </c>
    </row>
    <row r="152" spans="1:23" ht="51">
      <c r="A152" s="52" t="s">
        <v>749</v>
      </c>
      <c r="B152" s="24" t="s">
        <v>750</v>
      </c>
      <c r="C152" s="24" t="s">
        <v>549</v>
      </c>
      <c r="D152" s="24" t="s">
        <v>751</v>
      </c>
      <c r="E152" s="11">
        <v>151</v>
      </c>
      <c r="F152" s="24" t="s">
        <v>750</v>
      </c>
      <c r="G152" s="21">
        <v>16887</v>
      </c>
      <c r="H152" s="12"/>
      <c r="I152" s="11">
        <v>1</v>
      </c>
      <c r="J152" s="11" t="s">
        <v>612</v>
      </c>
      <c r="K152" s="15">
        <v>8400</v>
      </c>
      <c r="L152" s="16"/>
      <c r="M152" s="17">
        <v>8400</v>
      </c>
      <c r="N152" s="17">
        <v>8400</v>
      </c>
      <c r="O152" s="12" t="s">
        <v>29</v>
      </c>
      <c r="P152" s="18">
        <v>45292</v>
      </c>
      <c r="Q152" s="12" t="s">
        <v>47</v>
      </c>
      <c r="R152" s="12" t="s">
        <v>99</v>
      </c>
      <c r="S152" s="12" t="s">
        <v>48</v>
      </c>
      <c r="T152" s="19">
        <v>4</v>
      </c>
      <c r="U152" s="26" t="s">
        <v>29</v>
      </c>
      <c r="V152" s="24" t="s">
        <v>752</v>
      </c>
      <c r="W152" s="20">
        <v>1</v>
      </c>
    </row>
    <row r="153" spans="1:23" ht="63.75">
      <c r="A153" s="52" t="s">
        <v>753</v>
      </c>
      <c r="B153" s="24" t="s">
        <v>754</v>
      </c>
      <c r="C153" s="24" t="s">
        <v>549</v>
      </c>
      <c r="D153" s="24" t="s">
        <v>755</v>
      </c>
      <c r="E153" s="11">
        <v>152</v>
      </c>
      <c r="F153" s="32" t="s">
        <v>756</v>
      </c>
      <c r="G153" s="11">
        <v>232267</v>
      </c>
      <c r="H153" s="12"/>
      <c r="I153" s="11">
        <v>2</v>
      </c>
      <c r="J153" s="11" t="s">
        <v>757</v>
      </c>
      <c r="K153" s="15">
        <v>1400</v>
      </c>
      <c r="L153" s="16"/>
      <c r="M153" s="17">
        <v>2800</v>
      </c>
      <c r="N153" s="17">
        <v>2800</v>
      </c>
      <c r="O153" s="12" t="s">
        <v>29</v>
      </c>
      <c r="P153" s="18">
        <v>45292</v>
      </c>
      <c r="Q153" s="12" t="s">
        <v>47</v>
      </c>
      <c r="R153" s="12" t="s">
        <v>99</v>
      </c>
      <c r="S153" s="12" t="s">
        <v>48</v>
      </c>
      <c r="T153" s="19">
        <v>4</v>
      </c>
      <c r="U153" s="26" t="s">
        <v>29</v>
      </c>
      <c r="V153" s="24" t="s">
        <v>758</v>
      </c>
      <c r="W153" s="20">
        <v>1</v>
      </c>
    </row>
    <row r="154" spans="1:23" ht="63.75">
      <c r="A154" s="52" t="s">
        <v>759</v>
      </c>
      <c r="B154" s="24" t="s">
        <v>754</v>
      </c>
      <c r="C154" s="24" t="s">
        <v>549</v>
      </c>
      <c r="D154" s="24" t="s">
        <v>755</v>
      </c>
      <c r="E154" s="11">
        <v>153</v>
      </c>
      <c r="F154" s="32" t="s">
        <v>760</v>
      </c>
      <c r="G154" s="11">
        <v>232267</v>
      </c>
      <c r="H154" s="12"/>
      <c r="I154" s="11">
        <v>2</v>
      </c>
      <c r="J154" s="11" t="s">
        <v>757</v>
      </c>
      <c r="K154" s="15">
        <v>1400</v>
      </c>
      <c r="L154" s="16"/>
      <c r="M154" s="17">
        <v>2800</v>
      </c>
      <c r="N154" s="17">
        <v>2800</v>
      </c>
      <c r="O154" s="12" t="s">
        <v>29</v>
      </c>
      <c r="P154" s="18">
        <v>45292</v>
      </c>
      <c r="Q154" s="12" t="s">
        <v>47</v>
      </c>
      <c r="R154" s="12" t="s">
        <v>99</v>
      </c>
      <c r="S154" s="12" t="s">
        <v>48</v>
      </c>
      <c r="T154" s="19">
        <v>4</v>
      </c>
      <c r="U154" s="26" t="s">
        <v>29</v>
      </c>
      <c r="V154" s="24" t="s">
        <v>758</v>
      </c>
      <c r="W154" s="20">
        <v>1</v>
      </c>
    </row>
    <row r="155" spans="1:23" ht="51">
      <c r="A155" s="52" t="s">
        <v>761</v>
      </c>
      <c r="B155" s="24" t="s">
        <v>762</v>
      </c>
      <c r="C155" s="24" t="s">
        <v>549</v>
      </c>
      <c r="D155" s="24" t="s">
        <v>763</v>
      </c>
      <c r="E155" s="11">
        <v>154</v>
      </c>
      <c r="F155" s="32" t="s">
        <v>762</v>
      </c>
      <c r="G155" s="11">
        <v>1627</v>
      </c>
      <c r="H155" s="12"/>
      <c r="I155" s="11">
        <v>1</v>
      </c>
      <c r="J155" s="11" t="s">
        <v>108</v>
      </c>
      <c r="K155" s="15">
        <v>100000</v>
      </c>
      <c r="L155" s="16"/>
      <c r="M155" s="17">
        <v>100000</v>
      </c>
      <c r="N155" s="17">
        <v>100000</v>
      </c>
      <c r="O155" s="12" t="s">
        <v>29</v>
      </c>
      <c r="P155" s="18">
        <v>45444</v>
      </c>
      <c r="Q155" s="12" t="s">
        <v>30</v>
      </c>
      <c r="R155" s="12" t="s">
        <v>31</v>
      </c>
      <c r="S155" s="12" t="s">
        <v>310</v>
      </c>
      <c r="T155" s="19">
        <v>4</v>
      </c>
      <c r="U155" s="26" t="s">
        <v>29</v>
      </c>
      <c r="V155" s="24" t="s">
        <v>764</v>
      </c>
      <c r="W155" s="20">
        <v>1</v>
      </c>
    </row>
    <row r="156" spans="1:23" ht="114.75">
      <c r="A156" s="52" t="s">
        <v>765</v>
      </c>
      <c r="B156" s="24" t="s">
        <v>766</v>
      </c>
      <c r="C156" s="24" t="s">
        <v>549</v>
      </c>
      <c r="D156" s="24" t="s">
        <v>767</v>
      </c>
      <c r="E156" s="11">
        <v>155</v>
      </c>
      <c r="F156" s="24" t="s">
        <v>766</v>
      </c>
      <c r="G156" s="12" t="s">
        <v>718</v>
      </c>
      <c r="H156" s="12"/>
      <c r="I156" s="11">
        <v>12</v>
      </c>
      <c r="J156" s="11" t="s">
        <v>108</v>
      </c>
      <c r="K156" s="15">
        <v>2400</v>
      </c>
      <c r="L156" s="16"/>
      <c r="M156" s="17">
        <v>28800</v>
      </c>
      <c r="N156" s="17">
        <v>28800</v>
      </c>
      <c r="O156" s="12" t="s">
        <v>29</v>
      </c>
      <c r="P156" s="18">
        <v>45292</v>
      </c>
      <c r="Q156" s="12" t="s">
        <v>47</v>
      </c>
      <c r="R156" s="12" t="s">
        <v>31</v>
      </c>
      <c r="S156" s="12" t="s">
        <v>48</v>
      </c>
      <c r="T156" s="19">
        <v>4</v>
      </c>
      <c r="U156" s="26" t="s">
        <v>29</v>
      </c>
      <c r="V156" s="24" t="s">
        <v>768</v>
      </c>
      <c r="W156" s="20">
        <v>1</v>
      </c>
    </row>
    <row r="157" spans="1:23" ht="51">
      <c r="A157" s="52" t="s">
        <v>769</v>
      </c>
      <c r="B157" s="24" t="s">
        <v>770</v>
      </c>
      <c r="C157" s="24" t="s">
        <v>549</v>
      </c>
      <c r="D157" s="24" t="s">
        <v>771</v>
      </c>
      <c r="E157" s="11">
        <v>156</v>
      </c>
      <c r="F157" s="24" t="s">
        <v>770</v>
      </c>
      <c r="G157" s="12"/>
      <c r="H157" s="12"/>
      <c r="I157" s="11">
        <v>1</v>
      </c>
      <c r="J157" s="11" t="s">
        <v>108</v>
      </c>
      <c r="K157" s="15">
        <v>10000</v>
      </c>
      <c r="L157" s="16"/>
      <c r="M157" s="17">
        <v>10000</v>
      </c>
      <c r="N157" s="17">
        <v>10000</v>
      </c>
      <c r="O157" s="12" t="s">
        <v>29</v>
      </c>
      <c r="P157" s="18">
        <v>45442</v>
      </c>
      <c r="Q157" s="12" t="s">
        <v>47</v>
      </c>
      <c r="R157" s="12" t="s">
        <v>99</v>
      </c>
      <c r="S157" s="12" t="s">
        <v>48</v>
      </c>
      <c r="T157" s="19">
        <v>4</v>
      </c>
      <c r="U157" s="26" t="s">
        <v>29</v>
      </c>
      <c r="V157" s="22" t="s">
        <v>772</v>
      </c>
      <c r="W157" s="20">
        <v>1</v>
      </c>
    </row>
    <row r="158" spans="1:23" ht="63.75">
      <c r="A158" s="52" t="s">
        <v>773</v>
      </c>
      <c r="B158" s="24" t="s">
        <v>774</v>
      </c>
      <c r="C158" s="24" t="s">
        <v>549</v>
      </c>
      <c r="D158" s="24" t="s">
        <v>775</v>
      </c>
      <c r="E158" s="11">
        <v>157</v>
      </c>
      <c r="F158" s="24" t="s">
        <v>774</v>
      </c>
      <c r="G158" s="12"/>
      <c r="H158" s="12"/>
      <c r="I158" s="11">
        <v>1</v>
      </c>
      <c r="J158" s="11" t="s">
        <v>108</v>
      </c>
      <c r="K158" s="15">
        <v>5000</v>
      </c>
      <c r="L158" s="16"/>
      <c r="M158" s="17">
        <v>5000</v>
      </c>
      <c r="N158" s="17">
        <v>5000</v>
      </c>
      <c r="O158" s="12" t="s">
        <v>29</v>
      </c>
      <c r="P158" s="18">
        <v>45292</v>
      </c>
      <c r="Q158" s="12" t="s">
        <v>47</v>
      </c>
      <c r="R158" s="12" t="s">
        <v>99</v>
      </c>
      <c r="S158" s="12" t="s">
        <v>48</v>
      </c>
      <c r="T158" s="19">
        <v>4</v>
      </c>
      <c r="U158" s="26" t="s">
        <v>29</v>
      </c>
      <c r="V158" s="46" t="s">
        <v>776</v>
      </c>
      <c r="W158" s="20">
        <v>1</v>
      </c>
    </row>
    <row r="159" spans="1:23" ht="51">
      <c r="A159" s="52" t="s">
        <v>777</v>
      </c>
      <c r="B159" s="24" t="s">
        <v>778</v>
      </c>
      <c r="C159" s="24" t="s">
        <v>549</v>
      </c>
      <c r="D159" s="32" t="s">
        <v>779</v>
      </c>
      <c r="E159" s="11">
        <v>158</v>
      </c>
      <c r="F159" s="24" t="s">
        <v>778</v>
      </c>
      <c r="G159" s="12"/>
      <c r="H159" s="12"/>
      <c r="I159" s="11">
        <v>12</v>
      </c>
      <c r="J159" s="11" t="s">
        <v>108</v>
      </c>
      <c r="K159" s="15">
        <v>1000</v>
      </c>
      <c r="L159" s="16"/>
      <c r="M159" s="17">
        <v>12000</v>
      </c>
      <c r="N159" s="17">
        <v>12000</v>
      </c>
      <c r="O159" s="12" t="s">
        <v>29</v>
      </c>
      <c r="P159" s="18">
        <v>45292</v>
      </c>
      <c r="Q159" s="12" t="s">
        <v>47</v>
      </c>
      <c r="R159" s="12" t="s">
        <v>99</v>
      </c>
      <c r="S159" s="12" t="s">
        <v>48</v>
      </c>
      <c r="T159" s="19">
        <v>4</v>
      </c>
      <c r="U159" s="26" t="s">
        <v>29</v>
      </c>
      <c r="V159" s="46" t="s">
        <v>780</v>
      </c>
      <c r="W159" s="20">
        <v>1</v>
      </c>
    </row>
    <row r="160" spans="1:23" ht="51">
      <c r="A160" s="52" t="s">
        <v>781</v>
      </c>
      <c r="B160" s="24" t="s">
        <v>782</v>
      </c>
      <c r="C160" s="24" t="s">
        <v>549</v>
      </c>
      <c r="D160" s="32" t="s">
        <v>779</v>
      </c>
      <c r="E160" s="11">
        <v>159</v>
      </c>
      <c r="F160" s="24" t="s">
        <v>782</v>
      </c>
      <c r="G160" s="12"/>
      <c r="H160" s="12"/>
      <c r="I160" s="11">
        <v>12</v>
      </c>
      <c r="J160" s="11" t="s">
        <v>108</v>
      </c>
      <c r="K160" s="15">
        <v>1166.6600000000001</v>
      </c>
      <c r="L160" s="16"/>
      <c r="M160" s="17">
        <v>1166.6600000000001</v>
      </c>
      <c r="N160" s="17">
        <v>14000</v>
      </c>
      <c r="O160" s="12" t="s">
        <v>29</v>
      </c>
      <c r="P160" s="18">
        <v>45292</v>
      </c>
      <c r="Q160" s="12" t="s">
        <v>47</v>
      </c>
      <c r="R160" s="12" t="s">
        <v>99</v>
      </c>
      <c r="S160" s="12" t="s">
        <v>48</v>
      </c>
      <c r="T160" s="19">
        <v>4</v>
      </c>
      <c r="U160" s="26" t="s">
        <v>29</v>
      </c>
      <c r="V160" s="46" t="s">
        <v>780</v>
      </c>
      <c r="W160" s="20">
        <v>1</v>
      </c>
    </row>
    <row r="161" spans="1:23" ht="89.25">
      <c r="A161" s="52" t="s">
        <v>783</v>
      </c>
      <c r="B161" s="24" t="s">
        <v>784</v>
      </c>
      <c r="C161" s="24" t="s">
        <v>549</v>
      </c>
      <c r="D161" s="32" t="s">
        <v>785</v>
      </c>
      <c r="E161" s="11">
        <v>160</v>
      </c>
      <c r="F161" s="24" t="s">
        <v>784</v>
      </c>
      <c r="G161" s="12"/>
      <c r="H161" s="12"/>
      <c r="I161" s="11">
        <v>1</v>
      </c>
      <c r="J161" s="11" t="s">
        <v>254</v>
      </c>
      <c r="K161" s="15">
        <v>4000</v>
      </c>
      <c r="L161" s="16"/>
      <c r="M161" s="17">
        <v>4000</v>
      </c>
      <c r="N161" s="17">
        <v>4000</v>
      </c>
      <c r="O161" s="12" t="s">
        <v>29</v>
      </c>
      <c r="P161" s="18">
        <v>45352</v>
      </c>
      <c r="Q161" s="12" t="s">
        <v>47</v>
      </c>
      <c r="R161" s="12" t="s">
        <v>99</v>
      </c>
      <c r="S161" s="12" t="s">
        <v>48</v>
      </c>
      <c r="T161" s="19">
        <v>4</v>
      </c>
      <c r="U161" s="26" t="s">
        <v>29</v>
      </c>
      <c r="V161" s="46" t="s">
        <v>786</v>
      </c>
      <c r="W161" s="20">
        <v>1</v>
      </c>
    </row>
    <row r="162" spans="1:23" ht="51">
      <c r="A162" s="52" t="s">
        <v>787</v>
      </c>
      <c r="B162" s="24" t="s">
        <v>788</v>
      </c>
      <c r="C162" s="24" t="s">
        <v>549</v>
      </c>
      <c r="D162" s="32" t="s">
        <v>789</v>
      </c>
      <c r="E162" s="11">
        <v>161</v>
      </c>
      <c r="F162" s="24" t="s">
        <v>790</v>
      </c>
      <c r="G162" s="12"/>
      <c r="H162" s="12"/>
      <c r="I162" s="11">
        <v>1</v>
      </c>
      <c r="J162" s="11" t="s">
        <v>791</v>
      </c>
      <c r="K162" s="15">
        <v>15000</v>
      </c>
      <c r="L162" s="16"/>
      <c r="M162" s="17">
        <v>15000</v>
      </c>
      <c r="N162" s="17">
        <v>15000</v>
      </c>
      <c r="O162" s="12" t="s">
        <v>29</v>
      </c>
      <c r="P162" s="18">
        <v>45292</v>
      </c>
      <c r="Q162" s="12" t="s">
        <v>47</v>
      </c>
      <c r="R162" s="12" t="s">
        <v>99</v>
      </c>
      <c r="S162" s="12" t="s">
        <v>48</v>
      </c>
      <c r="T162" s="19">
        <v>4</v>
      </c>
      <c r="U162" s="26" t="s">
        <v>29</v>
      </c>
      <c r="V162" s="46" t="s">
        <v>792</v>
      </c>
      <c r="W162" s="20">
        <v>1</v>
      </c>
    </row>
    <row r="163" spans="1:23" ht="76.5">
      <c r="A163" s="52" t="s">
        <v>793</v>
      </c>
      <c r="B163" s="24" t="s">
        <v>794</v>
      </c>
      <c r="C163" s="24" t="s">
        <v>549</v>
      </c>
      <c r="D163" s="32" t="s">
        <v>795</v>
      </c>
      <c r="E163" s="11">
        <v>162</v>
      </c>
      <c r="F163" s="32" t="s">
        <v>794</v>
      </c>
      <c r="G163" s="12"/>
      <c r="H163" s="12"/>
      <c r="I163" s="11">
        <v>3</v>
      </c>
      <c r="J163" s="11" t="s">
        <v>28</v>
      </c>
      <c r="K163" s="15">
        <v>7000</v>
      </c>
      <c r="L163" s="16"/>
      <c r="M163" s="17">
        <v>21000</v>
      </c>
      <c r="N163" s="17">
        <v>21000</v>
      </c>
      <c r="O163" s="12" t="s">
        <v>29</v>
      </c>
      <c r="P163" s="18">
        <v>45292</v>
      </c>
      <c r="Q163" s="12" t="s">
        <v>47</v>
      </c>
      <c r="R163" s="12" t="s">
        <v>99</v>
      </c>
      <c r="S163" s="12" t="s">
        <v>48</v>
      </c>
      <c r="T163" s="19">
        <v>4</v>
      </c>
      <c r="U163" s="26" t="s">
        <v>29</v>
      </c>
      <c r="V163" s="46" t="s">
        <v>796</v>
      </c>
      <c r="W163" s="20">
        <v>1</v>
      </c>
    </row>
    <row r="164" spans="1:23" ht="102">
      <c r="A164" s="52" t="s">
        <v>797</v>
      </c>
      <c r="B164" s="24" t="s">
        <v>798</v>
      </c>
      <c r="C164" s="24" t="s">
        <v>549</v>
      </c>
      <c r="D164" s="32" t="s">
        <v>799</v>
      </c>
      <c r="E164" s="11">
        <v>163</v>
      </c>
      <c r="F164" s="32" t="s">
        <v>800</v>
      </c>
      <c r="G164" s="12"/>
      <c r="H164" s="12"/>
      <c r="I164" s="11">
        <v>1</v>
      </c>
      <c r="J164" s="11" t="s">
        <v>108</v>
      </c>
      <c r="K164" s="15">
        <v>4500</v>
      </c>
      <c r="L164" s="16"/>
      <c r="M164" s="17">
        <v>4500</v>
      </c>
      <c r="N164" s="17">
        <v>4500</v>
      </c>
      <c r="O164" s="12" t="s">
        <v>29</v>
      </c>
      <c r="P164" s="18">
        <v>45292</v>
      </c>
      <c r="Q164" s="12" t="s">
        <v>47</v>
      </c>
      <c r="R164" s="12" t="s">
        <v>31</v>
      </c>
      <c r="S164" s="12" t="s">
        <v>48</v>
      </c>
      <c r="T164" s="19">
        <v>4</v>
      </c>
      <c r="U164" s="26" t="s">
        <v>29</v>
      </c>
      <c r="V164" s="46" t="s">
        <v>801</v>
      </c>
      <c r="W164" s="20">
        <v>1</v>
      </c>
    </row>
    <row r="165" spans="1:23" ht="38.25">
      <c r="A165" s="52" t="s">
        <v>802</v>
      </c>
      <c r="B165" s="24" t="s">
        <v>803</v>
      </c>
      <c r="C165" s="24" t="s">
        <v>549</v>
      </c>
      <c r="D165" s="32" t="s">
        <v>804</v>
      </c>
      <c r="E165" s="11">
        <v>164</v>
      </c>
      <c r="F165" s="32" t="s">
        <v>805</v>
      </c>
      <c r="G165" s="12"/>
      <c r="H165" s="12"/>
      <c r="I165" s="11">
        <v>1</v>
      </c>
      <c r="J165" s="11" t="s">
        <v>108</v>
      </c>
      <c r="K165" s="15">
        <v>150000</v>
      </c>
      <c r="L165" s="16"/>
      <c r="M165" s="17">
        <v>150000</v>
      </c>
      <c r="N165" s="17">
        <v>150000</v>
      </c>
      <c r="O165" s="12" t="s">
        <v>29</v>
      </c>
      <c r="P165" s="18">
        <v>45292</v>
      </c>
      <c r="Q165" s="12" t="s">
        <v>30</v>
      </c>
      <c r="R165" s="12" t="s">
        <v>31</v>
      </c>
      <c r="S165" s="12" t="s">
        <v>310</v>
      </c>
      <c r="T165" s="19">
        <v>4</v>
      </c>
      <c r="U165" s="26" t="s">
        <v>29</v>
      </c>
      <c r="V165" s="46" t="s">
        <v>806</v>
      </c>
      <c r="W165" s="20">
        <v>1</v>
      </c>
    </row>
    <row r="166" spans="1:23" ht="38.25">
      <c r="A166" s="52" t="s">
        <v>807</v>
      </c>
      <c r="B166" s="24" t="s">
        <v>808</v>
      </c>
      <c r="C166" s="24" t="s">
        <v>549</v>
      </c>
      <c r="D166" s="32" t="s">
        <v>809</v>
      </c>
      <c r="E166" s="11">
        <v>165</v>
      </c>
      <c r="F166" s="32" t="s">
        <v>808</v>
      </c>
      <c r="G166" s="12"/>
      <c r="H166" s="12"/>
      <c r="I166" s="11">
        <v>1</v>
      </c>
      <c r="J166" s="11" t="s">
        <v>28</v>
      </c>
      <c r="K166" s="15">
        <v>1500</v>
      </c>
      <c r="L166" s="16"/>
      <c r="M166" s="17">
        <v>1500</v>
      </c>
      <c r="N166" s="17">
        <v>1500</v>
      </c>
      <c r="O166" s="12" t="s">
        <v>29</v>
      </c>
      <c r="P166" s="18">
        <v>45292</v>
      </c>
      <c r="Q166" s="12" t="s">
        <v>47</v>
      </c>
      <c r="R166" s="12" t="s">
        <v>31</v>
      </c>
      <c r="S166" s="12" t="s">
        <v>48</v>
      </c>
      <c r="T166" s="19">
        <v>4</v>
      </c>
      <c r="U166" s="26" t="s">
        <v>29</v>
      </c>
      <c r="V166" s="46" t="s">
        <v>810</v>
      </c>
      <c r="W166" s="20">
        <v>1</v>
      </c>
    </row>
    <row r="167" spans="1:23" ht="38.25">
      <c r="A167" s="52" t="s">
        <v>811</v>
      </c>
      <c r="B167" s="24" t="s">
        <v>812</v>
      </c>
      <c r="C167" s="24" t="s">
        <v>549</v>
      </c>
      <c r="D167" s="32" t="s">
        <v>809</v>
      </c>
      <c r="E167" s="11">
        <v>166</v>
      </c>
      <c r="F167" s="32" t="s">
        <v>812</v>
      </c>
      <c r="G167" s="12"/>
      <c r="H167" s="12"/>
      <c r="I167" s="11">
        <v>1</v>
      </c>
      <c r="J167" s="11" t="s">
        <v>108</v>
      </c>
      <c r="K167" s="15">
        <v>15000</v>
      </c>
      <c r="L167" s="16"/>
      <c r="M167" s="17">
        <v>15000</v>
      </c>
      <c r="N167" s="17">
        <v>15000</v>
      </c>
      <c r="O167" s="12" t="s">
        <v>29</v>
      </c>
      <c r="P167" s="18">
        <v>45292</v>
      </c>
      <c r="Q167" s="12" t="s">
        <v>47</v>
      </c>
      <c r="R167" s="12" t="s">
        <v>99</v>
      </c>
      <c r="S167" s="12" t="s">
        <v>48</v>
      </c>
      <c r="T167" s="19">
        <v>4</v>
      </c>
      <c r="U167" s="26" t="s">
        <v>29</v>
      </c>
      <c r="V167" s="46" t="s">
        <v>810</v>
      </c>
      <c r="W167" s="20">
        <v>1</v>
      </c>
    </row>
    <row r="168" spans="1:23" ht="38.25">
      <c r="A168" s="52" t="s">
        <v>813</v>
      </c>
      <c r="B168" s="24" t="s">
        <v>814</v>
      </c>
      <c r="C168" s="24" t="s">
        <v>815</v>
      </c>
      <c r="D168" s="24" t="s">
        <v>816</v>
      </c>
      <c r="E168" s="11">
        <v>167</v>
      </c>
      <c r="F168" s="24" t="s">
        <v>817</v>
      </c>
      <c r="G168" s="12" t="s">
        <v>818</v>
      </c>
      <c r="H168" s="12"/>
      <c r="I168" s="11">
        <v>12</v>
      </c>
      <c r="J168" s="11" t="s">
        <v>108</v>
      </c>
      <c r="K168" s="37">
        <v>17242.39</v>
      </c>
      <c r="L168" s="16"/>
      <c r="M168" s="17">
        <v>206908.68</v>
      </c>
      <c r="N168" s="17">
        <v>206908.68</v>
      </c>
      <c r="O168" s="12" t="s">
        <v>29</v>
      </c>
      <c r="P168" s="18">
        <v>45292</v>
      </c>
      <c r="Q168" s="12" t="s">
        <v>47</v>
      </c>
      <c r="R168" s="12" t="s">
        <v>99</v>
      </c>
      <c r="S168" s="12" t="s">
        <v>117</v>
      </c>
      <c r="T168" s="19">
        <v>4</v>
      </c>
      <c r="U168" s="24" t="s">
        <v>819</v>
      </c>
      <c r="V168" s="24" t="s">
        <v>820</v>
      </c>
      <c r="W168" s="20">
        <v>1</v>
      </c>
    </row>
    <row r="169" spans="1:23" ht="51">
      <c r="A169" s="52" t="s">
        <v>821</v>
      </c>
      <c r="B169" s="27" t="s">
        <v>822</v>
      </c>
      <c r="C169" s="26" t="s">
        <v>653</v>
      </c>
      <c r="D169" s="26" t="s">
        <v>690</v>
      </c>
      <c r="E169" s="11">
        <v>168</v>
      </c>
      <c r="F169" s="24" t="s">
        <v>691</v>
      </c>
      <c r="G169" s="11">
        <v>445485</v>
      </c>
      <c r="H169" s="12"/>
      <c r="I169" s="11">
        <v>300</v>
      </c>
      <c r="J169" s="11" t="s">
        <v>28</v>
      </c>
      <c r="K169" s="15">
        <v>15</v>
      </c>
      <c r="L169" s="16"/>
      <c r="M169" s="17">
        <v>4500</v>
      </c>
      <c r="N169" s="17">
        <v>4500</v>
      </c>
      <c r="O169" s="12" t="s">
        <v>29</v>
      </c>
      <c r="P169" s="18">
        <v>45306</v>
      </c>
      <c r="Q169" s="12" t="s">
        <v>47</v>
      </c>
      <c r="R169" s="12" t="s">
        <v>99</v>
      </c>
      <c r="S169" s="12" t="s">
        <v>48</v>
      </c>
      <c r="T169" s="19">
        <v>3</v>
      </c>
      <c r="U169" s="26" t="s">
        <v>823</v>
      </c>
      <c r="V169" s="26" t="s">
        <v>693</v>
      </c>
      <c r="W169" s="20">
        <v>1</v>
      </c>
    </row>
    <row r="170" spans="1:23" ht="51">
      <c r="A170" s="52" t="s">
        <v>824</v>
      </c>
      <c r="B170" s="27" t="s">
        <v>822</v>
      </c>
      <c r="C170" s="26" t="s">
        <v>653</v>
      </c>
      <c r="D170" s="26" t="s">
        <v>690</v>
      </c>
      <c r="E170" s="11">
        <v>169</v>
      </c>
      <c r="F170" s="24" t="s">
        <v>695</v>
      </c>
      <c r="G170" s="11">
        <v>332641</v>
      </c>
      <c r="H170" s="12"/>
      <c r="I170" s="11">
        <v>180</v>
      </c>
      <c r="J170" s="11" t="s">
        <v>696</v>
      </c>
      <c r="K170" s="15">
        <v>8</v>
      </c>
      <c r="L170" s="16"/>
      <c r="M170" s="17">
        <v>1440</v>
      </c>
      <c r="N170" s="17">
        <v>1440</v>
      </c>
      <c r="O170" s="12" t="s">
        <v>29</v>
      </c>
      <c r="P170" s="18">
        <v>45306</v>
      </c>
      <c r="Q170" s="12" t="s">
        <v>47</v>
      </c>
      <c r="R170" s="12" t="s">
        <v>99</v>
      </c>
      <c r="S170" s="12" t="s">
        <v>48</v>
      </c>
      <c r="T170" s="19">
        <v>3</v>
      </c>
      <c r="U170" s="10" t="s">
        <v>825</v>
      </c>
      <c r="V170" s="26" t="s">
        <v>693</v>
      </c>
      <c r="W170" s="20">
        <v>1</v>
      </c>
    </row>
    <row r="171" spans="1:23" ht="38.25">
      <c r="A171" s="52" t="s">
        <v>826</v>
      </c>
      <c r="B171" s="24" t="s">
        <v>827</v>
      </c>
      <c r="C171" s="24" t="s">
        <v>815</v>
      </c>
      <c r="D171" s="24" t="s">
        <v>828</v>
      </c>
      <c r="E171" s="11">
        <v>170</v>
      </c>
      <c r="F171" s="24" t="s">
        <v>707</v>
      </c>
      <c r="G171" s="12" t="s">
        <v>741</v>
      </c>
      <c r="H171" s="12"/>
      <c r="I171" s="11">
        <v>12</v>
      </c>
      <c r="J171" s="11" t="s">
        <v>108</v>
      </c>
      <c r="K171" s="15">
        <v>7300</v>
      </c>
      <c r="L171" s="16"/>
      <c r="M171" s="17">
        <v>87600</v>
      </c>
      <c r="N171" s="17">
        <v>87600</v>
      </c>
      <c r="O171" s="12" t="s">
        <v>29</v>
      </c>
      <c r="P171" s="18">
        <v>45292</v>
      </c>
      <c r="Q171" s="12" t="s">
        <v>109</v>
      </c>
      <c r="R171" s="12" t="s">
        <v>99</v>
      </c>
      <c r="S171" s="12" t="s">
        <v>100</v>
      </c>
      <c r="T171" s="19">
        <v>4</v>
      </c>
      <c r="U171" s="24" t="s">
        <v>829</v>
      </c>
      <c r="V171" s="24" t="s">
        <v>830</v>
      </c>
      <c r="W171" s="20">
        <v>1</v>
      </c>
    </row>
    <row r="172" spans="1:23" ht="38.25">
      <c r="A172" s="52" t="s">
        <v>831</v>
      </c>
      <c r="B172" s="10" t="s">
        <v>832</v>
      </c>
      <c r="C172" s="24" t="s">
        <v>815</v>
      </c>
      <c r="D172" s="10" t="s">
        <v>833</v>
      </c>
      <c r="E172" s="11">
        <v>171</v>
      </c>
      <c r="F172" s="10" t="s">
        <v>834</v>
      </c>
      <c r="G172" s="21">
        <v>22845</v>
      </c>
      <c r="H172" s="12"/>
      <c r="I172" s="11">
        <v>12</v>
      </c>
      <c r="J172" s="11" t="s">
        <v>108</v>
      </c>
      <c r="K172" s="15">
        <v>110</v>
      </c>
      <c r="L172" s="16"/>
      <c r="M172" s="17">
        <v>1320</v>
      </c>
      <c r="N172" s="17">
        <v>1320</v>
      </c>
      <c r="O172" s="12" t="s">
        <v>29</v>
      </c>
      <c r="P172" s="18">
        <v>45292</v>
      </c>
      <c r="Q172" s="12" t="s">
        <v>109</v>
      </c>
      <c r="R172" s="12" t="s">
        <v>99</v>
      </c>
      <c r="S172" s="12" t="s">
        <v>100</v>
      </c>
      <c r="T172" s="19">
        <v>3</v>
      </c>
      <c r="U172" s="10" t="s">
        <v>835</v>
      </c>
      <c r="V172" s="10" t="s">
        <v>836</v>
      </c>
      <c r="W172" s="20">
        <v>1</v>
      </c>
    </row>
    <row r="173" spans="1:23" ht="76.5">
      <c r="A173" s="52" t="s">
        <v>837</v>
      </c>
      <c r="B173" s="10" t="s">
        <v>838</v>
      </c>
      <c r="C173" s="26" t="s">
        <v>815</v>
      </c>
      <c r="D173" s="12" t="s">
        <v>839</v>
      </c>
      <c r="E173" s="11">
        <v>172</v>
      </c>
      <c r="F173" s="24" t="s">
        <v>840</v>
      </c>
      <c r="G173" s="11">
        <v>269330</v>
      </c>
      <c r="H173" s="12"/>
      <c r="I173" s="11">
        <v>4</v>
      </c>
      <c r="J173" s="11" t="s">
        <v>28</v>
      </c>
      <c r="K173" s="15">
        <v>150</v>
      </c>
      <c r="L173" s="16"/>
      <c r="M173" s="17">
        <v>600</v>
      </c>
      <c r="N173" s="17">
        <v>600</v>
      </c>
      <c r="O173" s="12" t="s">
        <v>29</v>
      </c>
      <c r="P173" s="18">
        <v>45627</v>
      </c>
      <c r="Q173" s="12" t="s">
        <v>47</v>
      </c>
      <c r="R173" s="12" t="s">
        <v>99</v>
      </c>
      <c r="S173" s="12" t="s">
        <v>48</v>
      </c>
      <c r="T173" s="19">
        <v>3</v>
      </c>
      <c r="U173" s="55" t="s">
        <v>841</v>
      </c>
      <c r="V173" s="55" t="s">
        <v>842</v>
      </c>
      <c r="W173" s="20">
        <v>1</v>
      </c>
    </row>
    <row r="174" spans="1:23" ht="76.5">
      <c r="A174" s="52" t="s">
        <v>843</v>
      </c>
      <c r="B174" s="10" t="s">
        <v>838</v>
      </c>
      <c r="C174" s="26" t="s">
        <v>815</v>
      </c>
      <c r="D174" s="12" t="s">
        <v>839</v>
      </c>
      <c r="E174" s="11">
        <v>173</v>
      </c>
      <c r="F174" s="24" t="s">
        <v>844</v>
      </c>
      <c r="G174" s="11">
        <v>255736</v>
      </c>
      <c r="H174" s="12"/>
      <c r="I174" s="11">
        <v>4</v>
      </c>
      <c r="J174" s="11" t="s">
        <v>28</v>
      </c>
      <c r="K174" s="15">
        <v>60</v>
      </c>
      <c r="L174" s="16"/>
      <c r="M174" s="17">
        <v>240</v>
      </c>
      <c r="N174" s="17">
        <v>240</v>
      </c>
      <c r="O174" s="12" t="s">
        <v>29</v>
      </c>
      <c r="P174" s="18">
        <v>45627</v>
      </c>
      <c r="Q174" s="12" t="s">
        <v>47</v>
      </c>
      <c r="R174" s="12" t="s">
        <v>99</v>
      </c>
      <c r="S174" s="12" t="s">
        <v>48</v>
      </c>
      <c r="T174" s="19">
        <v>3</v>
      </c>
      <c r="U174" s="55" t="s">
        <v>841</v>
      </c>
      <c r="V174" s="55" t="s">
        <v>842</v>
      </c>
      <c r="W174" s="20">
        <v>1</v>
      </c>
    </row>
    <row r="175" spans="1:23" ht="76.5">
      <c r="A175" s="52" t="s">
        <v>845</v>
      </c>
      <c r="B175" s="10" t="s">
        <v>838</v>
      </c>
      <c r="C175" s="26" t="s">
        <v>815</v>
      </c>
      <c r="D175" s="12" t="s">
        <v>839</v>
      </c>
      <c r="E175" s="11">
        <v>174</v>
      </c>
      <c r="F175" s="24" t="s">
        <v>846</v>
      </c>
      <c r="G175" s="11">
        <v>236541</v>
      </c>
      <c r="H175" s="12"/>
      <c r="I175" s="11">
        <v>4</v>
      </c>
      <c r="J175" s="11" t="s">
        <v>28</v>
      </c>
      <c r="K175" s="15">
        <v>80</v>
      </c>
      <c r="L175" s="16"/>
      <c r="M175" s="17">
        <v>320</v>
      </c>
      <c r="N175" s="17">
        <v>320</v>
      </c>
      <c r="O175" s="12" t="s">
        <v>29</v>
      </c>
      <c r="P175" s="18">
        <v>45627</v>
      </c>
      <c r="Q175" s="12" t="s">
        <v>47</v>
      </c>
      <c r="R175" s="12" t="s">
        <v>99</v>
      </c>
      <c r="S175" s="12" t="s">
        <v>48</v>
      </c>
      <c r="T175" s="19">
        <v>3</v>
      </c>
      <c r="U175" s="55" t="s">
        <v>841</v>
      </c>
      <c r="V175" s="55" t="s">
        <v>842</v>
      </c>
      <c r="W175" s="20">
        <v>1</v>
      </c>
    </row>
    <row r="176" spans="1:23" ht="89.25">
      <c r="A176" s="52" t="s">
        <v>847</v>
      </c>
      <c r="B176" s="55" t="s">
        <v>848</v>
      </c>
      <c r="C176" s="55" t="s">
        <v>815</v>
      </c>
      <c r="D176" s="55" t="s">
        <v>849</v>
      </c>
      <c r="E176" s="11">
        <v>175</v>
      </c>
      <c r="F176" s="24" t="s">
        <v>850</v>
      </c>
      <c r="G176" s="11">
        <v>161900</v>
      </c>
      <c r="H176" s="12"/>
      <c r="I176" s="11">
        <v>1</v>
      </c>
      <c r="J176" s="11" t="s">
        <v>28</v>
      </c>
      <c r="K176" s="15">
        <v>3500</v>
      </c>
      <c r="L176" s="16"/>
      <c r="M176" s="17">
        <v>3500</v>
      </c>
      <c r="N176" s="17">
        <v>3500</v>
      </c>
      <c r="O176" s="12" t="s">
        <v>29</v>
      </c>
      <c r="P176" s="18">
        <v>45383</v>
      </c>
      <c r="Q176" s="12" t="s">
        <v>47</v>
      </c>
      <c r="R176" s="12" t="s">
        <v>99</v>
      </c>
      <c r="S176" s="12" t="s">
        <v>48</v>
      </c>
      <c r="T176" s="19">
        <v>3</v>
      </c>
      <c r="U176" s="12" t="s">
        <v>851</v>
      </c>
      <c r="V176" s="12" t="s">
        <v>852</v>
      </c>
      <c r="W176" s="20">
        <v>1</v>
      </c>
    </row>
    <row r="177" spans="1:23" ht="89.25">
      <c r="A177" s="52" t="s">
        <v>853</v>
      </c>
      <c r="B177" s="55" t="s">
        <v>848</v>
      </c>
      <c r="C177" s="55" t="s">
        <v>815</v>
      </c>
      <c r="D177" s="55" t="s">
        <v>849</v>
      </c>
      <c r="E177" s="11">
        <v>176</v>
      </c>
      <c r="F177" s="24" t="s">
        <v>854</v>
      </c>
      <c r="G177" s="11">
        <v>440747</v>
      </c>
      <c r="H177" s="12"/>
      <c r="I177" s="11">
        <v>1</v>
      </c>
      <c r="J177" s="11" t="s">
        <v>28</v>
      </c>
      <c r="K177" s="15">
        <v>4200</v>
      </c>
      <c r="L177" s="16"/>
      <c r="M177" s="17">
        <v>4200</v>
      </c>
      <c r="N177" s="17">
        <v>4200</v>
      </c>
      <c r="O177" s="12" t="s">
        <v>29</v>
      </c>
      <c r="P177" s="18">
        <v>45383</v>
      </c>
      <c r="Q177" s="12" t="s">
        <v>47</v>
      </c>
      <c r="R177" s="12" t="s">
        <v>99</v>
      </c>
      <c r="S177" s="12" t="s">
        <v>48</v>
      </c>
      <c r="T177" s="19">
        <v>3</v>
      </c>
      <c r="U177" s="12" t="s">
        <v>851</v>
      </c>
      <c r="V177" s="12" t="s">
        <v>852</v>
      </c>
      <c r="W177" s="20">
        <v>1</v>
      </c>
    </row>
    <row r="178" spans="1:23" ht="38.25">
      <c r="A178" s="52" t="s">
        <v>855</v>
      </c>
      <c r="B178" s="10" t="s">
        <v>856</v>
      </c>
      <c r="C178" s="55" t="s">
        <v>815</v>
      </c>
      <c r="D178" s="10" t="s">
        <v>857</v>
      </c>
      <c r="E178" s="11">
        <v>177</v>
      </c>
      <c r="F178" s="10" t="s">
        <v>858</v>
      </c>
      <c r="G178" s="21">
        <v>16527</v>
      </c>
      <c r="H178" s="12"/>
      <c r="I178" s="11">
        <v>1</v>
      </c>
      <c r="J178" s="11" t="s">
        <v>108</v>
      </c>
      <c r="K178" s="15">
        <v>890</v>
      </c>
      <c r="L178" s="16"/>
      <c r="M178" s="17">
        <v>890</v>
      </c>
      <c r="N178" s="17">
        <v>890</v>
      </c>
      <c r="O178" s="12" t="s">
        <v>29</v>
      </c>
      <c r="P178" s="18">
        <v>45383</v>
      </c>
      <c r="Q178" s="12" t="s">
        <v>47</v>
      </c>
      <c r="R178" s="12" t="s">
        <v>99</v>
      </c>
      <c r="S178" s="12" t="s">
        <v>48</v>
      </c>
      <c r="T178" s="19">
        <v>3</v>
      </c>
      <c r="U178" s="10" t="s">
        <v>859</v>
      </c>
      <c r="V178" s="10" t="s">
        <v>860</v>
      </c>
      <c r="W178" s="20">
        <v>1</v>
      </c>
    </row>
    <row r="179" spans="1:23" ht="51">
      <c r="A179" s="52" t="s">
        <v>861</v>
      </c>
      <c r="B179" s="24" t="s">
        <v>848</v>
      </c>
      <c r="C179" s="26" t="s">
        <v>862</v>
      </c>
      <c r="D179" s="24" t="s">
        <v>863</v>
      </c>
      <c r="E179" s="11">
        <v>178</v>
      </c>
      <c r="F179" s="27" t="s">
        <v>864</v>
      </c>
      <c r="G179" s="11">
        <v>414749</v>
      </c>
      <c r="H179" s="12"/>
      <c r="I179" s="11">
        <v>3</v>
      </c>
      <c r="J179" s="11" t="s">
        <v>108</v>
      </c>
      <c r="K179" s="15">
        <v>3473.33</v>
      </c>
      <c r="L179" s="16"/>
      <c r="M179" s="17">
        <v>10420</v>
      </c>
      <c r="N179" s="17">
        <v>10420</v>
      </c>
      <c r="O179" s="12" t="s">
        <v>29</v>
      </c>
      <c r="P179" s="18">
        <v>45397</v>
      </c>
      <c r="Q179" s="12" t="s">
        <v>47</v>
      </c>
      <c r="R179" s="12" t="s">
        <v>99</v>
      </c>
      <c r="S179" s="12" t="s">
        <v>48</v>
      </c>
      <c r="T179" s="19">
        <v>3</v>
      </c>
      <c r="U179" s="24" t="s">
        <v>865</v>
      </c>
      <c r="V179" s="24" t="s">
        <v>866</v>
      </c>
      <c r="W179" s="20">
        <v>1</v>
      </c>
    </row>
    <row r="180" spans="1:23" ht="38.25">
      <c r="A180" s="52" t="s">
        <v>867</v>
      </c>
      <c r="B180" s="32" t="s">
        <v>868</v>
      </c>
      <c r="C180" s="26" t="s">
        <v>862</v>
      </c>
      <c r="D180" s="32" t="s">
        <v>869</v>
      </c>
      <c r="E180" s="11">
        <v>179</v>
      </c>
      <c r="F180" s="32" t="s">
        <v>870</v>
      </c>
      <c r="G180" s="32">
        <v>226606</v>
      </c>
      <c r="H180" s="12"/>
      <c r="I180" s="11">
        <v>200</v>
      </c>
      <c r="J180" s="11" t="s">
        <v>747</v>
      </c>
      <c r="K180" s="15">
        <v>25</v>
      </c>
      <c r="L180" s="16"/>
      <c r="M180" s="17">
        <v>5000</v>
      </c>
      <c r="N180" s="17">
        <v>5000</v>
      </c>
      <c r="O180" s="12" t="s">
        <v>29</v>
      </c>
      <c r="P180" s="18">
        <v>45352</v>
      </c>
      <c r="Q180" s="12" t="s">
        <v>47</v>
      </c>
      <c r="R180" s="12" t="s">
        <v>99</v>
      </c>
      <c r="S180" s="12" t="s">
        <v>48</v>
      </c>
      <c r="T180" s="19">
        <v>3</v>
      </c>
      <c r="U180" s="24" t="s">
        <v>871</v>
      </c>
      <c r="V180" s="24" t="s">
        <v>872</v>
      </c>
      <c r="W180" s="20">
        <v>1</v>
      </c>
    </row>
    <row r="181" spans="1:23" ht="76.5">
      <c r="A181" s="52" t="s">
        <v>873</v>
      </c>
      <c r="B181" s="32" t="s">
        <v>874</v>
      </c>
      <c r="C181" s="26" t="s">
        <v>862</v>
      </c>
      <c r="D181" s="32" t="s">
        <v>875</v>
      </c>
      <c r="E181" s="11">
        <v>180</v>
      </c>
      <c r="F181" s="32" t="s">
        <v>876</v>
      </c>
      <c r="G181" s="32">
        <v>233460</v>
      </c>
      <c r="H181" s="12"/>
      <c r="I181" s="11">
        <v>1</v>
      </c>
      <c r="J181" s="11" t="s">
        <v>28</v>
      </c>
      <c r="K181" s="15">
        <v>230000</v>
      </c>
      <c r="L181" s="16"/>
      <c r="M181" s="17">
        <v>230000</v>
      </c>
      <c r="N181" s="17">
        <v>230000</v>
      </c>
      <c r="O181" s="12" t="s">
        <v>29</v>
      </c>
      <c r="P181" s="18">
        <v>45597</v>
      </c>
      <c r="Q181" s="12" t="s">
        <v>30</v>
      </c>
      <c r="R181" s="12" t="s">
        <v>99</v>
      </c>
      <c r="S181" s="12" t="s">
        <v>310</v>
      </c>
      <c r="T181" s="19">
        <v>3</v>
      </c>
      <c r="U181" s="24" t="s">
        <v>877</v>
      </c>
      <c r="V181" s="24" t="s">
        <v>878</v>
      </c>
      <c r="W181" s="20">
        <v>1</v>
      </c>
    </row>
    <row r="182" spans="1:23" ht="38.25">
      <c r="A182" s="52" t="s">
        <v>879</v>
      </c>
      <c r="B182" s="32" t="s">
        <v>710</v>
      </c>
      <c r="C182" s="26" t="s">
        <v>862</v>
      </c>
      <c r="D182" s="32" t="s">
        <v>880</v>
      </c>
      <c r="E182" s="11">
        <v>181</v>
      </c>
      <c r="F182" s="32" t="s">
        <v>712</v>
      </c>
      <c r="G182" s="32">
        <v>2356</v>
      </c>
      <c r="H182" s="12"/>
      <c r="I182" s="11">
        <v>1</v>
      </c>
      <c r="J182" s="11" t="s">
        <v>108</v>
      </c>
      <c r="K182" s="15">
        <v>7000</v>
      </c>
      <c r="L182" s="16"/>
      <c r="M182" s="17">
        <v>7000</v>
      </c>
      <c r="N182" s="17">
        <v>7000</v>
      </c>
      <c r="O182" s="12" t="s">
        <v>29</v>
      </c>
      <c r="P182" s="18">
        <v>45444</v>
      </c>
      <c r="Q182" s="12" t="s">
        <v>47</v>
      </c>
      <c r="R182" s="12" t="s">
        <v>99</v>
      </c>
      <c r="S182" s="12" t="s">
        <v>48</v>
      </c>
      <c r="T182" s="19">
        <v>3</v>
      </c>
      <c r="U182" s="32" t="s">
        <v>881</v>
      </c>
      <c r="V182" s="32" t="s">
        <v>714</v>
      </c>
      <c r="W182" s="20">
        <v>1</v>
      </c>
    </row>
    <row r="183" spans="1:23" ht="38.25">
      <c r="A183" s="52" t="s">
        <v>882</v>
      </c>
      <c r="B183" s="32" t="s">
        <v>883</v>
      </c>
      <c r="C183" s="26" t="s">
        <v>862</v>
      </c>
      <c r="D183" s="32" t="s">
        <v>884</v>
      </c>
      <c r="E183" s="11">
        <v>182</v>
      </c>
      <c r="F183" s="32" t="s">
        <v>672</v>
      </c>
      <c r="G183" s="32">
        <v>3417</v>
      </c>
      <c r="H183" s="12"/>
      <c r="I183" s="11">
        <v>1</v>
      </c>
      <c r="J183" s="11" t="s">
        <v>108</v>
      </c>
      <c r="K183" s="15">
        <v>1500</v>
      </c>
      <c r="L183" s="16"/>
      <c r="M183" s="17">
        <v>1500</v>
      </c>
      <c r="N183" s="17">
        <v>1500</v>
      </c>
      <c r="O183" s="12" t="s">
        <v>29</v>
      </c>
      <c r="P183" s="18">
        <v>45383</v>
      </c>
      <c r="Q183" s="12" t="s">
        <v>47</v>
      </c>
      <c r="R183" s="12" t="s">
        <v>99</v>
      </c>
      <c r="S183" s="12" t="s">
        <v>48</v>
      </c>
      <c r="T183" s="19">
        <v>2</v>
      </c>
      <c r="U183" s="32" t="s">
        <v>885</v>
      </c>
      <c r="V183" s="32" t="s">
        <v>886</v>
      </c>
      <c r="W183" s="20">
        <v>1</v>
      </c>
    </row>
    <row r="184" spans="1:23" ht="63.75">
      <c r="A184" s="52" t="s">
        <v>887</v>
      </c>
      <c r="B184" s="32" t="s">
        <v>888</v>
      </c>
      <c r="C184" s="26" t="s">
        <v>862</v>
      </c>
      <c r="D184" s="32" t="s">
        <v>889</v>
      </c>
      <c r="E184" s="11">
        <v>183</v>
      </c>
      <c r="F184" s="32" t="s">
        <v>890</v>
      </c>
      <c r="G184" s="32">
        <v>257333</v>
      </c>
      <c r="H184" s="12"/>
      <c r="I184" s="11">
        <v>1</v>
      </c>
      <c r="J184" s="11" t="s">
        <v>28</v>
      </c>
      <c r="K184" s="15">
        <v>50000</v>
      </c>
      <c r="L184" s="16"/>
      <c r="M184" s="17">
        <v>50000</v>
      </c>
      <c r="N184" s="17">
        <v>50000</v>
      </c>
      <c r="O184" s="12" t="s">
        <v>29</v>
      </c>
      <c r="P184" s="18">
        <v>45505</v>
      </c>
      <c r="Q184" s="12" t="s">
        <v>30</v>
      </c>
      <c r="R184" s="12" t="s">
        <v>99</v>
      </c>
      <c r="S184" s="12" t="s">
        <v>310</v>
      </c>
      <c r="T184" s="19">
        <v>2</v>
      </c>
      <c r="U184" s="32" t="s">
        <v>891</v>
      </c>
      <c r="V184" s="32" t="s">
        <v>892</v>
      </c>
      <c r="W184" s="20">
        <v>1</v>
      </c>
    </row>
    <row r="185" spans="1:23" ht="76.5">
      <c r="A185" s="52" t="s">
        <v>893</v>
      </c>
      <c r="B185" s="24" t="s">
        <v>894</v>
      </c>
      <c r="C185" s="55" t="s">
        <v>815</v>
      </c>
      <c r="D185" s="24" t="s">
        <v>895</v>
      </c>
      <c r="E185" s="11">
        <v>184</v>
      </c>
      <c r="F185" s="68"/>
      <c r="G185" s="68"/>
      <c r="H185" s="12"/>
      <c r="I185" s="11">
        <v>4</v>
      </c>
      <c r="J185" s="11" t="s">
        <v>108</v>
      </c>
      <c r="K185" s="15">
        <v>12000</v>
      </c>
      <c r="L185" s="16"/>
      <c r="M185" s="17">
        <v>48000</v>
      </c>
      <c r="N185" s="17">
        <v>48000</v>
      </c>
      <c r="O185" s="12" t="s">
        <v>29</v>
      </c>
      <c r="P185" s="18">
        <v>45292</v>
      </c>
      <c r="Q185" s="12" t="s">
        <v>896</v>
      </c>
      <c r="R185" s="12" t="s">
        <v>99</v>
      </c>
      <c r="S185" s="12" t="s">
        <v>310</v>
      </c>
      <c r="T185" s="19">
        <v>4</v>
      </c>
      <c r="U185" s="24" t="s">
        <v>897</v>
      </c>
      <c r="V185" s="24" t="s">
        <v>898</v>
      </c>
      <c r="W185" s="20">
        <v>1</v>
      </c>
    </row>
    <row r="186" spans="1:23" ht="51">
      <c r="A186" s="52" t="s">
        <v>899</v>
      </c>
      <c r="B186" s="24" t="s">
        <v>534</v>
      </c>
      <c r="C186" s="55" t="s">
        <v>815</v>
      </c>
      <c r="D186" s="24" t="s">
        <v>900</v>
      </c>
      <c r="E186" s="11">
        <v>185</v>
      </c>
      <c r="F186" s="24" t="s">
        <v>534</v>
      </c>
      <c r="G186" s="11">
        <v>2356</v>
      </c>
      <c r="H186" s="12"/>
      <c r="I186" s="11">
        <v>1</v>
      </c>
      <c r="J186" s="11" t="s">
        <v>108</v>
      </c>
      <c r="K186" s="15">
        <v>3500</v>
      </c>
      <c r="L186" s="16"/>
      <c r="M186" s="17">
        <v>3500</v>
      </c>
      <c r="N186" s="17">
        <v>3500</v>
      </c>
      <c r="O186" s="12" t="s">
        <v>29</v>
      </c>
      <c r="P186" s="18">
        <v>45473</v>
      </c>
      <c r="Q186" s="12" t="s">
        <v>149</v>
      </c>
      <c r="R186" s="12" t="s">
        <v>99</v>
      </c>
      <c r="S186" s="12" t="s">
        <v>48</v>
      </c>
      <c r="T186" s="19">
        <v>4</v>
      </c>
      <c r="U186" s="26"/>
      <c r="V186" s="24" t="s">
        <v>539</v>
      </c>
      <c r="W186" s="20">
        <v>1</v>
      </c>
    </row>
    <row r="187" spans="1:23" ht="178.5">
      <c r="A187" s="52" t="s">
        <v>901</v>
      </c>
      <c r="B187" s="24" t="s">
        <v>902</v>
      </c>
      <c r="C187" s="55" t="s">
        <v>815</v>
      </c>
      <c r="D187" s="24" t="s">
        <v>903</v>
      </c>
      <c r="E187" s="11">
        <v>186</v>
      </c>
      <c r="F187" s="24" t="s">
        <v>904</v>
      </c>
      <c r="G187" s="11"/>
      <c r="H187" s="12"/>
      <c r="I187" s="11">
        <v>12</v>
      </c>
      <c r="J187" s="11" t="s">
        <v>108</v>
      </c>
      <c r="K187" s="15">
        <v>8659.33</v>
      </c>
      <c r="L187" s="16"/>
      <c r="M187" s="17">
        <v>103911.96</v>
      </c>
      <c r="N187" s="17">
        <v>103911.96</v>
      </c>
      <c r="O187" s="12" t="s">
        <v>29</v>
      </c>
      <c r="P187" s="18">
        <v>45292</v>
      </c>
      <c r="Q187" s="12" t="s">
        <v>30</v>
      </c>
      <c r="R187" s="12" t="s">
        <v>99</v>
      </c>
      <c r="S187" s="12" t="s">
        <v>310</v>
      </c>
      <c r="T187" s="19">
        <v>4</v>
      </c>
      <c r="U187" s="26"/>
      <c r="V187" s="26" t="s">
        <v>905</v>
      </c>
      <c r="W187" s="20">
        <v>1</v>
      </c>
    </row>
    <row r="188" spans="1:23" ht="76.5">
      <c r="A188" s="52" t="s">
        <v>906</v>
      </c>
      <c r="B188" s="24" t="s">
        <v>907</v>
      </c>
      <c r="C188" s="55" t="s">
        <v>815</v>
      </c>
      <c r="D188" s="24" t="s">
        <v>908</v>
      </c>
      <c r="E188" s="11">
        <v>187</v>
      </c>
      <c r="F188" s="24" t="s">
        <v>909</v>
      </c>
      <c r="G188" s="11">
        <v>2684912</v>
      </c>
      <c r="H188" s="12"/>
      <c r="I188" s="11">
        <v>2</v>
      </c>
      <c r="J188" s="11" t="s">
        <v>28</v>
      </c>
      <c r="K188" s="15">
        <v>800</v>
      </c>
      <c r="L188" s="16"/>
      <c r="M188" s="17">
        <v>1600</v>
      </c>
      <c r="N188" s="17">
        <v>1600</v>
      </c>
      <c r="O188" s="12" t="s">
        <v>29</v>
      </c>
      <c r="P188" s="18">
        <v>45473</v>
      </c>
      <c r="Q188" s="12" t="s">
        <v>149</v>
      </c>
      <c r="R188" s="12" t="s">
        <v>31</v>
      </c>
      <c r="S188" s="12" t="s">
        <v>48</v>
      </c>
      <c r="T188" s="19">
        <v>4</v>
      </c>
      <c r="U188" s="26"/>
      <c r="V188" s="24" t="s">
        <v>539</v>
      </c>
      <c r="W188" s="20">
        <v>1</v>
      </c>
    </row>
    <row r="189" spans="1:23" ht="140.25">
      <c r="A189" s="52" t="s">
        <v>910</v>
      </c>
      <c r="B189" s="24" t="s">
        <v>911</v>
      </c>
      <c r="C189" s="55" t="s">
        <v>815</v>
      </c>
      <c r="D189" s="24" t="s">
        <v>912</v>
      </c>
      <c r="E189" s="11">
        <v>188</v>
      </c>
      <c r="F189" s="24" t="s">
        <v>913</v>
      </c>
      <c r="G189" s="11">
        <v>377571</v>
      </c>
      <c r="H189" s="12"/>
      <c r="I189" s="11">
        <v>32</v>
      </c>
      <c r="J189" s="11" t="s">
        <v>28</v>
      </c>
      <c r="K189" s="15">
        <v>320</v>
      </c>
      <c r="L189" s="16"/>
      <c r="M189" s="17">
        <v>10240</v>
      </c>
      <c r="N189" s="17">
        <v>10240</v>
      </c>
      <c r="O189" s="12" t="s">
        <v>29</v>
      </c>
      <c r="P189" s="18">
        <v>45382</v>
      </c>
      <c r="Q189" s="12" t="s">
        <v>47</v>
      </c>
      <c r="R189" s="12" t="s">
        <v>31</v>
      </c>
      <c r="S189" s="12" t="s">
        <v>48</v>
      </c>
      <c r="T189" s="19">
        <v>4</v>
      </c>
      <c r="U189" s="26"/>
      <c r="V189" s="24" t="s">
        <v>914</v>
      </c>
      <c r="W189" s="20">
        <v>1</v>
      </c>
    </row>
    <row r="190" spans="1:23" ht="76.5">
      <c r="A190" s="52" t="s">
        <v>915</v>
      </c>
      <c r="B190" s="24" t="s">
        <v>916</v>
      </c>
      <c r="C190" s="55" t="s">
        <v>917</v>
      </c>
      <c r="D190" s="24" t="s">
        <v>918</v>
      </c>
      <c r="E190" s="11">
        <v>189</v>
      </c>
      <c r="F190" s="24" t="s">
        <v>916</v>
      </c>
      <c r="G190" s="12"/>
      <c r="H190" s="12"/>
      <c r="I190" s="11">
        <v>1</v>
      </c>
      <c r="J190" s="11" t="s">
        <v>108</v>
      </c>
      <c r="K190" s="15">
        <v>3300</v>
      </c>
      <c r="L190" s="16"/>
      <c r="M190" s="17">
        <v>3300</v>
      </c>
      <c r="N190" s="17">
        <v>3300</v>
      </c>
      <c r="O190" s="12" t="s">
        <v>29</v>
      </c>
      <c r="P190" s="18">
        <v>45292</v>
      </c>
      <c r="Q190" s="12" t="s">
        <v>47</v>
      </c>
      <c r="R190" s="12" t="s">
        <v>31</v>
      </c>
      <c r="S190" s="12" t="s">
        <v>48</v>
      </c>
      <c r="T190" s="19">
        <v>4</v>
      </c>
      <c r="U190" s="26" t="s">
        <v>29</v>
      </c>
      <c r="V190" s="24" t="s">
        <v>919</v>
      </c>
      <c r="W190" s="20">
        <v>1</v>
      </c>
    </row>
    <row r="191" spans="1:23" ht="76.5">
      <c r="A191" s="52" t="s">
        <v>920</v>
      </c>
      <c r="B191" s="24" t="s">
        <v>921</v>
      </c>
      <c r="C191" s="55"/>
      <c r="D191" s="24" t="s">
        <v>922</v>
      </c>
      <c r="E191" s="11">
        <v>190</v>
      </c>
      <c r="F191" s="32" t="s">
        <v>923</v>
      </c>
      <c r="G191" s="12"/>
      <c r="H191" s="12"/>
      <c r="I191" s="11">
        <v>6</v>
      </c>
      <c r="J191" s="11" t="s">
        <v>28</v>
      </c>
      <c r="K191" s="15">
        <v>220</v>
      </c>
      <c r="L191" s="16"/>
      <c r="M191" s="17">
        <v>1320</v>
      </c>
      <c r="N191" s="17">
        <v>1320</v>
      </c>
      <c r="O191" s="12" t="s">
        <v>29</v>
      </c>
      <c r="P191" s="18">
        <v>45443</v>
      </c>
      <c r="Q191" s="12" t="s">
        <v>47</v>
      </c>
      <c r="R191" s="12" t="s">
        <v>99</v>
      </c>
      <c r="S191" s="12" t="s">
        <v>48</v>
      </c>
      <c r="T191" s="19">
        <v>4</v>
      </c>
      <c r="U191" s="26" t="s">
        <v>29</v>
      </c>
      <c r="V191" s="32" t="s">
        <v>924</v>
      </c>
      <c r="W191" s="20">
        <v>1</v>
      </c>
    </row>
    <row r="192" spans="1:23" ht="76.5">
      <c r="A192" s="52" t="s">
        <v>925</v>
      </c>
      <c r="B192" s="24" t="s">
        <v>926</v>
      </c>
      <c r="C192" s="55"/>
      <c r="D192" s="24" t="s">
        <v>927</v>
      </c>
      <c r="E192" s="11">
        <v>191</v>
      </c>
      <c r="F192" s="32" t="s">
        <v>928</v>
      </c>
      <c r="G192" s="12"/>
      <c r="H192" s="12"/>
      <c r="I192" s="11">
        <v>2</v>
      </c>
      <c r="J192" s="11" t="s">
        <v>28</v>
      </c>
      <c r="K192" s="15">
        <v>4300</v>
      </c>
      <c r="L192" s="16"/>
      <c r="M192" s="17">
        <v>8600</v>
      </c>
      <c r="N192" s="17">
        <v>8600</v>
      </c>
      <c r="O192" s="12" t="s">
        <v>29</v>
      </c>
      <c r="P192" s="18">
        <v>45350</v>
      </c>
      <c r="Q192" s="12" t="s">
        <v>47</v>
      </c>
      <c r="R192" s="12" t="s">
        <v>99</v>
      </c>
      <c r="S192" s="12" t="s">
        <v>48</v>
      </c>
      <c r="T192" s="19">
        <v>4</v>
      </c>
      <c r="U192" s="26" t="s">
        <v>29</v>
      </c>
      <c r="V192" s="32" t="s">
        <v>929</v>
      </c>
      <c r="W192" s="20">
        <v>1</v>
      </c>
    </row>
    <row r="193" spans="1:23" ht="38.25">
      <c r="A193" s="52" t="s">
        <v>930</v>
      </c>
      <c r="B193" s="24" t="s">
        <v>583</v>
      </c>
      <c r="C193" s="55" t="s">
        <v>815</v>
      </c>
      <c r="D193" s="24" t="s">
        <v>584</v>
      </c>
      <c r="E193" s="11">
        <v>192</v>
      </c>
      <c r="F193" s="32" t="s">
        <v>931</v>
      </c>
      <c r="G193" s="12" t="s">
        <v>741</v>
      </c>
      <c r="H193" s="12"/>
      <c r="I193" s="11">
        <v>12</v>
      </c>
      <c r="J193" s="11" t="s">
        <v>108</v>
      </c>
      <c r="K193" s="15">
        <v>13000</v>
      </c>
      <c r="L193" s="16"/>
      <c r="M193" s="17">
        <v>156000</v>
      </c>
      <c r="N193" s="17">
        <v>156000</v>
      </c>
      <c r="O193" s="12" t="s">
        <v>29</v>
      </c>
      <c r="P193" s="18">
        <v>45292</v>
      </c>
      <c r="Q193" s="12" t="s">
        <v>109</v>
      </c>
      <c r="R193" s="12" t="s">
        <v>31</v>
      </c>
      <c r="S193" s="12" t="s">
        <v>100</v>
      </c>
      <c r="T193" s="19">
        <v>4</v>
      </c>
      <c r="U193" s="26"/>
      <c r="V193" s="24" t="s">
        <v>586</v>
      </c>
      <c r="W193" s="20">
        <v>1</v>
      </c>
    </row>
    <row r="194" spans="1:23" ht="127.5">
      <c r="A194" s="52" t="s">
        <v>932</v>
      </c>
      <c r="B194" s="24" t="s">
        <v>933</v>
      </c>
      <c r="C194" s="55" t="s">
        <v>934</v>
      </c>
      <c r="D194" s="32" t="s">
        <v>935</v>
      </c>
      <c r="E194" s="11">
        <v>193</v>
      </c>
      <c r="F194" s="32" t="s">
        <v>933</v>
      </c>
      <c r="G194" s="12"/>
      <c r="H194" s="12"/>
      <c r="I194" s="11">
        <v>1</v>
      </c>
      <c r="J194" s="11" t="s">
        <v>108</v>
      </c>
      <c r="K194" s="15">
        <v>1210000</v>
      </c>
      <c r="L194" s="16"/>
      <c r="M194" s="15">
        <v>1210000</v>
      </c>
      <c r="N194" s="15">
        <v>1210000</v>
      </c>
      <c r="O194" s="12" t="s">
        <v>29</v>
      </c>
      <c r="P194" s="18">
        <v>45595</v>
      </c>
      <c r="Q194" s="12" t="s">
        <v>30</v>
      </c>
      <c r="R194" s="12" t="s">
        <v>99</v>
      </c>
      <c r="S194" s="12" t="s">
        <v>144</v>
      </c>
      <c r="T194" s="19">
        <v>3</v>
      </c>
      <c r="U194" s="26" t="s">
        <v>936</v>
      </c>
      <c r="V194" s="24" t="s">
        <v>937</v>
      </c>
      <c r="W194" s="20">
        <v>1</v>
      </c>
    </row>
    <row r="195" spans="1:23" ht="38.25">
      <c r="A195" s="52" t="s">
        <v>938</v>
      </c>
      <c r="B195" s="55" t="s">
        <v>939</v>
      </c>
      <c r="C195" s="55" t="s">
        <v>862</v>
      </c>
      <c r="D195" s="55" t="s">
        <v>633</v>
      </c>
      <c r="E195" s="11">
        <v>194</v>
      </c>
      <c r="F195" s="24" t="s">
        <v>940</v>
      </c>
      <c r="G195" s="11">
        <v>269328</v>
      </c>
      <c r="H195" s="12"/>
      <c r="I195" s="12" t="s">
        <v>941</v>
      </c>
      <c r="J195" s="11" t="s">
        <v>28</v>
      </c>
      <c r="K195" s="15">
        <v>80</v>
      </c>
      <c r="L195" s="16"/>
      <c r="M195" s="17">
        <v>1920</v>
      </c>
      <c r="N195" s="17">
        <v>1920</v>
      </c>
      <c r="O195" s="12" t="s">
        <v>29</v>
      </c>
      <c r="P195" s="18">
        <v>45504</v>
      </c>
      <c r="Q195" s="12" t="s">
        <v>47</v>
      </c>
      <c r="R195" s="12" t="s">
        <v>31</v>
      </c>
      <c r="S195" s="12" t="s">
        <v>48</v>
      </c>
      <c r="T195" s="19">
        <v>3</v>
      </c>
      <c r="U195" s="12"/>
      <c r="V195" s="12" t="s">
        <v>634</v>
      </c>
      <c r="W195" s="20">
        <v>1</v>
      </c>
    </row>
    <row r="196" spans="1:23" ht="38.25">
      <c r="A196" s="52" t="s">
        <v>942</v>
      </c>
      <c r="B196" s="55" t="s">
        <v>939</v>
      </c>
      <c r="C196" s="55" t="s">
        <v>862</v>
      </c>
      <c r="D196" s="55" t="s">
        <v>633</v>
      </c>
      <c r="E196" s="11">
        <v>195</v>
      </c>
      <c r="F196" s="24" t="s">
        <v>943</v>
      </c>
      <c r="G196" s="11">
        <v>236537</v>
      </c>
      <c r="H196" s="12"/>
      <c r="I196" s="12" t="s">
        <v>944</v>
      </c>
      <c r="J196" s="11" t="s">
        <v>28</v>
      </c>
      <c r="K196" s="15">
        <v>100</v>
      </c>
      <c r="L196" s="16"/>
      <c r="M196" s="17">
        <v>200</v>
      </c>
      <c r="N196" s="17">
        <v>200</v>
      </c>
      <c r="O196" s="12" t="s">
        <v>29</v>
      </c>
      <c r="P196" s="18">
        <v>45504</v>
      </c>
      <c r="Q196" s="12" t="s">
        <v>47</v>
      </c>
      <c r="R196" s="12" t="s">
        <v>31</v>
      </c>
      <c r="S196" s="12" t="s">
        <v>48</v>
      </c>
      <c r="T196" s="19">
        <v>3</v>
      </c>
      <c r="U196" s="12"/>
      <c r="V196" s="12" t="s">
        <v>634</v>
      </c>
      <c r="W196" s="20">
        <v>1</v>
      </c>
    </row>
    <row r="197" spans="1:23" ht="38.25">
      <c r="A197" s="52" t="s">
        <v>945</v>
      </c>
      <c r="B197" s="55" t="s">
        <v>939</v>
      </c>
      <c r="C197" s="55" t="s">
        <v>862</v>
      </c>
      <c r="D197" s="55" t="s">
        <v>633</v>
      </c>
      <c r="E197" s="11">
        <v>196</v>
      </c>
      <c r="F197" s="24" t="s">
        <v>636</v>
      </c>
      <c r="G197" s="11">
        <v>269330</v>
      </c>
      <c r="H197" s="12"/>
      <c r="I197" s="12" t="s">
        <v>944</v>
      </c>
      <c r="J197" s="11" t="s">
        <v>28</v>
      </c>
      <c r="K197" s="15">
        <v>125</v>
      </c>
      <c r="L197" s="16"/>
      <c r="M197" s="17">
        <v>250</v>
      </c>
      <c r="N197" s="17">
        <v>250</v>
      </c>
      <c r="O197" s="12" t="s">
        <v>29</v>
      </c>
      <c r="P197" s="18">
        <v>45504</v>
      </c>
      <c r="Q197" s="12" t="s">
        <v>47</v>
      </c>
      <c r="R197" s="12" t="s">
        <v>31</v>
      </c>
      <c r="S197" s="12" t="s">
        <v>48</v>
      </c>
      <c r="T197" s="19">
        <v>3</v>
      </c>
      <c r="U197" s="12"/>
      <c r="V197" s="12" t="s">
        <v>634</v>
      </c>
      <c r="W197" s="20">
        <v>1</v>
      </c>
    </row>
    <row r="198" spans="1:23" ht="38.25">
      <c r="A198" s="52" t="s">
        <v>946</v>
      </c>
      <c r="B198" s="55" t="s">
        <v>939</v>
      </c>
      <c r="C198" s="55" t="s">
        <v>862</v>
      </c>
      <c r="D198" s="55" t="s">
        <v>633</v>
      </c>
      <c r="E198" s="11">
        <v>197</v>
      </c>
      <c r="F198" s="24" t="s">
        <v>947</v>
      </c>
      <c r="G198" s="11">
        <v>236356</v>
      </c>
      <c r="H198" s="12"/>
      <c r="I198" s="12" t="s">
        <v>948</v>
      </c>
      <c r="J198" s="11" t="s">
        <v>28</v>
      </c>
      <c r="K198" s="15">
        <v>90</v>
      </c>
      <c r="L198" s="16"/>
      <c r="M198" s="17">
        <v>90</v>
      </c>
      <c r="N198" s="17">
        <v>90</v>
      </c>
      <c r="O198" s="12" t="s">
        <v>29</v>
      </c>
      <c r="P198" s="18">
        <v>45504</v>
      </c>
      <c r="Q198" s="12" t="s">
        <v>47</v>
      </c>
      <c r="R198" s="12" t="s">
        <v>31</v>
      </c>
      <c r="S198" s="12" t="s">
        <v>48</v>
      </c>
      <c r="T198" s="19">
        <v>3</v>
      </c>
      <c r="U198" s="12"/>
      <c r="V198" s="12" t="s">
        <v>634</v>
      </c>
      <c r="W198" s="20">
        <v>1</v>
      </c>
    </row>
    <row r="199" spans="1:23" ht="38.25">
      <c r="A199" s="52" t="s">
        <v>949</v>
      </c>
      <c r="B199" s="55" t="s">
        <v>939</v>
      </c>
      <c r="C199" s="55" t="s">
        <v>862</v>
      </c>
      <c r="D199" s="55" t="s">
        <v>633</v>
      </c>
      <c r="E199" s="11">
        <v>198</v>
      </c>
      <c r="F199" s="24" t="s">
        <v>950</v>
      </c>
      <c r="G199" s="12" t="s">
        <v>951</v>
      </c>
      <c r="H199" s="12"/>
      <c r="I199" s="12" t="s">
        <v>952</v>
      </c>
      <c r="J199" s="11" t="s">
        <v>28</v>
      </c>
      <c r="K199" s="15">
        <v>20</v>
      </c>
      <c r="L199" s="16"/>
      <c r="M199" s="17">
        <v>580</v>
      </c>
      <c r="N199" s="17">
        <v>580</v>
      </c>
      <c r="O199" s="12" t="s">
        <v>29</v>
      </c>
      <c r="P199" s="18">
        <v>45504</v>
      </c>
      <c r="Q199" s="12" t="s">
        <v>47</v>
      </c>
      <c r="R199" s="12" t="s">
        <v>31</v>
      </c>
      <c r="S199" s="12" t="s">
        <v>48</v>
      </c>
      <c r="T199" s="19">
        <v>3</v>
      </c>
      <c r="U199" s="12"/>
      <c r="V199" s="12" t="s">
        <v>634</v>
      </c>
      <c r="W199" s="20">
        <v>1</v>
      </c>
    </row>
    <row r="200" spans="1:23" ht="51">
      <c r="A200" s="52" t="s">
        <v>953</v>
      </c>
      <c r="B200" s="55" t="s">
        <v>954</v>
      </c>
      <c r="C200" s="55" t="s">
        <v>862</v>
      </c>
      <c r="D200" s="55" t="s">
        <v>955</v>
      </c>
      <c r="E200" s="11">
        <v>199</v>
      </c>
      <c r="F200" s="24" t="s">
        <v>954</v>
      </c>
      <c r="G200" s="12"/>
      <c r="H200" s="12"/>
      <c r="I200" s="12" t="s">
        <v>956</v>
      </c>
      <c r="J200" s="11" t="s">
        <v>28</v>
      </c>
      <c r="K200" s="15">
        <v>3500</v>
      </c>
      <c r="L200" s="16"/>
      <c r="M200" s="17">
        <v>3500</v>
      </c>
      <c r="N200" s="17">
        <v>3500</v>
      </c>
      <c r="O200" s="12" t="s">
        <v>29</v>
      </c>
      <c r="P200" s="18">
        <v>45504</v>
      </c>
      <c r="Q200" s="12" t="s">
        <v>47</v>
      </c>
      <c r="R200" s="12" t="s">
        <v>99</v>
      </c>
      <c r="S200" s="12" t="s">
        <v>48</v>
      </c>
      <c r="T200" s="19">
        <v>3</v>
      </c>
      <c r="U200" s="12" t="s">
        <v>29</v>
      </c>
      <c r="V200" s="12" t="s">
        <v>957</v>
      </c>
      <c r="W200" s="20">
        <v>1</v>
      </c>
    </row>
    <row r="201" spans="1:23" ht="102">
      <c r="A201" s="52" t="s">
        <v>958</v>
      </c>
      <c r="B201" s="55" t="s">
        <v>959</v>
      </c>
      <c r="C201" s="55" t="s">
        <v>862</v>
      </c>
      <c r="D201" s="55" t="s">
        <v>960</v>
      </c>
      <c r="E201" s="11">
        <v>200</v>
      </c>
      <c r="F201" s="32" t="s">
        <v>961</v>
      </c>
      <c r="G201" s="12"/>
      <c r="H201" s="12"/>
      <c r="I201" s="12" t="s">
        <v>956</v>
      </c>
      <c r="J201" s="11" t="s">
        <v>108</v>
      </c>
      <c r="K201" s="15">
        <v>32080</v>
      </c>
      <c r="L201" s="16"/>
      <c r="M201" s="17">
        <v>32080</v>
      </c>
      <c r="N201" s="17">
        <v>32080</v>
      </c>
      <c r="O201" s="12" t="s">
        <v>29</v>
      </c>
      <c r="P201" s="18">
        <v>45382</v>
      </c>
      <c r="Q201" s="12" t="s">
        <v>30</v>
      </c>
      <c r="R201" s="12" t="s">
        <v>99</v>
      </c>
      <c r="S201" s="12" t="s">
        <v>310</v>
      </c>
      <c r="T201" s="19">
        <v>3</v>
      </c>
      <c r="U201" s="12" t="s">
        <v>29</v>
      </c>
      <c r="V201" s="32" t="s">
        <v>962</v>
      </c>
      <c r="W201" s="20">
        <v>1</v>
      </c>
    </row>
    <row r="202" spans="1:23" ht="38.25">
      <c r="A202" s="52" t="s">
        <v>963</v>
      </c>
      <c r="B202" s="10" t="s">
        <v>964</v>
      </c>
      <c r="C202" s="55" t="s">
        <v>862</v>
      </c>
      <c r="D202" s="32" t="s">
        <v>965</v>
      </c>
      <c r="E202" s="11">
        <v>201</v>
      </c>
      <c r="F202" s="10" t="s">
        <v>966</v>
      </c>
      <c r="G202" s="12" t="s">
        <v>967</v>
      </c>
      <c r="H202" s="12"/>
      <c r="I202" s="12" t="s">
        <v>956</v>
      </c>
      <c r="J202" s="11" t="s">
        <v>28</v>
      </c>
      <c r="K202" s="15">
        <v>320000</v>
      </c>
      <c r="L202" s="16"/>
      <c r="M202" s="17">
        <v>320000</v>
      </c>
      <c r="N202" s="17">
        <v>320000</v>
      </c>
      <c r="O202" s="12" t="s">
        <v>29</v>
      </c>
      <c r="P202" s="18">
        <v>45322</v>
      </c>
      <c r="Q202" s="12" t="s">
        <v>30</v>
      </c>
      <c r="R202" s="12" t="s">
        <v>31</v>
      </c>
      <c r="S202" s="12" t="s">
        <v>310</v>
      </c>
      <c r="T202" s="19">
        <v>3</v>
      </c>
      <c r="U202" s="12" t="s">
        <v>968</v>
      </c>
      <c r="V202" s="10" t="s">
        <v>969</v>
      </c>
      <c r="W202" s="20">
        <v>1</v>
      </c>
    </row>
    <row r="203" spans="1:23" ht="51">
      <c r="A203" s="52" t="s">
        <v>970</v>
      </c>
      <c r="B203" s="10" t="s">
        <v>971</v>
      </c>
      <c r="C203" s="55" t="s">
        <v>862</v>
      </c>
      <c r="D203" s="32" t="s">
        <v>972</v>
      </c>
      <c r="E203" s="11">
        <v>202</v>
      </c>
      <c r="F203" s="32" t="s">
        <v>971</v>
      </c>
      <c r="G203" s="12"/>
      <c r="H203" s="12"/>
      <c r="I203" s="12" t="s">
        <v>956</v>
      </c>
      <c r="J203" s="11" t="s">
        <v>108</v>
      </c>
      <c r="K203" s="15">
        <v>28446.16</v>
      </c>
      <c r="L203" s="16"/>
      <c r="M203" s="17">
        <v>28446.16</v>
      </c>
      <c r="N203" s="17">
        <v>28446.16</v>
      </c>
      <c r="O203" s="12" t="s">
        <v>29</v>
      </c>
      <c r="P203" s="18">
        <v>45371</v>
      </c>
      <c r="Q203" s="12" t="s">
        <v>47</v>
      </c>
      <c r="R203" s="12" t="s">
        <v>99</v>
      </c>
      <c r="S203" s="12" t="s">
        <v>48</v>
      </c>
      <c r="T203" s="19">
        <v>3</v>
      </c>
      <c r="U203" s="12" t="s">
        <v>29</v>
      </c>
      <c r="V203" s="32" t="s">
        <v>973</v>
      </c>
      <c r="W203" s="20">
        <v>1</v>
      </c>
    </row>
    <row r="204" spans="1:23" ht="89.25">
      <c r="A204" s="52" t="s">
        <v>974</v>
      </c>
      <c r="B204" s="32" t="s">
        <v>975</v>
      </c>
      <c r="C204" s="55" t="s">
        <v>862</v>
      </c>
      <c r="D204" s="32" t="s">
        <v>976</v>
      </c>
      <c r="E204" s="11">
        <v>203</v>
      </c>
      <c r="F204" s="32" t="s">
        <v>977</v>
      </c>
      <c r="G204" s="12"/>
      <c r="H204" s="12"/>
      <c r="I204" s="12" t="s">
        <v>956</v>
      </c>
      <c r="J204" s="11" t="s">
        <v>28</v>
      </c>
      <c r="K204" s="15">
        <v>93568.5</v>
      </c>
      <c r="L204" s="16"/>
      <c r="M204" s="17">
        <v>93568.5</v>
      </c>
      <c r="N204" s="17">
        <v>93568.5</v>
      </c>
      <c r="O204" s="12" t="s">
        <v>29</v>
      </c>
      <c r="P204" s="18">
        <v>45443</v>
      </c>
      <c r="Q204" s="12" t="s">
        <v>30</v>
      </c>
      <c r="R204" s="12" t="s">
        <v>99</v>
      </c>
      <c r="S204" s="12" t="s">
        <v>310</v>
      </c>
      <c r="T204" s="19">
        <v>3</v>
      </c>
      <c r="U204" s="12" t="s">
        <v>29</v>
      </c>
      <c r="V204" s="32" t="s">
        <v>539</v>
      </c>
      <c r="W204" s="20">
        <v>1</v>
      </c>
    </row>
    <row r="205" spans="1:23" ht="102">
      <c r="A205" s="52" t="s">
        <v>978</v>
      </c>
      <c r="B205" s="32" t="s">
        <v>979</v>
      </c>
      <c r="C205" s="55" t="s">
        <v>862</v>
      </c>
      <c r="D205" s="32" t="s">
        <v>980</v>
      </c>
      <c r="E205" s="11">
        <v>204</v>
      </c>
      <c r="F205" s="32" t="s">
        <v>981</v>
      </c>
      <c r="G205" s="12"/>
      <c r="H205" s="12"/>
      <c r="I205" s="12" t="s">
        <v>982</v>
      </c>
      <c r="J205" s="11" t="s">
        <v>28</v>
      </c>
      <c r="K205" s="15">
        <v>3000</v>
      </c>
      <c r="L205" s="16"/>
      <c r="M205" s="17">
        <v>15000</v>
      </c>
      <c r="N205" s="17">
        <v>15000</v>
      </c>
      <c r="O205" s="12" t="s">
        <v>31</v>
      </c>
      <c r="P205" s="18">
        <v>45443</v>
      </c>
      <c r="Q205" s="12" t="s">
        <v>47</v>
      </c>
      <c r="R205" s="12" t="s">
        <v>99</v>
      </c>
      <c r="S205" s="12" t="s">
        <v>48</v>
      </c>
      <c r="T205" s="19">
        <v>3</v>
      </c>
      <c r="U205" s="12" t="s">
        <v>29</v>
      </c>
      <c r="V205" s="32" t="s">
        <v>983</v>
      </c>
      <c r="W205" s="20">
        <v>1</v>
      </c>
    </row>
    <row r="206" spans="1:23" ht="140.25">
      <c r="A206" s="52" t="s">
        <v>984</v>
      </c>
      <c r="B206" s="32" t="s">
        <v>985</v>
      </c>
      <c r="C206" s="55" t="s">
        <v>862</v>
      </c>
      <c r="D206" s="32" t="s">
        <v>986</v>
      </c>
      <c r="E206" s="11">
        <v>205</v>
      </c>
      <c r="F206" s="32" t="s">
        <v>985</v>
      </c>
      <c r="G206" s="12"/>
      <c r="H206" s="12"/>
      <c r="I206" s="12" t="s">
        <v>956</v>
      </c>
      <c r="J206" s="11" t="s">
        <v>254</v>
      </c>
      <c r="K206" s="15">
        <v>220454.66</v>
      </c>
      <c r="L206" s="16"/>
      <c r="M206" s="17">
        <v>220454.66</v>
      </c>
      <c r="N206" s="17">
        <v>220454.66</v>
      </c>
      <c r="O206" s="12" t="s">
        <v>29</v>
      </c>
      <c r="P206" s="18">
        <v>45412</v>
      </c>
      <c r="Q206" s="12" t="s">
        <v>30</v>
      </c>
      <c r="R206" s="12" t="s">
        <v>99</v>
      </c>
      <c r="S206" s="12" t="s">
        <v>310</v>
      </c>
      <c r="T206" s="19">
        <v>3</v>
      </c>
      <c r="U206" s="12" t="s">
        <v>29</v>
      </c>
      <c r="V206" s="32" t="s">
        <v>987</v>
      </c>
      <c r="W206" s="20">
        <v>1</v>
      </c>
    </row>
    <row r="207" spans="1:23" ht="63.75">
      <c r="A207" s="52" t="s">
        <v>988</v>
      </c>
      <c r="B207" s="32" t="s">
        <v>989</v>
      </c>
      <c r="C207" s="55" t="s">
        <v>862</v>
      </c>
      <c r="D207" s="32" t="s">
        <v>990</v>
      </c>
      <c r="E207" s="11">
        <v>206</v>
      </c>
      <c r="F207" s="32" t="s">
        <v>991</v>
      </c>
      <c r="G207" s="12"/>
      <c r="H207" s="12"/>
      <c r="I207" s="12" t="s">
        <v>956</v>
      </c>
      <c r="J207" s="11" t="s">
        <v>108</v>
      </c>
      <c r="K207" s="15">
        <v>1800</v>
      </c>
      <c r="L207" s="16"/>
      <c r="M207" s="17">
        <v>1800</v>
      </c>
      <c r="N207" s="17">
        <v>1800</v>
      </c>
      <c r="O207" s="12" t="s">
        <v>29</v>
      </c>
      <c r="P207" s="18">
        <v>45322</v>
      </c>
      <c r="Q207" s="12" t="s">
        <v>47</v>
      </c>
      <c r="R207" s="12" t="s">
        <v>99</v>
      </c>
      <c r="S207" s="12" t="s">
        <v>48</v>
      </c>
      <c r="T207" s="19">
        <v>3</v>
      </c>
      <c r="U207" s="12" t="s">
        <v>29</v>
      </c>
      <c r="V207" s="32" t="s">
        <v>992</v>
      </c>
      <c r="W207" s="20">
        <v>1</v>
      </c>
    </row>
    <row r="208" spans="1:23" ht="38.25">
      <c r="A208" s="52" t="s">
        <v>993</v>
      </c>
      <c r="B208" s="32" t="s">
        <v>994</v>
      </c>
      <c r="C208" s="55" t="s">
        <v>862</v>
      </c>
      <c r="D208" s="32" t="s">
        <v>995</v>
      </c>
      <c r="E208" s="11">
        <v>207</v>
      </c>
      <c r="F208" s="32" t="s">
        <v>996</v>
      </c>
      <c r="G208" s="12"/>
      <c r="H208" s="12"/>
      <c r="I208" s="12" t="s">
        <v>956</v>
      </c>
      <c r="J208" s="11" t="s">
        <v>997</v>
      </c>
      <c r="K208" s="15">
        <v>4000</v>
      </c>
      <c r="L208" s="16"/>
      <c r="M208" s="17">
        <v>4000</v>
      </c>
      <c r="N208" s="17">
        <v>4000</v>
      </c>
      <c r="O208" s="12" t="s">
        <v>29</v>
      </c>
      <c r="P208" s="18">
        <v>45382</v>
      </c>
      <c r="Q208" s="12" t="s">
        <v>47</v>
      </c>
      <c r="R208" s="12" t="s">
        <v>99</v>
      </c>
      <c r="S208" s="12" t="s">
        <v>48</v>
      </c>
      <c r="T208" s="19">
        <v>2</v>
      </c>
      <c r="U208" s="12" t="s">
        <v>998</v>
      </c>
      <c r="V208" s="32" t="s">
        <v>999</v>
      </c>
      <c r="W208" s="20">
        <v>1</v>
      </c>
    </row>
    <row r="209" spans="1:23" ht="38.25">
      <c r="A209" s="52" t="s">
        <v>1000</v>
      </c>
      <c r="B209" s="10" t="s">
        <v>1001</v>
      </c>
      <c r="C209" s="55" t="s">
        <v>862</v>
      </c>
      <c r="D209" s="10" t="s">
        <v>1002</v>
      </c>
      <c r="E209" s="11">
        <v>208</v>
      </c>
      <c r="F209" s="32" t="s">
        <v>1003</v>
      </c>
      <c r="G209" s="11">
        <v>310917</v>
      </c>
      <c r="H209" s="12"/>
      <c r="I209" s="11">
        <v>4</v>
      </c>
      <c r="J209" s="11" t="s">
        <v>28</v>
      </c>
      <c r="K209" s="15">
        <v>100</v>
      </c>
      <c r="L209" s="16"/>
      <c r="M209" s="17">
        <v>400</v>
      </c>
      <c r="N209" s="17">
        <v>400</v>
      </c>
      <c r="O209" s="12" t="s">
        <v>29</v>
      </c>
      <c r="P209" s="18">
        <v>45443</v>
      </c>
      <c r="Q209" s="12" t="s">
        <v>47</v>
      </c>
      <c r="R209" s="12" t="s">
        <v>31</v>
      </c>
      <c r="S209" s="12" t="s">
        <v>48</v>
      </c>
      <c r="T209" s="19">
        <v>2</v>
      </c>
      <c r="U209" s="26"/>
      <c r="V209" s="10" t="s">
        <v>1004</v>
      </c>
      <c r="W209" s="20">
        <v>1</v>
      </c>
    </row>
    <row r="210" spans="1:23" ht="38.25">
      <c r="A210" s="52" t="s">
        <v>1005</v>
      </c>
      <c r="B210" s="24" t="s">
        <v>1006</v>
      </c>
      <c r="C210" s="55" t="s">
        <v>862</v>
      </c>
      <c r="D210" s="24" t="s">
        <v>1007</v>
      </c>
      <c r="E210" s="11">
        <v>209</v>
      </c>
      <c r="F210" s="24" t="s">
        <v>1008</v>
      </c>
      <c r="G210" s="12" t="s">
        <v>212</v>
      </c>
      <c r="H210" s="12"/>
      <c r="I210" s="11">
        <v>1</v>
      </c>
      <c r="J210" s="11" t="s">
        <v>108</v>
      </c>
      <c r="K210" s="15">
        <v>3000</v>
      </c>
      <c r="L210" s="16"/>
      <c r="M210" s="17">
        <v>3000</v>
      </c>
      <c r="N210" s="17">
        <v>3000</v>
      </c>
      <c r="O210" s="12" t="s">
        <v>29</v>
      </c>
      <c r="P210" s="18">
        <v>45535</v>
      </c>
      <c r="Q210" s="12" t="s">
        <v>47</v>
      </c>
      <c r="R210" s="12" t="s">
        <v>99</v>
      </c>
      <c r="S210" s="12" t="s">
        <v>48</v>
      </c>
      <c r="T210" s="19">
        <v>2</v>
      </c>
      <c r="U210" s="10" t="s">
        <v>897</v>
      </c>
      <c r="V210" s="10" t="s">
        <v>1009</v>
      </c>
      <c r="W210" s="20">
        <v>1</v>
      </c>
    </row>
    <row r="211" spans="1:23" ht="38.25">
      <c r="A211" s="52" t="s">
        <v>1010</v>
      </c>
      <c r="B211" s="24" t="s">
        <v>1011</v>
      </c>
      <c r="C211" s="55" t="s">
        <v>862</v>
      </c>
      <c r="D211" s="24" t="s">
        <v>1012</v>
      </c>
      <c r="E211" s="11">
        <v>210</v>
      </c>
      <c r="F211" s="24" t="s">
        <v>1011</v>
      </c>
      <c r="G211" s="21">
        <v>22845</v>
      </c>
      <c r="H211" s="12"/>
      <c r="I211" s="11">
        <v>12</v>
      </c>
      <c r="J211" s="11" t="s">
        <v>108</v>
      </c>
      <c r="K211" s="15">
        <v>45.46</v>
      </c>
      <c r="L211" s="16"/>
      <c r="M211" s="17">
        <v>545.52</v>
      </c>
      <c r="N211" s="17">
        <v>545.52</v>
      </c>
      <c r="O211" s="12" t="s">
        <v>29</v>
      </c>
      <c r="P211" s="18">
        <v>45292</v>
      </c>
      <c r="Q211" s="12" t="s">
        <v>109</v>
      </c>
      <c r="R211" s="12" t="s">
        <v>99</v>
      </c>
      <c r="S211" s="12" t="s">
        <v>100</v>
      </c>
      <c r="T211" s="19">
        <v>2</v>
      </c>
      <c r="U211" s="26"/>
      <c r="V211" s="24" t="s">
        <v>1013</v>
      </c>
      <c r="W211" s="20">
        <v>1</v>
      </c>
    </row>
    <row r="212" spans="1:23" ht="51">
      <c r="A212" s="52" t="s">
        <v>1014</v>
      </c>
      <c r="B212" s="32" t="s">
        <v>1015</v>
      </c>
      <c r="C212" s="55" t="s">
        <v>862</v>
      </c>
      <c r="D212" s="32" t="s">
        <v>1016</v>
      </c>
      <c r="E212" s="11">
        <v>211</v>
      </c>
      <c r="F212" s="32" t="s">
        <v>1017</v>
      </c>
      <c r="G212" s="32">
        <v>300984</v>
      </c>
      <c r="H212" s="12"/>
      <c r="I212" s="11">
        <v>200</v>
      </c>
      <c r="J212" s="11" t="s">
        <v>28</v>
      </c>
      <c r="K212" s="15">
        <v>12</v>
      </c>
      <c r="L212" s="16"/>
      <c r="M212" s="17">
        <v>2400</v>
      </c>
      <c r="N212" s="17">
        <v>2400</v>
      </c>
      <c r="O212" s="12" t="s">
        <v>29</v>
      </c>
      <c r="P212" s="18">
        <v>45292</v>
      </c>
      <c r="Q212" s="12" t="s">
        <v>47</v>
      </c>
      <c r="R212" s="12" t="s">
        <v>31</v>
      </c>
      <c r="S212" s="12" t="s">
        <v>48</v>
      </c>
      <c r="T212" s="19">
        <v>2</v>
      </c>
      <c r="U212" s="26" t="s">
        <v>29</v>
      </c>
      <c r="V212" s="32" t="s">
        <v>1018</v>
      </c>
      <c r="W212" s="20">
        <v>1</v>
      </c>
    </row>
    <row r="213" spans="1:23" ht="51">
      <c r="A213" s="52" t="s">
        <v>1019</v>
      </c>
      <c r="B213" s="32" t="s">
        <v>1015</v>
      </c>
      <c r="C213" s="55" t="s">
        <v>862</v>
      </c>
      <c r="D213" s="32" t="s">
        <v>1016</v>
      </c>
      <c r="E213" s="11">
        <v>212</v>
      </c>
      <c r="F213" s="32" t="s">
        <v>1020</v>
      </c>
      <c r="G213" s="32">
        <v>353155</v>
      </c>
      <c r="H213" s="12"/>
      <c r="I213" s="11">
        <v>120</v>
      </c>
      <c r="J213" s="11" t="s">
        <v>28</v>
      </c>
      <c r="K213" s="15">
        <v>5</v>
      </c>
      <c r="L213" s="16"/>
      <c r="M213" s="17">
        <v>600</v>
      </c>
      <c r="N213" s="17">
        <v>600</v>
      </c>
      <c r="O213" s="12" t="s">
        <v>29</v>
      </c>
      <c r="P213" s="18">
        <v>45292</v>
      </c>
      <c r="Q213" s="12" t="s">
        <v>47</v>
      </c>
      <c r="R213" s="12" t="s">
        <v>31</v>
      </c>
      <c r="S213" s="12" t="s">
        <v>48</v>
      </c>
      <c r="T213" s="19">
        <v>2</v>
      </c>
      <c r="U213" s="10" t="s">
        <v>29</v>
      </c>
      <c r="V213" s="32" t="s">
        <v>1018</v>
      </c>
      <c r="W213" s="20">
        <v>1</v>
      </c>
    </row>
    <row r="214" spans="1:23" ht="63.75">
      <c r="A214" s="52" t="s">
        <v>1021</v>
      </c>
      <c r="B214" s="32" t="s">
        <v>1015</v>
      </c>
      <c r="C214" s="55" t="s">
        <v>862</v>
      </c>
      <c r="D214" s="32" t="s">
        <v>1016</v>
      </c>
      <c r="E214" s="11">
        <v>213</v>
      </c>
      <c r="F214" s="32" t="s">
        <v>1022</v>
      </c>
      <c r="G214" s="32">
        <v>435019</v>
      </c>
      <c r="H214" s="12"/>
      <c r="I214" s="11">
        <v>0</v>
      </c>
      <c r="J214" s="11" t="s">
        <v>28</v>
      </c>
      <c r="K214" s="15">
        <v>0</v>
      </c>
      <c r="L214" s="16"/>
      <c r="M214" s="17">
        <v>0</v>
      </c>
      <c r="N214" s="17">
        <v>0</v>
      </c>
      <c r="O214" s="12" t="s">
        <v>29</v>
      </c>
      <c r="P214" s="18">
        <v>45292</v>
      </c>
      <c r="Q214" s="12" t="s">
        <v>47</v>
      </c>
      <c r="R214" s="12" t="s">
        <v>31</v>
      </c>
      <c r="S214" s="12" t="s">
        <v>48</v>
      </c>
      <c r="T214" s="19">
        <v>2</v>
      </c>
      <c r="U214" s="10" t="s">
        <v>29</v>
      </c>
      <c r="V214" s="32" t="s">
        <v>1018</v>
      </c>
      <c r="W214" s="20">
        <v>1</v>
      </c>
    </row>
    <row r="215" spans="1:23" ht="51">
      <c r="A215" s="52" t="s">
        <v>1023</v>
      </c>
      <c r="B215" s="32" t="s">
        <v>1024</v>
      </c>
      <c r="C215" s="55" t="s">
        <v>862</v>
      </c>
      <c r="D215" s="32" t="s">
        <v>1025</v>
      </c>
      <c r="E215" s="11">
        <v>214</v>
      </c>
      <c r="F215" s="32" t="s">
        <v>1026</v>
      </c>
      <c r="G215" s="32"/>
      <c r="H215" s="12"/>
      <c r="I215" s="11">
        <v>1</v>
      </c>
      <c r="J215" s="11" t="s">
        <v>28</v>
      </c>
      <c r="K215" s="15">
        <v>1700</v>
      </c>
      <c r="L215" s="16"/>
      <c r="M215" s="17">
        <v>1700</v>
      </c>
      <c r="N215" s="17">
        <v>1700</v>
      </c>
      <c r="O215" s="12" t="s">
        <v>29</v>
      </c>
      <c r="P215" s="18">
        <v>45443</v>
      </c>
      <c r="Q215" s="12" t="s">
        <v>47</v>
      </c>
      <c r="R215" s="12" t="s">
        <v>99</v>
      </c>
      <c r="S215" s="12" t="s">
        <v>48</v>
      </c>
      <c r="T215" s="19">
        <v>2</v>
      </c>
      <c r="U215" s="32" t="s">
        <v>1027</v>
      </c>
      <c r="V215" s="32" t="s">
        <v>1028</v>
      </c>
      <c r="W215" s="20">
        <v>1</v>
      </c>
    </row>
    <row r="216" spans="1:23" ht="38.25">
      <c r="A216" s="52" t="s">
        <v>1029</v>
      </c>
      <c r="B216" s="32" t="s">
        <v>1024</v>
      </c>
      <c r="C216" s="55" t="s">
        <v>862</v>
      </c>
      <c r="D216" s="32" t="s">
        <v>1025</v>
      </c>
      <c r="E216" s="11">
        <v>215</v>
      </c>
      <c r="F216" s="32" t="s">
        <v>1030</v>
      </c>
      <c r="G216" s="32"/>
      <c r="H216" s="12"/>
      <c r="I216" s="11">
        <v>1</v>
      </c>
      <c r="J216" s="11" t="s">
        <v>28</v>
      </c>
      <c r="K216" s="15">
        <v>1200</v>
      </c>
      <c r="L216" s="16"/>
      <c r="M216" s="17">
        <v>1200</v>
      </c>
      <c r="N216" s="17">
        <v>1200</v>
      </c>
      <c r="O216" s="12" t="s">
        <v>29</v>
      </c>
      <c r="P216" s="18">
        <v>45443</v>
      </c>
      <c r="Q216" s="12" t="s">
        <v>47</v>
      </c>
      <c r="R216" s="12" t="s">
        <v>99</v>
      </c>
      <c r="S216" s="12" t="s">
        <v>48</v>
      </c>
      <c r="T216" s="19">
        <v>2</v>
      </c>
      <c r="U216" s="32" t="s">
        <v>1027</v>
      </c>
      <c r="V216" s="32" t="s">
        <v>1028</v>
      </c>
      <c r="W216" s="20">
        <v>1</v>
      </c>
    </row>
    <row r="217" spans="1:23" ht="51">
      <c r="A217" s="52" t="s">
        <v>1031</v>
      </c>
      <c r="B217" s="32" t="s">
        <v>1024</v>
      </c>
      <c r="C217" s="55" t="s">
        <v>862</v>
      </c>
      <c r="D217" s="32" t="s">
        <v>1025</v>
      </c>
      <c r="E217" s="11">
        <v>216</v>
      </c>
      <c r="F217" s="32" t="s">
        <v>1032</v>
      </c>
      <c r="G217" s="32"/>
      <c r="H217" s="12"/>
      <c r="I217" s="11">
        <v>2</v>
      </c>
      <c r="J217" s="11" t="s">
        <v>28</v>
      </c>
      <c r="K217" s="15">
        <v>300</v>
      </c>
      <c r="L217" s="16"/>
      <c r="M217" s="17">
        <v>600</v>
      </c>
      <c r="N217" s="17">
        <v>600</v>
      </c>
      <c r="O217" s="12" t="s">
        <v>29</v>
      </c>
      <c r="P217" s="18">
        <v>45443</v>
      </c>
      <c r="Q217" s="12" t="s">
        <v>47</v>
      </c>
      <c r="R217" s="12" t="s">
        <v>99</v>
      </c>
      <c r="S217" s="12" t="s">
        <v>48</v>
      </c>
      <c r="T217" s="19">
        <v>2</v>
      </c>
      <c r="U217" s="32" t="s">
        <v>1027</v>
      </c>
      <c r="V217" s="32" t="s">
        <v>1028</v>
      </c>
      <c r="W217" s="20">
        <v>1</v>
      </c>
    </row>
    <row r="218" spans="1:23" ht="38.25">
      <c r="A218" s="52" t="s">
        <v>1033</v>
      </c>
      <c r="B218" s="32" t="s">
        <v>1024</v>
      </c>
      <c r="C218" s="55" t="s">
        <v>862</v>
      </c>
      <c r="D218" s="32" t="s">
        <v>1025</v>
      </c>
      <c r="E218" s="11">
        <v>217</v>
      </c>
      <c r="F218" s="32" t="s">
        <v>1034</v>
      </c>
      <c r="G218" s="32"/>
      <c r="H218" s="12"/>
      <c r="I218" s="11">
        <v>3</v>
      </c>
      <c r="J218" s="11" t="s">
        <v>28</v>
      </c>
      <c r="K218" s="15">
        <v>120</v>
      </c>
      <c r="L218" s="16"/>
      <c r="M218" s="17">
        <v>360</v>
      </c>
      <c r="N218" s="17">
        <v>360</v>
      </c>
      <c r="O218" s="12" t="s">
        <v>29</v>
      </c>
      <c r="P218" s="18">
        <v>45443</v>
      </c>
      <c r="Q218" s="12" t="s">
        <v>47</v>
      </c>
      <c r="R218" s="12" t="s">
        <v>99</v>
      </c>
      <c r="S218" s="12" t="s">
        <v>48</v>
      </c>
      <c r="T218" s="19">
        <v>2</v>
      </c>
      <c r="U218" s="32" t="s">
        <v>1027</v>
      </c>
      <c r="V218" s="32" t="s">
        <v>1028</v>
      </c>
      <c r="W218" s="20">
        <v>1</v>
      </c>
    </row>
    <row r="219" spans="1:23" ht="38.25">
      <c r="A219" s="52" t="s">
        <v>1035</v>
      </c>
      <c r="B219" s="32" t="s">
        <v>1024</v>
      </c>
      <c r="C219" s="55" t="s">
        <v>862</v>
      </c>
      <c r="D219" s="32" t="s">
        <v>1025</v>
      </c>
      <c r="E219" s="11">
        <v>218</v>
      </c>
      <c r="F219" s="32" t="s">
        <v>1036</v>
      </c>
      <c r="G219" s="32"/>
      <c r="H219" s="12"/>
      <c r="I219" s="11">
        <v>3</v>
      </c>
      <c r="J219" s="11" t="s">
        <v>28</v>
      </c>
      <c r="K219" s="15">
        <v>140</v>
      </c>
      <c r="L219" s="16"/>
      <c r="M219" s="17">
        <v>420</v>
      </c>
      <c r="N219" s="17">
        <v>420</v>
      </c>
      <c r="O219" s="12" t="s">
        <v>29</v>
      </c>
      <c r="P219" s="18">
        <v>45443</v>
      </c>
      <c r="Q219" s="12" t="s">
        <v>47</v>
      </c>
      <c r="R219" s="12" t="s">
        <v>99</v>
      </c>
      <c r="S219" s="12" t="s">
        <v>48</v>
      </c>
      <c r="T219" s="19">
        <v>2</v>
      </c>
      <c r="U219" s="32" t="s">
        <v>1027</v>
      </c>
      <c r="V219" s="32" t="s">
        <v>1028</v>
      </c>
      <c r="W219" s="20">
        <v>1</v>
      </c>
    </row>
    <row r="220" spans="1:23" ht="38.25">
      <c r="A220" s="52" t="s">
        <v>1037</v>
      </c>
      <c r="B220" s="32" t="s">
        <v>1024</v>
      </c>
      <c r="C220" s="55" t="s">
        <v>862</v>
      </c>
      <c r="D220" s="32" t="s">
        <v>1025</v>
      </c>
      <c r="E220" s="11">
        <v>219</v>
      </c>
      <c r="F220" s="32" t="s">
        <v>1038</v>
      </c>
      <c r="G220" s="32"/>
      <c r="H220" s="12"/>
      <c r="I220" s="11">
        <v>3</v>
      </c>
      <c r="J220" s="11" t="s">
        <v>1039</v>
      </c>
      <c r="K220" s="15">
        <v>200</v>
      </c>
      <c r="L220" s="16"/>
      <c r="M220" s="17">
        <v>600</v>
      </c>
      <c r="N220" s="17">
        <v>600</v>
      </c>
      <c r="O220" s="12" t="s">
        <v>29</v>
      </c>
      <c r="P220" s="18">
        <v>45443</v>
      </c>
      <c r="Q220" s="12" t="s">
        <v>47</v>
      </c>
      <c r="R220" s="12" t="s">
        <v>99</v>
      </c>
      <c r="S220" s="12" t="s">
        <v>48</v>
      </c>
      <c r="T220" s="19">
        <v>2</v>
      </c>
      <c r="U220" s="32" t="s">
        <v>1027</v>
      </c>
      <c r="V220" s="32" t="s">
        <v>1028</v>
      </c>
      <c r="W220" s="20">
        <v>1</v>
      </c>
    </row>
    <row r="221" spans="1:23" ht="38.25">
      <c r="A221" s="52" t="s">
        <v>1040</v>
      </c>
      <c r="B221" s="32" t="s">
        <v>1041</v>
      </c>
      <c r="C221" s="55" t="s">
        <v>862</v>
      </c>
      <c r="D221" s="32" t="s">
        <v>1042</v>
      </c>
      <c r="E221" s="11">
        <v>220</v>
      </c>
      <c r="F221" s="32" t="s">
        <v>1041</v>
      </c>
      <c r="G221" s="32"/>
      <c r="H221" s="12"/>
      <c r="I221" s="11">
        <v>12</v>
      </c>
      <c r="J221" s="11" t="s">
        <v>108</v>
      </c>
      <c r="K221" s="15">
        <v>11491.04</v>
      </c>
      <c r="L221" s="16"/>
      <c r="M221" s="17" t="s">
        <v>1043</v>
      </c>
      <c r="N221" s="17" t="s">
        <v>1043</v>
      </c>
      <c r="O221" s="12" t="s">
        <v>29</v>
      </c>
      <c r="P221" s="18">
        <v>45292</v>
      </c>
      <c r="Q221" s="12" t="s">
        <v>30</v>
      </c>
      <c r="R221" s="12" t="s">
        <v>31</v>
      </c>
      <c r="S221" s="12" t="s">
        <v>310</v>
      </c>
      <c r="T221" s="19">
        <v>2</v>
      </c>
      <c r="U221" s="32" t="s">
        <v>29</v>
      </c>
      <c r="V221" s="32" t="s">
        <v>1044</v>
      </c>
      <c r="W221" s="20">
        <v>1</v>
      </c>
    </row>
    <row r="222" spans="1:23" ht="89.25">
      <c r="A222" s="52" t="s">
        <v>1045</v>
      </c>
      <c r="B222" s="32" t="s">
        <v>1046</v>
      </c>
      <c r="C222" s="55" t="s">
        <v>862</v>
      </c>
      <c r="D222" s="32" t="s">
        <v>1047</v>
      </c>
      <c r="E222" s="11">
        <v>221</v>
      </c>
      <c r="F222" s="32" t="s">
        <v>1048</v>
      </c>
      <c r="G222" s="32"/>
      <c r="H222" s="12"/>
      <c r="I222" s="11">
        <v>1</v>
      </c>
      <c r="J222" s="11" t="s">
        <v>254</v>
      </c>
      <c r="K222" s="15">
        <v>60000</v>
      </c>
      <c r="L222" s="16"/>
      <c r="M222" s="17">
        <v>60000</v>
      </c>
      <c r="N222" s="17">
        <v>60000</v>
      </c>
      <c r="O222" s="12" t="s">
        <v>29</v>
      </c>
      <c r="P222" s="18">
        <v>45504</v>
      </c>
      <c r="Q222" s="12" t="s">
        <v>30</v>
      </c>
      <c r="R222" s="12" t="s">
        <v>31</v>
      </c>
      <c r="S222" s="12" t="s">
        <v>310</v>
      </c>
      <c r="T222" s="19">
        <v>2</v>
      </c>
      <c r="U222" s="32" t="s">
        <v>29</v>
      </c>
      <c r="V222" s="32" t="s">
        <v>1049</v>
      </c>
      <c r="W222" s="20">
        <v>1</v>
      </c>
    </row>
    <row r="223" spans="1:23" ht="114.75">
      <c r="A223" s="52" t="s">
        <v>1050</v>
      </c>
      <c r="B223" s="32" t="s">
        <v>1051</v>
      </c>
      <c r="C223" s="55" t="s">
        <v>862</v>
      </c>
      <c r="D223" s="32" t="s">
        <v>1052</v>
      </c>
      <c r="E223" s="11">
        <v>222</v>
      </c>
      <c r="F223" s="32" t="s">
        <v>1053</v>
      </c>
      <c r="G223" s="32"/>
      <c r="H223" s="12"/>
      <c r="I223" s="11">
        <v>2</v>
      </c>
      <c r="J223" s="11" t="s">
        <v>1039</v>
      </c>
      <c r="K223" s="15">
        <v>2100</v>
      </c>
      <c r="L223" s="16"/>
      <c r="M223" s="17">
        <v>4200</v>
      </c>
      <c r="N223" s="17">
        <v>4200</v>
      </c>
      <c r="O223" s="12" t="s">
        <v>29</v>
      </c>
      <c r="P223" s="18">
        <v>45443</v>
      </c>
      <c r="Q223" s="12" t="s">
        <v>47</v>
      </c>
      <c r="R223" s="12" t="s">
        <v>99</v>
      </c>
      <c r="S223" s="12" t="s">
        <v>48</v>
      </c>
      <c r="T223" s="19">
        <v>2</v>
      </c>
      <c r="U223" s="32" t="s">
        <v>29</v>
      </c>
      <c r="V223" s="32" t="s">
        <v>1054</v>
      </c>
      <c r="W223" s="20">
        <v>1</v>
      </c>
    </row>
    <row r="224" spans="1:23" ht="114.75">
      <c r="A224" s="53" t="s">
        <v>1055</v>
      </c>
      <c r="B224" s="27" t="s">
        <v>1056</v>
      </c>
      <c r="C224" s="26" t="s">
        <v>609</v>
      </c>
      <c r="D224" s="26" t="s">
        <v>1057</v>
      </c>
      <c r="E224" s="11">
        <v>223</v>
      </c>
      <c r="F224" s="56" t="s">
        <v>1058</v>
      </c>
      <c r="G224" s="20">
        <v>445485</v>
      </c>
      <c r="H224" s="12"/>
      <c r="I224" s="11">
        <v>360</v>
      </c>
      <c r="J224" s="20" t="s">
        <v>1059</v>
      </c>
      <c r="K224" s="15">
        <v>16</v>
      </c>
      <c r="L224" s="16"/>
      <c r="M224" s="17">
        <v>5670</v>
      </c>
      <c r="N224" s="17">
        <v>5670</v>
      </c>
      <c r="O224" s="12" t="s">
        <v>29</v>
      </c>
      <c r="P224" s="18">
        <v>45292</v>
      </c>
      <c r="Q224" s="12" t="s">
        <v>47</v>
      </c>
      <c r="R224" s="12" t="s">
        <v>99</v>
      </c>
      <c r="S224" s="12" t="s">
        <v>48</v>
      </c>
      <c r="T224" s="19">
        <v>4</v>
      </c>
      <c r="U224" s="26" t="s">
        <v>1060</v>
      </c>
      <c r="V224" s="26" t="s">
        <v>1061</v>
      </c>
      <c r="W224" s="20">
        <v>1</v>
      </c>
    </row>
    <row r="225" spans="1:23" ht="114.75">
      <c r="A225" s="53" t="s">
        <v>1062</v>
      </c>
      <c r="B225" s="27" t="s">
        <v>1056</v>
      </c>
      <c r="C225" s="26" t="s">
        <v>609</v>
      </c>
      <c r="D225" s="26" t="s">
        <v>1057</v>
      </c>
      <c r="E225" s="11">
        <v>224</v>
      </c>
      <c r="F225" s="56" t="s">
        <v>1063</v>
      </c>
      <c r="G225" s="20">
        <v>445485</v>
      </c>
      <c r="H225" s="12"/>
      <c r="I225" s="11">
        <v>336</v>
      </c>
      <c r="J225" s="20" t="s">
        <v>1064</v>
      </c>
      <c r="K225" s="15">
        <v>2</v>
      </c>
      <c r="L225" s="16"/>
      <c r="M225" s="17">
        <v>672</v>
      </c>
      <c r="N225" s="17">
        <v>672</v>
      </c>
      <c r="O225" s="12" t="s">
        <v>29</v>
      </c>
      <c r="P225" s="18">
        <v>45292</v>
      </c>
      <c r="Q225" s="12" t="s">
        <v>47</v>
      </c>
      <c r="R225" s="12" t="s">
        <v>99</v>
      </c>
      <c r="S225" s="12" t="s">
        <v>48</v>
      </c>
      <c r="T225" s="19">
        <v>4</v>
      </c>
      <c r="U225" s="26" t="s">
        <v>1065</v>
      </c>
      <c r="V225" s="26" t="s">
        <v>1061</v>
      </c>
      <c r="W225" s="20">
        <v>1</v>
      </c>
    </row>
    <row r="226" spans="1:23" ht="114.75">
      <c r="A226" s="53" t="s">
        <v>1066</v>
      </c>
      <c r="B226" s="27" t="s">
        <v>1056</v>
      </c>
      <c r="C226" s="26" t="s">
        <v>609</v>
      </c>
      <c r="D226" s="26" t="s">
        <v>1057</v>
      </c>
      <c r="E226" s="11">
        <v>225</v>
      </c>
      <c r="F226" s="56" t="s">
        <v>1067</v>
      </c>
      <c r="G226" s="20">
        <v>435019</v>
      </c>
      <c r="H226" s="12"/>
      <c r="I226" s="11">
        <v>120</v>
      </c>
      <c r="J226" s="20" t="s">
        <v>1068</v>
      </c>
      <c r="K226" s="15">
        <v>10</v>
      </c>
      <c r="L226" s="16"/>
      <c r="M226" s="17">
        <v>1200</v>
      </c>
      <c r="N226" s="17">
        <v>1200</v>
      </c>
      <c r="O226" s="12" t="s">
        <v>29</v>
      </c>
      <c r="P226" s="18">
        <v>45292</v>
      </c>
      <c r="Q226" s="12" t="s">
        <v>47</v>
      </c>
      <c r="R226" s="12" t="s">
        <v>99</v>
      </c>
      <c r="S226" s="12" t="s">
        <v>48</v>
      </c>
      <c r="T226" s="19">
        <v>4</v>
      </c>
      <c r="U226" s="26" t="s">
        <v>1069</v>
      </c>
      <c r="V226" s="26" t="s">
        <v>1061</v>
      </c>
      <c r="W226" s="20">
        <v>1</v>
      </c>
    </row>
    <row r="227" spans="1:23" ht="38.25">
      <c r="A227" s="53" t="s">
        <v>1070</v>
      </c>
      <c r="B227" s="24" t="s">
        <v>1071</v>
      </c>
      <c r="C227" s="24" t="s">
        <v>705</v>
      </c>
      <c r="D227" s="24" t="s">
        <v>1072</v>
      </c>
      <c r="E227" s="11">
        <v>226</v>
      </c>
      <c r="F227" s="56" t="s">
        <v>1071</v>
      </c>
      <c r="G227" s="12" t="s">
        <v>741</v>
      </c>
      <c r="H227" s="12"/>
      <c r="I227" s="11">
        <v>12</v>
      </c>
      <c r="J227" s="11" t="s">
        <v>108</v>
      </c>
      <c r="K227" s="37">
        <v>5970.91</v>
      </c>
      <c r="L227" s="16"/>
      <c r="M227" s="17">
        <v>71650.95</v>
      </c>
      <c r="N227" s="17">
        <v>71650.95</v>
      </c>
      <c r="O227" s="12" t="s">
        <v>29</v>
      </c>
      <c r="P227" s="18">
        <v>45292</v>
      </c>
      <c r="Q227" s="12" t="s">
        <v>109</v>
      </c>
      <c r="R227" s="12" t="s">
        <v>99</v>
      </c>
      <c r="S227" s="12" t="s">
        <v>100</v>
      </c>
      <c r="T227" s="19">
        <v>4</v>
      </c>
      <c r="U227" s="26" t="s">
        <v>29</v>
      </c>
      <c r="V227" s="24" t="s">
        <v>708</v>
      </c>
      <c r="W227" s="20">
        <v>1</v>
      </c>
    </row>
    <row r="228" spans="1:23" ht="102">
      <c r="A228" s="53" t="s">
        <v>1073</v>
      </c>
      <c r="B228" s="24" t="s">
        <v>1074</v>
      </c>
      <c r="C228" s="24" t="s">
        <v>589</v>
      </c>
      <c r="D228" s="24" t="s">
        <v>590</v>
      </c>
      <c r="E228" s="11">
        <v>227</v>
      </c>
      <c r="F228" s="56" t="s">
        <v>1074</v>
      </c>
      <c r="G228" s="20">
        <v>325850</v>
      </c>
      <c r="H228" s="12"/>
      <c r="I228" s="11">
        <v>3</v>
      </c>
      <c r="J228" s="11" t="s">
        <v>108</v>
      </c>
      <c r="K228" s="15">
        <v>3713.33</v>
      </c>
      <c r="L228" s="16"/>
      <c r="M228" s="17">
        <v>11140</v>
      </c>
      <c r="N228" s="17">
        <v>11140</v>
      </c>
      <c r="O228" s="12" t="s">
        <v>29</v>
      </c>
      <c r="P228" s="18">
        <v>45474</v>
      </c>
      <c r="Q228" s="12" t="s">
        <v>47</v>
      </c>
      <c r="R228" s="12" t="s">
        <v>99</v>
      </c>
      <c r="S228" s="12" t="s">
        <v>48</v>
      </c>
      <c r="T228" s="19">
        <v>4</v>
      </c>
      <c r="U228" s="24" t="s">
        <v>719</v>
      </c>
      <c r="V228" s="24" t="s">
        <v>593</v>
      </c>
      <c r="W228" s="20">
        <v>1</v>
      </c>
    </row>
    <row r="229" spans="1:23" ht="38.25">
      <c r="A229" s="53" t="s">
        <v>1075</v>
      </c>
      <c r="B229" s="10" t="s">
        <v>1076</v>
      </c>
      <c r="C229" s="10" t="s">
        <v>653</v>
      </c>
      <c r="D229" s="10" t="s">
        <v>839</v>
      </c>
      <c r="E229" s="11">
        <v>228</v>
      </c>
      <c r="F229" s="10" t="s">
        <v>1077</v>
      </c>
      <c r="G229" s="21">
        <v>255736</v>
      </c>
      <c r="H229" s="12"/>
      <c r="I229" s="11">
        <v>4</v>
      </c>
      <c r="J229" s="11" t="s">
        <v>28</v>
      </c>
      <c r="K229" s="15">
        <v>120</v>
      </c>
      <c r="L229" s="16"/>
      <c r="M229" s="17">
        <v>480</v>
      </c>
      <c r="N229" s="17">
        <v>480</v>
      </c>
      <c r="O229" s="12" t="s">
        <v>29</v>
      </c>
      <c r="P229" s="18">
        <v>45473</v>
      </c>
      <c r="Q229" s="12" t="s">
        <v>47</v>
      </c>
      <c r="R229" s="12" t="s">
        <v>99</v>
      </c>
      <c r="S229" s="12" t="s">
        <v>48</v>
      </c>
      <c r="T229" s="19">
        <v>4</v>
      </c>
      <c r="U229" s="10" t="s">
        <v>1078</v>
      </c>
      <c r="V229" s="10" t="s">
        <v>1079</v>
      </c>
      <c r="W229" s="20">
        <v>1</v>
      </c>
    </row>
    <row r="230" spans="1:23" ht="38.25">
      <c r="A230" s="53" t="s">
        <v>1080</v>
      </c>
      <c r="B230" s="10" t="s">
        <v>1076</v>
      </c>
      <c r="C230" s="10" t="s">
        <v>653</v>
      </c>
      <c r="D230" s="10" t="s">
        <v>839</v>
      </c>
      <c r="E230" s="11">
        <v>229</v>
      </c>
      <c r="F230" s="10" t="s">
        <v>1081</v>
      </c>
      <c r="G230" s="21">
        <v>269330</v>
      </c>
      <c r="H230" s="12"/>
      <c r="I230" s="11">
        <v>4</v>
      </c>
      <c r="J230" s="11" t="s">
        <v>28</v>
      </c>
      <c r="K230" s="15">
        <v>200</v>
      </c>
      <c r="L230" s="16"/>
      <c r="M230" s="17">
        <v>800</v>
      </c>
      <c r="N230" s="17">
        <v>800</v>
      </c>
      <c r="O230" s="12" t="s">
        <v>29</v>
      </c>
      <c r="P230" s="18">
        <v>45473</v>
      </c>
      <c r="Q230" s="12" t="s">
        <v>47</v>
      </c>
      <c r="R230" s="12" t="s">
        <v>99</v>
      </c>
      <c r="S230" s="12" t="s">
        <v>48</v>
      </c>
      <c r="T230" s="19">
        <v>4</v>
      </c>
      <c r="U230" s="10" t="s">
        <v>1078</v>
      </c>
      <c r="V230" s="10" t="s">
        <v>1079</v>
      </c>
      <c r="W230" s="20">
        <v>1</v>
      </c>
    </row>
    <row r="231" spans="1:23" ht="38.25">
      <c r="A231" s="53" t="s">
        <v>1082</v>
      </c>
      <c r="B231" s="10" t="s">
        <v>1076</v>
      </c>
      <c r="C231" s="10" t="s">
        <v>653</v>
      </c>
      <c r="D231" s="10" t="s">
        <v>839</v>
      </c>
      <c r="E231" s="11">
        <v>230</v>
      </c>
      <c r="F231" s="10" t="s">
        <v>1083</v>
      </c>
      <c r="G231" s="21">
        <v>269330</v>
      </c>
      <c r="H231" s="12"/>
      <c r="I231" s="11">
        <v>4</v>
      </c>
      <c r="J231" s="11" t="s">
        <v>28</v>
      </c>
      <c r="K231" s="15">
        <v>150</v>
      </c>
      <c r="L231" s="16"/>
      <c r="M231" s="17">
        <v>600</v>
      </c>
      <c r="N231" s="17">
        <v>600</v>
      </c>
      <c r="O231" s="12" t="s">
        <v>29</v>
      </c>
      <c r="P231" s="18">
        <v>45473</v>
      </c>
      <c r="Q231" s="12" t="s">
        <v>47</v>
      </c>
      <c r="R231" s="12" t="s">
        <v>99</v>
      </c>
      <c r="S231" s="12" t="s">
        <v>48</v>
      </c>
      <c r="T231" s="19">
        <v>4</v>
      </c>
      <c r="U231" s="10" t="s">
        <v>1078</v>
      </c>
      <c r="V231" s="10" t="s">
        <v>1079</v>
      </c>
      <c r="W231" s="20">
        <v>1</v>
      </c>
    </row>
    <row r="232" spans="1:23" ht="51">
      <c r="A232" s="53" t="s">
        <v>1084</v>
      </c>
      <c r="B232" s="24" t="s">
        <v>1085</v>
      </c>
      <c r="C232" s="24" t="s">
        <v>1086</v>
      </c>
      <c r="D232" s="24" t="s">
        <v>1087</v>
      </c>
      <c r="E232" s="11">
        <v>231</v>
      </c>
      <c r="F232" s="56" t="s">
        <v>701</v>
      </c>
      <c r="G232" s="12" t="s">
        <v>818</v>
      </c>
      <c r="H232" s="12"/>
      <c r="I232" s="11">
        <v>12</v>
      </c>
      <c r="J232" s="11" t="s">
        <v>108</v>
      </c>
      <c r="K232" s="15">
        <v>17199</v>
      </c>
      <c r="L232" s="16"/>
      <c r="M232" s="17">
        <v>206388</v>
      </c>
      <c r="N232" s="17">
        <v>206388</v>
      </c>
      <c r="O232" s="12" t="s">
        <v>29</v>
      </c>
      <c r="P232" s="18">
        <v>45292</v>
      </c>
      <c r="Q232" s="12" t="s">
        <v>47</v>
      </c>
      <c r="R232" s="12" t="s">
        <v>99</v>
      </c>
      <c r="S232" s="12" t="s">
        <v>117</v>
      </c>
      <c r="T232" s="19">
        <v>4</v>
      </c>
      <c r="U232" s="26"/>
      <c r="V232" s="24" t="s">
        <v>702</v>
      </c>
      <c r="W232" s="20">
        <v>1</v>
      </c>
    </row>
    <row r="233" spans="1:23" ht="89.25">
      <c r="A233" s="52" t="s">
        <v>1088</v>
      </c>
      <c r="B233" s="24" t="s">
        <v>1089</v>
      </c>
      <c r="C233" s="24" t="s">
        <v>1090</v>
      </c>
      <c r="D233" s="24" t="s">
        <v>1091</v>
      </c>
      <c r="E233" s="11">
        <v>232</v>
      </c>
      <c r="F233" s="24" t="s">
        <v>1092</v>
      </c>
      <c r="G233" s="12" t="s">
        <v>1093</v>
      </c>
      <c r="H233" s="12"/>
      <c r="I233" s="11">
        <v>1</v>
      </c>
      <c r="J233" s="11" t="s">
        <v>108</v>
      </c>
      <c r="K233" s="37">
        <v>1453983.04</v>
      </c>
      <c r="L233" s="16"/>
      <c r="M233" s="17">
        <v>1453983.04</v>
      </c>
      <c r="N233" s="17">
        <v>1453983.04</v>
      </c>
      <c r="O233" s="12" t="s">
        <v>29</v>
      </c>
      <c r="P233" s="18">
        <v>45646</v>
      </c>
      <c r="Q233" s="12" t="s">
        <v>30</v>
      </c>
      <c r="R233" s="12" t="s">
        <v>99</v>
      </c>
      <c r="S233" s="12" t="s">
        <v>310</v>
      </c>
      <c r="T233" s="19">
        <v>4</v>
      </c>
      <c r="U233" s="24" t="s">
        <v>1094</v>
      </c>
      <c r="V233" s="24" t="s">
        <v>1095</v>
      </c>
      <c r="W233" s="20">
        <v>1</v>
      </c>
    </row>
    <row r="234" spans="1:23" ht="51">
      <c r="A234" s="52" t="s">
        <v>1096</v>
      </c>
      <c r="B234" s="27" t="s">
        <v>1097</v>
      </c>
      <c r="C234" s="26" t="s">
        <v>639</v>
      </c>
      <c r="D234" s="26" t="s">
        <v>1098</v>
      </c>
      <c r="E234" s="11">
        <v>233</v>
      </c>
      <c r="F234" s="24" t="s">
        <v>1099</v>
      </c>
      <c r="G234" s="20">
        <v>440745</v>
      </c>
      <c r="H234" s="12"/>
      <c r="I234" s="11">
        <v>3</v>
      </c>
      <c r="J234" s="11" t="s">
        <v>28</v>
      </c>
      <c r="K234" s="37">
        <v>2979</v>
      </c>
      <c r="L234" s="16"/>
      <c r="M234" s="17">
        <v>8937</v>
      </c>
      <c r="N234" s="17">
        <v>8937</v>
      </c>
      <c r="O234" s="12" t="s">
        <v>29</v>
      </c>
      <c r="P234" s="18">
        <v>45565</v>
      </c>
      <c r="Q234" s="12" t="s">
        <v>47</v>
      </c>
      <c r="R234" s="12" t="s">
        <v>31</v>
      </c>
      <c r="S234" s="12" t="s">
        <v>48</v>
      </c>
      <c r="T234" s="19">
        <v>3</v>
      </c>
      <c r="U234" s="24" t="s">
        <v>1100</v>
      </c>
      <c r="V234" s="24" t="s">
        <v>643</v>
      </c>
      <c r="W234" s="20">
        <v>1</v>
      </c>
    </row>
    <row r="235" spans="1:23" ht="51">
      <c r="A235" s="52" t="s">
        <v>1101</v>
      </c>
      <c r="B235" s="27" t="s">
        <v>1097</v>
      </c>
      <c r="C235" s="26" t="s">
        <v>639</v>
      </c>
      <c r="D235" s="26" t="s">
        <v>1098</v>
      </c>
      <c r="E235" s="11">
        <v>234</v>
      </c>
      <c r="F235" s="24" t="s">
        <v>1102</v>
      </c>
      <c r="G235" s="20">
        <v>430760</v>
      </c>
      <c r="H235" s="12"/>
      <c r="I235" s="11">
        <v>24</v>
      </c>
      <c r="J235" s="11" t="s">
        <v>28</v>
      </c>
      <c r="K235" s="37">
        <v>3633</v>
      </c>
      <c r="L235" s="16"/>
      <c r="M235" s="17">
        <v>7266</v>
      </c>
      <c r="N235" s="17">
        <v>7266</v>
      </c>
      <c r="O235" s="12" t="s">
        <v>29</v>
      </c>
      <c r="P235" s="18">
        <v>45565</v>
      </c>
      <c r="Q235" s="12" t="s">
        <v>47</v>
      </c>
      <c r="R235" s="12" t="s">
        <v>31</v>
      </c>
      <c r="S235" s="12" t="s">
        <v>48</v>
      </c>
      <c r="T235" s="19">
        <v>3</v>
      </c>
      <c r="U235" s="24" t="s">
        <v>1100</v>
      </c>
      <c r="V235" s="24" t="s">
        <v>643</v>
      </c>
      <c r="W235" s="20">
        <v>1</v>
      </c>
    </row>
    <row r="236" spans="1:23" ht="63.75">
      <c r="A236" s="52" t="s">
        <v>1103</v>
      </c>
      <c r="B236" s="24" t="s">
        <v>1104</v>
      </c>
      <c r="C236" s="24" t="s">
        <v>1105</v>
      </c>
      <c r="D236" s="24" t="s">
        <v>1106</v>
      </c>
      <c r="E236" s="11">
        <v>235</v>
      </c>
      <c r="F236" s="24" t="s">
        <v>1104</v>
      </c>
      <c r="G236" s="12" t="s">
        <v>1107</v>
      </c>
      <c r="H236" s="12"/>
      <c r="I236" s="11">
        <v>5</v>
      </c>
      <c r="J236" s="11" t="s">
        <v>108</v>
      </c>
      <c r="K236" s="15">
        <v>666</v>
      </c>
      <c r="L236" s="16"/>
      <c r="M236" s="17">
        <v>3700</v>
      </c>
      <c r="N236" s="17">
        <v>3700</v>
      </c>
      <c r="O236" s="56" t="s">
        <v>31</v>
      </c>
      <c r="P236" s="18">
        <v>45596</v>
      </c>
      <c r="Q236" s="12" t="s">
        <v>47</v>
      </c>
      <c r="R236" s="12" t="s">
        <v>31</v>
      </c>
      <c r="S236" s="12" t="s">
        <v>48</v>
      </c>
      <c r="T236" s="19">
        <v>3</v>
      </c>
      <c r="U236" s="24" t="s">
        <v>719</v>
      </c>
      <c r="V236" s="24" t="s">
        <v>1108</v>
      </c>
      <c r="W236" s="20">
        <v>1</v>
      </c>
    </row>
    <row r="237" spans="1:23" ht="76.5">
      <c r="A237" s="53" t="s">
        <v>1109</v>
      </c>
      <c r="B237" s="24" t="s">
        <v>652</v>
      </c>
      <c r="C237" s="24" t="s">
        <v>653</v>
      </c>
      <c r="D237" s="24" t="s">
        <v>1110</v>
      </c>
      <c r="E237" s="11">
        <v>236</v>
      </c>
      <c r="F237" s="24" t="s">
        <v>652</v>
      </c>
      <c r="G237" s="12" t="s">
        <v>1111</v>
      </c>
      <c r="H237" s="12"/>
      <c r="I237" s="11">
        <v>1</v>
      </c>
      <c r="J237" s="11" t="s">
        <v>28</v>
      </c>
      <c r="K237" s="15">
        <v>649.9</v>
      </c>
      <c r="L237" s="16"/>
      <c r="M237" s="17">
        <v>649.9</v>
      </c>
      <c r="N237" s="17">
        <v>649.9</v>
      </c>
      <c r="O237" s="56" t="s">
        <v>29</v>
      </c>
      <c r="P237" s="18">
        <v>45350</v>
      </c>
      <c r="Q237" s="12" t="s">
        <v>47</v>
      </c>
      <c r="R237" s="12" t="s">
        <v>31</v>
      </c>
      <c r="S237" s="12" t="s">
        <v>48</v>
      </c>
      <c r="T237" s="19">
        <v>3</v>
      </c>
      <c r="U237" s="24" t="s">
        <v>600</v>
      </c>
      <c r="V237" s="24" t="s">
        <v>657</v>
      </c>
      <c r="W237" s="20">
        <v>1</v>
      </c>
    </row>
    <row r="238" spans="1:23" ht="216.75">
      <c r="A238" s="52" t="s">
        <v>1112</v>
      </c>
      <c r="B238" s="24" t="s">
        <v>664</v>
      </c>
      <c r="C238" s="24" t="s">
        <v>653</v>
      </c>
      <c r="D238" s="24" t="s">
        <v>665</v>
      </c>
      <c r="E238" s="11">
        <v>237</v>
      </c>
      <c r="F238" s="24" t="s">
        <v>664</v>
      </c>
      <c r="G238" s="32">
        <v>603265</v>
      </c>
      <c r="H238" s="12"/>
      <c r="I238" s="11">
        <v>4</v>
      </c>
      <c r="J238" s="11" t="s">
        <v>28</v>
      </c>
      <c r="K238" s="15">
        <v>6105</v>
      </c>
      <c r="L238" s="16"/>
      <c r="M238" s="17">
        <v>24420</v>
      </c>
      <c r="N238" s="17">
        <v>24420</v>
      </c>
      <c r="O238" s="56" t="s">
        <v>29</v>
      </c>
      <c r="P238" s="18">
        <v>45444</v>
      </c>
      <c r="Q238" s="12" t="s">
        <v>30</v>
      </c>
      <c r="R238" s="12" t="s">
        <v>31</v>
      </c>
      <c r="S238" s="12" t="s">
        <v>310</v>
      </c>
      <c r="T238" s="19">
        <v>2</v>
      </c>
      <c r="U238" s="24" t="s">
        <v>600</v>
      </c>
      <c r="V238" s="32" t="s">
        <v>666</v>
      </c>
      <c r="W238" s="20">
        <v>1</v>
      </c>
    </row>
    <row r="239" spans="1:23" ht="114.75">
      <c r="A239" s="53" t="s">
        <v>1113</v>
      </c>
      <c r="B239" s="10" t="s">
        <v>1114</v>
      </c>
      <c r="C239" s="26" t="s">
        <v>1105</v>
      </c>
      <c r="D239" s="26" t="s">
        <v>1115</v>
      </c>
      <c r="E239" s="11">
        <v>238</v>
      </c>
      <c r="F239" s="56" t="s">
        <v>1058</v>
      </c>
      <c r="G239" s="20">
        <v>445485</v>
      </c>
      <c r="H239" s="12"/>
      <c r="I239" s="11">
        <v>360</v>
      </c>
      <c r="J239" s="20" t="s">
        <v>1059</v>
      </c>
      <c r="K239" s="15">
        <v>13.4</v>
      </c>
      <c r="L239" s="16"/>
      <c r="M239" s="17">
        <v>4824</v>
      </c>
      <c r="N239" s="17">
        <v>4824</v>
      </c>
      <c r="O239" s="12" t="s">
        <v>29</v>
      </c>
      <c r="P239" s="18">
        <v>45292</v>
      </c>
      <c r="Q239" s="12" t="s">
        <v>47</v>
      </c>
      <c r="R239" s="12" t="s">
        <v>99</v>
      </c>
      <c r="S239" s="12" t="s">
        <v>48</v>
      </c>
      <c r="T239" s="19">
        <v>4</v>
      </c>
      <c r="U239" s="26" t="s">
        <v>1116</v>
      </c>
      <c r="V239" s="26" t="s">
        <v>1117</v>
      </c>
      <c r="W239" s="20">
        <v>1</v>
      </c>
    </row>
    <row r="240" spans="1:23" ht="114.75">
      <c r="A240" s="53" t="s">
        <v>1118</v>
      </c>
      <c r="B240" s="10" t="s">
        <v>1114</v>
      </c>
      <c r="C240" s="26" t="s">
        <v>1105</v>
      </c>
      <c r="D240" s="26" t="s">
        <v>1115</v>
      </c>
      <c r="E240" s="11">
        <v>239</v>
      </c>
      <c r="F240" s="56" t="s">
        <v>1063</v>
      </c>
      <c r="G240" s="20">
        <v>445485</v>
      </c>
      <c r="H240" s="12"/>
      <c r="I240" s="11">
        <v>576</v>
      </c>
      <c r="J240" s="20" t="s">
        <v>1064</v>
      </c>
      <c r="K240" s="15">
        <v>1.45</v>
      </c>
      <c r="L240" s="16"/>
      <c r="M240" s="17">
        <v>835.2</v>
      </c>
      <c r="N240" s="17">
        <v>835.2</v>
      </c>
      <c r="O240" s="12" t="s">
        <v>29</v>
      </c>
      <c r="P240" s="18">
        <v>45292</v>
      </c>
      <c r="Q240" s="12" t="s">
        <v>47</v>
      </c>
      <c r="R240" s="12" t="s">
        <v>99</v>
      </c>
      <c r="S240" s="12" t="s">
        <v>48</v>
      </c>
      <c r="T240" s="19">
        <v>4</v>
      </c>
      <c r="U240" s="26" t="s">
        <v>1116</v>
      </c>
      <c r="V240" s="26" t="s">
        <v>1117</v>
      </c>
      <c r="W240" s="20">
        <v>1</v>
      </c>
    </row>
    <row r="241" spans="1:23" ht="114.75">
      <c r="A241" s="53" t="s">
        <v>1119</v>
      </c>
      <c r="B241" s="10" t="s">
        <v>1114</v>
      </c>
      <c r="C241" s="26" t="s">
        <v>1105</v>
      </c>
      <c r="D241" s="26" t="s">
        <v>1115</v>
      </c>
      <c r="E241" s="11">
        <v>240</v>
      </c>
      <c r="F241" s="56" t="s">
        <v>1067</v>
      </c>
      <c r="G241" s="20">
        <v>435019</v>
      </c>
      <c r="H241" s="12"/>
      <c r="I241" s="11">
        <v>240</v>
      </c>
      <c r="J241" s="11" t="s">
        <v>1068</v>
      </c>
      <c r="K241" s="15">
        <v>7.75</v>
      </c>
      <c r="L241" s="16"/>
      <c r="M241" s="17">
        <v>1860</v>
      </c>
      <c r="N241" s="17">
        <v>1860</v>
      </c>
      <c r="O241" s="12" t="s">
        <v>29</v>
      </c>
      <c r="P241" s="18">
        <v>45292</v>
      </c>
      <c r="Q241" s="12" t="s">
        <v>47</v>
      </c>
      <c r="R241" s="12" t="s">
        <v>99</v>
      </c>
      <c r="S241" s="12" t="s">
        <v>48</v>
      </c>
      <c r="T241" s="19">
        <v>4</v>
      </c>
      <c r="U241" s="26" t="s">
        <v>1116</v>
      </c>
      <c r="V241" s="26" t="s">
        <v>1117</v>
      </c>
      <c r="W241" s="20">
        <v>1</v>
      </c>
    </row>
    <row r="242" spans="1:23" ht="38.25">
      <c r="A242" s="53" t="s">
        <v>1120</v>
      </c>
      <c r="B242" s="24" t="s">
        <v>739</v>
      </c>
      <c r="C242" s="24" t="s">
        <v>1121</v>
      </c>
      <c r="D242" s="24" t="s">
        <v>1072</v>
      </c>
      <c r="E242" s="11">
        <v>241</v>
      </c>
      <c r="F242" s="56" t="s">
        <v>583</v>
      </c>
      <c r="G242" s="12" t="s">
        <v>741</v>
      </c>
      <c r="H242" s="12"/>
      <c r="I242" s="11">
        <v>12</v>
      </c>
      <c r="J242" s="11" t="s">
        <v>108</v>
      </c>
      <c r="K242" s="37">
        <v>4528.26</v>
      </c>
      <c r="L242" s="16"/>
      <c r="M242" s="17">
        <v>54339.12</v>
      </c>
      <c r="N242" s="17">
        <v>54339.12</v>
      </c>
      <c r="O242" s="12" t="s">
        <v>29</v>
      </c>
      <c r="P242" s="18">
        <v>45292</v>
      </c>
      <c r="Q242" s="12" t="s">
        <v>109</v>
      </c>
      <c r="R242" s="12" t="s">
        <v>99</v>
      </c>
      <c r="S242" s="12" t="s">
        <v>100</v>
      </c>
      <c r="T242" s="19">
        <v>4</v>
      </c>
      <c r="U242" s="26" t="s">
        <v>29</v>
      </c>
      <c r="V242" s="24" t="s">
        <v>1122</v>
      </c>
      <c r="W242" s="20">
        <v>1</v>
      </c>
    </row>
    <row r="243" spans="1:23" ht="102">
      <c r="A243" s="53" t="s">
        <v>1123</v>
      </c>
      <c r="B243" s="24" t="s">
        <v>1124</v>
      </c>
      <c r="C243" s="24" t="s">
        <v>589</v>
      </c>
      <c r="D243" s="24" t="s">
        <v>590</v>
      </c>
      <c r="E243" s="11">
        <v>242</v>
      </c>
      <c r="F243" s="24" t="s">
        <v>1124</v>
      </c>
      <c r="G243" s="20">
        <v>325850</v>
      </c>
      <c r="H243" s="12"/>
      <c r="I243" s="11">
        <v>3</v>
      </c>
      <c r="J243" s="11" t="s">
        <v>108</v>
      </c>
      <c r="K243" s="37">
        <v>3205.95</v>
      </c>
      <c r="L243" s="16"/>
      <c r="M243" s="17">
        <v>9617.84</v>
      </c>
      <c r="N243" s="17">
        <v>9617.84</v>
      </c>
      <c r="O243" s="12" t="s">
        <v>29</v>
      </c>
      <c r="P243" s="18">
        <v>45292</v>
      </c>
      <c r="Q243" s="12" t="s">
        <v>47</v>
      </c>
      <c r="R243" s="12" t="s">
        <v>99</v>
      </c>
      <c r="S243" s="12" t="s">
        <v>48</v>
      </c>
      <c r="T243" s="19">
        <v>4</v>
      </c>
      <c r="U243" s="24" t="s">
        <v>592</v>
      </c>
      <c r="V243" s="24" t="s">
        <v>593</v>
      </c>
      <c r="W243" s="20">
        <v>1</v>
      </c>
    </row>
    <row r="244" spans="1:23" ht="51">
      <c r="A244" s="53" t="s">
        <v>1125</v>
      </c>
      <c r="B244" s="24" t="s">
        <v>1126</v>
      </c>
      <c r="C244" s="24" t="s">
        <v>1127</v>
      </c>
      <c r="D244" s="24" t="s">
        <v>1128</v>
      </c>
      <c r="E244" s="11">
        <v>243</v>
      </c>
      <c r="F244" s="56" t="s">
        <v>701</v>
      </c>
      <c r="G244" s="20">
        <v>4316</v>
      </c>
      <c r="H244" s="12"/>
      <c r="I244" s="11">
        <v>12</v>
      </c>
      <c r="J244" s="11" t="s">
        <v>108</v>
      </c>
      <c r="K244" s="15">
        <v>18466</v>
      </c>
      <c r="L244" s="16"/>
      <c r="M244" s="17">
        <v>221592</v>
      </c>
      <c r="N244" s="17">
        <v>221592</v>
      </c>
      <c r="O244" s="12" t="s">
        <v>29</v>
      </c>
      <c r="P244" s="18">
        <v>45292</v>
      </c>
      <c r="Q244" s="12" t="s">
        <v>47</v>
      </c>
      <c r="R244" s="12" t="s">
        <v>99</v>
      </c>
      <c r="S244" s="12" t="s">
        <v>117</v>
      </c>
      <c r="T244" s="19">
        <v>4</v>
      </c>
      <c r="U244" s="26" t="s">
        <v>29</v>
      </c>
      <c r="V244" s="24" t="s">
        <v>606</v>
      </c>
      <c r="W244" s="20">
        <v>1</v>
      </c>
    </row>
    <row r="245" spans="1:23" ht="38.25">
      <c r="A245" s="53" t="s">
        <v>1129</v>
      </c>
      <c r="B245" s="10" t="s">
        <v>744</v>
      </c>
      <c r="C245" s="10" t="s">
        <v>1130</v>
      </c>
      <c r="D245" s="10" t="s">
        <v>1131</v>
      </c>
      <c r="E245" s="11">
        <v>244</v>
      </c>
      <c r="F245" s="10" t="s">
        <v>744</v>
      </c>
      <c r="G245" s="21">
        <v>301873</v>
      </c>
      <c r="H245" s="12"/>
      <c r="I245" s="11">
        <v>350</v>
      </c>
      <c r="J245" s="11" t="s">
        <v>747</v>
      </c>
      <c r="K245" s="15">
        <v>23</v>
      </c>
      <c r="L245" s="16"/>
      <c r="M245" s="17">
        <v>8050</v>
      </c>
      <c r="N245" s="17">
        <v>8050</v>
      </c>
      <c r="O245" s="12" t="s">
        <v>29</v>
      </c>
      <c r="P245" s="18">
        <v>45352</v>
      </c>
      <c r="Q245" s="12" t="s">
        <v>47</v>
      </c>
      <c r="R245" s="12" t="s">
        <v>31</v>
      </c>
      <c r="S245" s="12" t="s">
        <v>48</v>
      </c>
      <c r="T245" s="19">
        <v>3</v>
      </c>
      <c r="U245" s="26" t="s">
        <v>29</v>
      </c>
      <c r="V245" s="10" t="s">
        <v>748</v>
      </c>
      <c r="W245" s="20">
        <v>1</v>
      </c>
    </row>
    <row r="246" spans="1:23" ht="63.75">
      <c r="A246" s="53" t="s">
        <v>1132</v>
      </c>
      <c r="B246" s="24" t="s">
        <v>1133</v>
      </c>
      <c r="C246" s="24" t="s">
        <v>1134</v>
      </c>
      <c r="D246" s="24" t="s">
        <v>1135</v>
      </c>
      <c r="E246" s="11">
        <v>245</v>
      </c>
      <c r="F246" s="24" t="s">
        <v>712</v>
      </c>
      <c r="G246" s="12" t="s">
        <v>1136</v>
      </c>
      <c r="H246" s="12"/>
      <c r="I246" s="11">
        <v>1</v>
      </c>
      <c r="J246" s="11" t="s">
        <v>108</v>
      </c>
      <c r="K246" s="15">
        <v>9000</v>
      </c>
      <c r="L246" s="16"/>
      <c r="M246" s="17">
        <v>9000</v>
      </c>
      <c r="N246" s="17">
        <v>9000</v>
      </c>
      <c r="O246" s="12" t="s">
        <v>29</v>
      </c>
      <c r="P246" s="18">
        <v>45292</v>
      </c>
      <c r="Q246" s="12" t="s">
        <v>47</v>
      </c>
      <c r="R246" s="12" t="s">
        <v>99</v>
      </c>
      <c r="S246" s="12" t="s">
        <v>48</v>
      </c>
      <c r="T246" s="19">
        <v>3</v>
      </c>
      <c r="U246" s="24" t="s">
        <v>1137</v>
      </c>
      <c r="V246" s="24" t="s">
        <v>1138</v>
      </c>
      <c r="W246" s="20">
        <v>1</v>
      </c>
    </row>
    <row r="247" spans="1:23" ht="14.25"/>
    <row r="248" spans="1:23" ht="14.25"/>
    <row r="249" spans="1:23" ht="14.25"/>
    <row r="250" spans="1:23" ht="14.25"/>
    <row r="251" spans="1:23" ht="14.25"/>
    <row r="252" spans="1:23" ht="14.25"/>
    <row r="253" spans="1:23" ht="14.25"/>
    <row r="254" spans="1:23" ht="14.25"/>
    <row r="255" spans="1:23" ht="14.25"/>
    <row r="256" spans="1:23" ht="14.25"/>
  </sheetData>
  <mergeCells count="2">
    <mergeCell ref="F128:G128"/>
    <mergeCell ref="F185:G185"/>
  </mergeCells>
  <hyperlinks>
    <hyperlink ref="B44" r:id="rId1"/>
    <hyperlink ref="B45" r:id="rId2"/>
    <hyperlink ref="B52" r:id="rId3"/>
    <hyperlink ref="B56" r:id="rId4"/>
    <hyperlink ref="C90" r:id="rId5"/>
    <hyperlink ref="C91" r:id="rId6"/>
    <hyperlink ref="C92" r:id="rId7"/>
    <hyperlink ref="C93" r:id="rId8"/>
  </hyperlinks>
  <pageMargins left="0.511811023622047" right="0.511811023622047" top="1.181102362204725" bottom="1.181102362204725" header="0.78740157480314998" footer="0.78740157480314998"/>
  <pageSetup paperSize="0"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56"/>
  <sheetViews>
    <sheetView topLeftCell="A2" workbookViewId="0"/>
  </sheetViews>
  <sheetFormatPr defaultRowHeight="14.1"/>
  <cols>
    <col min="1" max="1" width="33.375" style="75" customWidth="1"/>
    <col min="2" max="2" width="32.125" style="120" customWidth="1"/>
    <col min="3" max="3" width="19.125" style="112" customWidth="1"/>
    <col min="4" max="4" width="9.75" style="112" customWidth="1"/>
    <col min="5" max="5" width="12.5" style="112" customWidth="1"/>
    <col min="6" max="6" width="16.75" style="112" customWidth="1"/>
    <col min="7" max="7" width="11" style="67" customWidth="1"/>
    <col min="8" max="8" width="7.75" style="67" customWidth="1"/>
    <col min="9" max="9" width="6.875" style="119" customWidth="1"/>
    <col min="10" max="10" width="7.5" style="67" customWidth="1"/>
    <col min="11" max="12" width="7" style="67" customWidth="1"/>
    <col min="13" max="13" width="13.875" style="67" customWidth="1"/>
    <col min="14" max="14" width="5.625" style="67" customWidth="1"/>
    <col min="15" max="16" width="6.25" style="119" customWidth="1"/>
    <col min="17" max="17" width="7.625" style="119" customWidth="1"/>
    <col min="18" max="18" width="8.25" style="119" customWidth="1"/>
    <col min="19" max="19" width="9.5" style="119" customWidth="1"/>
    <col min="20" max="20" width="7.375" style="119" customWidth="1"/>
    <col min="21" max="21" width="6.25" style="119" customWidth="1"/>
    <col min="22" max="22" width="8.25" style="119" customWidth="1"/>
    <col min="23" max="23" width="8.875" style="67" customWidth="1"/>
    <col min="24" max="24" width="9.25" style="67" customWidth="1"/>
    <col min="25" max="25" width="10.25" style="67" customWidth="1"/>
    <col min="26" max="26" width="10.75" style="67" customWidth="1"/>
    <col min="27" max="27" width="10.375" style="67" customWidth="1"/>
    <col min="28" max="28" width="11" style="67" customWidth="1"/>
    <col min="29" max="29" width="9.625" style="67" customWidth="1"/>
    <col min="30" max="30" width="42.625" style="112" customWidth="1"/>
    <col min="31" max="31" width="10.875" style="112" customWidth="1"/>
    <col min="32" max="32" width="14.125" style="75" customWidth="1"/>
    <col min="33" max="33" width="9.875" style="75" customWidth="1"/>
    <col min="34" max="1023" width="8.5" style="75" customWidth="1"/>
    <col min="1024" max="1024" width="9" style="75" customWidth="1"/>
    <col min="1025" max="1025" width="9" customWidth="1"/>
  </cols>
  <sheetData>
    <row r="1" spans="1:33" ht="15" hidden="1">
      <c r="A1" s="69"/>
      <c r="B1" s="70"/>
      <c r="C1" s="71" t="s">
        <v>1139</v>
      </c>
      <c r="D1" s="71" t="s">
        <v>1140</v>
      </c>
      <c r="E1" s="71"/>
      <c r="F1" s="71"/>
      <c r="G1" s="72"/>
      <c r="H1" s="73"/>
      <c r="I1" s="73"/>
      <c r="J1" s="73"/>
      <c r="K1" s="73"/>
      <c r="L1" s="73"/>
      <c r="M1" s="73"/>
      <c r="N1" s="73"/>
      <c r="O1" s="73"/>
      <c r="P1" s="73"/>
      <c r="Q1" s="73"/>
      <c r="R1" s="73"/>
      <c r="S1" s="73"/>
      <c r="T1" s="73"/>
      <c r="U1" s="73"/>
      <c r="V1" s="73"/>
      <c r="W1" s="73"/>
      <c r="X1" s="73"/>
      <c r="Y1" s="73"/>
      <c r="Z1" s="73"/>
      <c r="AA1" s="73"/>
      <c r="AB1" s="73"/>
      <c r="AC1" s="73"/>
      <c r="AD1" s="74"/>
      <c r="AE1" s="74"/>
    </row>
    <row r="2" spans="1:33" s="74" customFormat="1" ht="15">
      <c r="B2" s="76"/>
      <c r="C2" s="121" t="s">
        <v>1141</v>
      </c>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row>
    <row r="3" spans="1:33" s="75" customFormat="1" ht="15">
      <c r="A3" s="122" t="s">
        <v>1142</v>
      </c>
      <c r="B3" s="122"/>
      <c r="C3" s="122"/>
      <c r="D3" s="122"/>
      <c r="E3" s="122"/>
      <c r="F3" s="122"/>
      <c r="G3" s="122"/>
      <c r="H3" s="123" t="s">
        <v>1143</v>
      </c>
      <c r="I3" s="123"/>
      <c r="J3" s="123"/>
      <c r="K3" s="123"/>
      <c r="L3" s="123"/>
      <c r="M3" s="123"/>
      <c r="N3" s="123"/>
      <c r="O3" s="123"/>
      <c r="P3" s="123"/>
      <c r="Q3" s="123"/>
      <c r="R3" s="123"/>
      <c r="S3" s="123"/>
      <c r="T3" s="123"/>
      <c r="U3" s="123"/>
      <c r="V3" s="123"/>
      <c r="W3" s="123" t="s">
        <v>1144</v>
      </c>
      <c r="X3" s="123"/>
      <c r="Y3" s="123"/>
      <c r="Z3" s="123"/>
      <c r="AA3" s="123"/>
      <c r="AB3" s="123"/>
      <c r="AC3" s="123"/>
    </row>
    <row r="4" spans="1:33" ht="49.9" customHeight="1">
      <c r="A4" s="124" t="s">
        <v>1145</v>
      </c>
      <c r="B4" s="124" t="s">
        <v>1146</v>
      </c>
      <c r="C4" s="124" t="s">
        <v>1147</v>
      </c>
      <c r="D4" s="124" t="s">
        <v>1148</v>
      </c>
      <c r="E4" s="78"/>
      <c r="F4" s="124" t="s">
        <v>1149</v>
      </c>
      <c r="G4" s="124" t="s">
        <v>1150</v>
      </c>
      <c r="H4" s="125" t="s">
        <v>1151</v>
      </c>
      <c r="I4" s="125" t="s">
        <v>1152</v>
      </c>
      <c r="J4" s="125" t="s">
        <v>1153</v>
      </c>
      <c r="K4" s="125" t="s">
        <v>1154</v>
      </c>
      <c r="L4" s="125" t="s">
        <v>1155</v>
      </c>
      <c r="M4" s="126" t="s">
        <v>144</v>
      </c>
      <c r="N4" s="126"/>
      <c r="O4" s="126"/>
      <c r="P4" s="127" t="s">
        <v>1156</v>
      </c>
      <c r="Q4" s="127"/>
      <c r="R4" s="127"/>
      <c r="S4" s="128" t="s">
        <v>1157</v>
      </c>
      <c r="T4" s="125" t="s">
        <v>1158</v>
      </c>
      <c r="U4" s="129" t="s">
        <v>1159</v>
      </c>
      <c r="V4" s="125" t="s">
        <v>1160</v>
      </c>
      <c r="W4" s="125" t="s">
        <v>1161</v>
      </c>
      <c r="X4" s="125" t="s">
        <v>1162</v>
      </c>
      <c r="Y4" s="80" t="s">
        <v>1163</v>
      </c>
      <c r="Z4" s="81" t="s">
        <v>1164</v>
      </c>
      <c r="AA4" s="81" t="s">
        <v>1165</v>
      </c>
      <c r="AB4" s="128" t="s">
        <v>1166</v>
      </c>
      <c r="AC4" s="125" t="s">
        <v>1167</v>
      </c>
      <c r="AD4" s="75"/>
      <c r="AE4" s="82"/>
      <c r="AF4" s="83"/>
    </row>
    <row r="5" spans="1:33" s="85" customFormat="1" ht="58.9" customHeight="1">
      <c r="A5" s="124"/>
      <c r="B5" s="124"/>
      <c r="C5" s="124"/>
      <c r="D5" s="124"/>
      <c r="E5" s="77" t="s">
        <v>1168</v>
      </c>
      <c r="F5" s="124"/>
      <c r="G5" s="124"/>
      <c r="H5" s="125"/>
      <c r="I5" s="125"/>
      <c r="J5" s="125"/>
      <c r="K5" s="125"/>
      <c r="L5" s="125"/>
      <c r="M5" s="81" t="s">
        <v>1169</v>
      </c>
      <c r="N5" s="81" t="s">
        <v>1170</v>
      </c>
      <c r="O5" s="81" t="s">
        <v>1171</v>
      </c>
      <c r="P5" s="84" t="s">
        <v>1172</v>
      </c>
      <c r="Q5" s="84" t="s">
        <v>1173</v>
      </c>
      <c r="R5" s="84" t="s">
        <v>1174</v>
      </c>
      <c r="S5" s="128"/>
      <c r="T5" s="125"/>
      <c r="U5" s="129"/>
      <c r="V5" s="125"/>
      <c r="W5" s="125"/>
      <c r="X5" s="125"/>
      <c r="Y5" s="84" t="s">
        <v>1175</v>
      </c>
      <c r="Z5" s="84" t="s">
        <v>1176</v>
      </c>
      <c r="AA5" s="84" t="s">
        <v>1177</v>
      </c>
      <c r="AB5" s="128"/>
      <c r="AC5" s="125"/>
      <c r="AE5" s="86"/>
      <c r="AF5" s="87"/>
    </row>
    <row r="6" spans="1:33" ht="28.15" customHeight="1">
      <c r="A6" s="88" t="s">
        <v>23</v>
      </c>
      <c r="B6" s="89" t="str">
        <f>IFERROR(VLOOKUP(A6,PAC!$A$2:$V$5011,2,0),"")</f>
        <v>Aquisição de Suprimentos de Informática : Cartuchos de Toners  para Seção Judiciária do Pará e Subseções/ 2024</v>
      </c>
      <c r="C6" s="90" t="s">
        <v>1178</v>
      </c>
      <c r="D6" s="91">
        <f>IFERROR(VLOOKUP(A6,PAC!$A$2:$V$5011,16,0),"")</f>
        <v>45412</v>
      </c>
      <c r="E6" s="92" t="str">
        <f>VLOOKUP(A6,PAC!$A$2:$V$5011,17,0)</f>
        <v>90 DIAS</v>
      </c>
      <c r="F6" s="93">
        <f>IFERROR(VLOOKUP(A6,PAC!$A$2:$V$5011,14,0),"")</f>
        <v>5000</v>
      </c>
      <c r="G6" s="93" t="s">
        <v>310</v>
      </c>
      <c r="H6" s="94" t="s">
        <v>22</v>
      </c>
      <c r="I6" s="94" t="s">
        <v>22</v>
      </c>
      <c r="J6" s="95">
        <f>SUMIF(PAC!$A$2:$A$5011,A6,PAC!$W$2:$W$5011)</f>
        <v>1</v>
      </c>
      <c r="K6" s="95">
        <f t="shared" ref="K6:K37" si="0">IF(OR(G6="dispensa",G6="inexigibilidade",G6="licitação"),15,"0")</f>
        <v>15</v>
      </c>
      <c r="L6" s="95">
        <f t="shared" ref="L6:L37" si="1">IF(OR(G6="dispensa",G6="inexigibilidade",G6="licitação"),10,"0")</f>
        <v>10</v>
      </c>
      <c r="M6" s="95">
        <f t="shared" ref="M6:M69" si="2">IF(AND(G6="Licitação"),IF(AND(H6=""),"0",IF(AND(H6="N"),20,IF(AND(H6="C"),40))),"0")</f>
        <v>20</v>
      </c>
      <c r="N6" s="95">
        <f t="shared" ref="N6:N37" si="3">IF(AND(G6="Licitação"),IF(AND(H6=""),"0",IF(AND(H6="N"),15,IF(AND(H6="C"),25))),"0")</f>
        <v>15</v>
      </c>
      <c r="O6" s="95">
        <f t="shared" ref="O6:O18" si="4">IF(AND(G6="Licitação"),IF(AND(I6=""),"0",IF(AND(I6="N"),25,IF(AND(I6="S"),40))),"0")</f>
        <v>25</v>
      </c>
      <c r="P6" s="95" t="str">
        <f t="shared" ref="P6:P37" si="5">IF(OR(G6="dispensa",G6="inexigibilidade"),IF(AND(J6=0),0,IF(AND(J6&gt;0,J6&lt;11),35,IF(AND(J6&gt;10,J6&lt;21),45,IF(AND(J6&gt;20),60)))),"0")</f>
        <v>0</v>
      </c>
      <c r="Q6" s="95" t="str">
        <f t="shared" ref="Q6:Q37" si="6">IF(OR(G6="dispensa",G6="inexigibilidade"),3,"0")</f>
        <v>0</v>
      </c>
      <c r="R6" s="95" t="str">
        <f t="shared" ref="R6:R37" si="7">IF(OR(G6="dispensa",G6="inexigibilidade"),3,"0")</f>
        <v>0</v>
      </c>
      <c r="S6" s="95" t="str">
        <f t="shared" ref="S6:S18" si="8">IF(OR(G6="prorrogação",G6="renovação"),60,"0")</f>
        <v>0</v>
      </c>
      <c r="T6" s="95">
        <f t="shared" ref="T6:T37" si="9">IF(OR(G6="dispensa",G6="inexigibilidade",G6="licitação"),IF(AND(H6="C"),5,IF(AND(H6="N"),3,IF(AND(H6=""),"0"))),"0")</f>
        <v>3</v>
      </c>
      <c r="U6" s="95">
        <f t="shared" ref="U6:U18" si="10">IF(D6&gt;44549,18,"0")</f>
        <v>18</v>
      </c>
      <c r="V6" s="95">
        <f t="shared" ref="V6:V37" si="11">SUM(K6:U6)</f>
        <v>106</v>
      </c>
      <c r="W6" s="96">
        <f t="shared" ref="W6:W69" si="12">IF(AND($G6="licitação"),$D6-$V6,IF(AND($G6="dispensa"),$D6-$V6,IF(AND($G6="inexigibilidade"),$D6-$V6,IF(AND($G6="renovação"),"---",IF(AND($G6="prorrogação"),"---",IF(AND($G6=""),"---"))))))</f>
        <v>45306</v>
      </c>
      <c r="X6" s="96">
        <f t="shared" ref="X6:X69" si="13">IF(AND($G6="licitação"),$W6+$K6+$L6,IF(AND($G6="dispensa"),$W6+$K6+$L6,IF(AND($G6="inexigibilidade"),$W6+$K6+$L6,IF(AND($G6="renovação"),"---",IF(AND($G6="prorrogação"),"---",IF(AND($G6=""),"---"))))))</f>
        <v>45331</v>
      </c>
      <c r="Y6" s="96">
        <f t="shared" ref="Y6:Y69" si="14">IF(AND($G6="licitação"),$X6+$M6,IF(AND($G6="dispensa"),$X6+$P6,IF(AND($G6="inexigibilidade"),$X6+$P6,IF(AND($G6="prorrogação"),"---",IF(AND($G6="renovação"),"---",IF(AND($G6=""),"---"))))))</f>
        <v>45351</v>
      </c>
      <c r="Z6" s="96">
        <f t="shared" ref="Z6:Z69" si="15">IF(AND($G6="licitação"),$Y6+$N6,IF(AND($G6="dispensa"),$Y6+$Q6,IF(AND($G6="inexigibilidade"),$Y6+$Q6,IF(AND($G6="prorrogação"),"---",IF(AND($G6="renovação"),"---",IF(AND($G6=""),"---"))))))</f>
        <v>45366</v>
      </c>
      <c r="AA6" s="96">
        <f t="shared" ref="AA6:AA69" si="16">IF(AND($G6="licitação"),$Z6+$O6,IF(AND($G6="dispensa"),$Z6+$R6,IF(AND($G6="inexigibilidade"),$Z6+$R6,IF(AND($G6="prorrogação"),"---",IF(AND($G6="renovação"),"---",IF(AND($G6=""),"---"))))))</f>
        <v>45391</v>
      </c>
      <c r="AB6" s="96" t="str">
        <f t="shared" ref="AB6:AB69" si="17">IF(AND($G6="licitação"),"---",IF(AND($G6="dispensa"),"---",IF(AND($G6="inexigibilidade"),"---",IF(AND($G6="renovação"),$D6-$V6,IF(AND($G6="prorrogação"),$D6-$V6,IF(AND($G6=""),"---"))))))</f>
        <v>---</v>
      </c>
      <c r="AC6" s="96">
        <f t="shared" ref="AC6:AC69" si="18">IF(AND($G6="licitação"),AA6+T6,IF(AND($G6="dispensa"),AA6+T6,IF(AND($G6="inexigibilidade"),AA6+T6,IF(AND($G6="renovação"),$AB6+$S6,IF(AND($G6="prorrogação"),$AB6+$S6,IF(AND($G6=""),"---"))))))</f>
        <v>45394</v>
      </c>
      <c r="AD6" s="97" t="str">
        <f t="shared" ref="AD6:AD18" si="19">IFERROR(IF(OR(G6="dispensa",G6="inexigibilidade",G6="licitação"),IF(AND(W6&lt;44568,AC6&gt;44549),"Atenção!Há recesso forense no período! Fazer ajuste manual de datas, se for o caso.",""),IF(OR(G6="prorrogação",G6="renovação"),(IF(AND(AB6&lt;44568,AC6&gt;44549),"Atenção!Há recesso forense no período! Fazer ajuste manual de datas, se for o caso.")),"")),"")</f>
        <v/>
      </c>
      <c r="AE6" s="82"/>
    </row>
    <row r="7" spans="1:33" s="75" customFormat="1" ht="36">
      <c r="A7" s="88" t="s">
        <v>35</v>
      </c>
      <c r="B7" s="89" t="str">
        <f>IFERROR(VLOOKUP(A7,PAC!$A$2:$V$5011,2,0),"")</f>
        <v>Aquisição de Suprimentos de Informática : Cartuchos de Toners  para Seção Judiciária do Pará e Subseções/ 2023.</v>
      </c>
      <c r="C7" s="90" t="s">
        <v>1178</v>
      </c>
      <c r="D7" s="98">
        <f>IFERROR(VLOOKUP(A7,PAC!$A$2:$V$5011,16,0),"")</f>
        <v>45412</v>
      </c>
      <c r="E7" s="99" t="str">
        <f>VLOOKUP(A7,PAC!$A$2:$V$5011,17,0)</f>
        <v>90 DIAS</v>
      </c>
      <c r="F7" s="100">
        <f>IFERROR(VLOOKUP(A7,PAC!$A$2:$V$5011,14,0),"")</f>
        <v>5400</v>
      </c>
      <c r="G7" s="100" t="s">
        <v>310</v>
      </c>
      <c r="H7" s="101" t="s">
        <v>22</v>
      </c>
      <c r="I7" s="101" t="s">
        <v>22</v>
      </c>
      <c r="J7" s="102">
        <f>SUMIF(PAC!$A$2:$A$5011,A7,PAC!$W$2:$W$5011)</f>
        <v>1</v>
      </c>
      <c r="K7" s="102">
        <f t="shared" si="0"/>
        <v>15</v>
      </c>
      <c r="L7" s="102">
        <f t="shared" si="1"/>
        <v>10</v>
      </c>
      <c r="M7" s="102">
        <f t="shared" si="2"/>
        <v>20</v>
      </c>
      <c r="N7" s="102">
        <f t="shared" si="3"/>
        <v>15</v>
      </c>
      <c r="O7" s="102">
        <f t="shared" si="4"/>
        <v>25</v>
      </c>
      <c r="P7" s="102" t="str">
        <f t="shared" si="5"/>
        <v>0</v>
      </c>
      <c r="Q7" s="102" t="str">
        <f t="shared" si="6"/>
        <v>0</v>
      </c>
      <c r="R7" s="102" t="str">
        <f t="shared" si="7"/>
        <v>0</v>
      </c>
      <c r="S7" s="102" t="str">
        <f t="shared" si="8"/>
        <v>0</v>
      </c>
      <c r="T7" s="102">
        <f t="shared" si="9"/>
        <v>3</v>
      </c>
      <c r="U7" s="102">
        <f t="shared" si="10"/>
        <v>18</v>
      </c>
      <c r="V7" s="102">
        <f t="shared" si="11"/>
        <v>106</v>
      </c>
      <c r="W7" s="103">
        <f t="shared" si="12"/>
        <v>45306</v>
      </c>
      <c r="X7" s="103">
        <f t="shared" si="13"/>
        <v>45331</v>
      </c>
      <c r="Y7" s="103">
        <f t="shared" si="14"/>
        <v>45351</v>
      </c>
      <c r="Z7" s="103">
        <f t="shared" si="15"/>
        <v>45366</v>
      </c>
      <c r="AA7" s="103">
        <f t="shared" si="16"/>
        <v>45391</v>
      </c>
      <c r="AB7" s="103" t="str">
        <f t="shared" si="17"/>
        <v>---</v>
      </c>
      <c r="AC7" s="103">
        <f t="shared" si="18"/>
        <v>45394</v>
      </c>
      <c r="AD7" s="97" t="str">
        <f t="shared" si="19"/>
        <v/>
      </c>
    </row>
    <row r="8" spans="1:33" ht="29.45" customHeight="1">
      <c r="A8" s="88" t="s">
        <v>38</v>
      </c>
      <c r="B8" s="89" t="str">
        <f>IFERROR(VLOOKUP(A8,PAC!$A$2:$V$5011,2,0),"")</f>
        <v>Aquisição de Suprimentos de Informática : Cartuchos de Toners  para Seção Judiciária do Pará e Subseções/ 2023.</v>
      </c>
      <c r="C8" s="90" t="s">
        <v>1178</v>
      </c>
      <c r="D8" s="98">
        <f>IFERROR(VLOOKUP(A8,PAC!$A$2:$V$5011,16,0),"")</f>
        <v>45412</v>
      </c>
      <c r="E8" s="99" t="str">
        <f>VLOOKUP(A8,PAC!$A$2:$V$5011,17,0)</f>
        <v>90 DIAS</v>
      </c>
      <c r="F8" s="100">
        <f>IFERROR(VLOOKUP(A8,PAC!$A$2:$V$5011,14,0),"")</f>
        <v>10800</v>
      </c>
      <c r="G8" s="100" t="s">
        <v>310</v>
      </c>
      <c r="H8" s="101" t="s">
        <v>22</v>
      </c>
      <c r="I8" s="101" t="s">
        <v>22</v>
      </c>
      <c r="J8" s="102">
        <f>SUMIF(PAC!$A$2:$A$5011,A8,PAC!$W$2:$W$5011)</f>
        <v>1</v>
      </c>
      <c r="K8" s="102">
        <f t="shared" si="0"/>
        <v>15</v>
      </c>
      <c r="L8" s="102">
        <f t="shared" si="1"/>
        <v>10</v>
      </c>
      <c r="M8" s="102">
        <f t="shared" si="2"/>
        <v>20</v>
      </c>
      <c r="N8" s="102">
        <f t="shared" si="3"/>
        <v>15</v>
      </c>
      <c r="O8" s="102">
        <f t="shared" si="4"/>
        <v>25</v>
      </c>
      <c r="P8" s="102" t="str">
        <f t="shared" si="5"/>
        <v>0</v>
      </c>
      <c r="Q8" s="102" t="str">
        <f t="shared" si="6"/>
        <v>0</v>
      </c>
      <c r="R8" s="102" t="str">
        <f t="shared" si="7"/>
        <v>0</v>
      </c>
      <c r="S8" s="102" t="str">
        <f t="shared" si="8"/>
        <v>0</v>
      </c>
      <c r="T8" s="102">
        <f t="shared" si="9"/>
        <v>3</v>
      </c>
      <c r="U8" s="102">
        <f t="shared" si="10"/>
        <v>18</v>
      </c>
      <c r="V8" s="102">
        <f t="shared" si="11"/>
        <v>106</v>
      </c>
      <c r="W8" s="103">
        <f t="shared" si="12"/>
        <v>45306</v>
      </c>
      <c r="X8" s="103">
        <f t="shared" si="13"/>
        <v>45331</v>
      </c>
      <c r="Y8" s="103">
        <f t="shared" si="14"/>
        <v>45351</v>
      </c>
      <c r="Z8" s="103">
        <f t="shared" si="15"/>
        <v>45366</v>
      </c>
      <c r="AA8" s="103">
        <f t="shared" si="16"/>
        <v>45391</v>
      </c>
      <c r="AB8" s="103" t="str">
        <f t="shared" si="17"/>
        <v>---</v>
      </c>
      <c r="AC8" s="103">
        <f t="shared" si="18"/>
        <v>45394</v>
      </c>
      <c r="AD8" s="97" t="str">
        <f t="shared" si="19"/>
        <v/>
      </c>
      <c r="AE8" s="75" t="str">
        <f>IF(AND(AB8&lt;44568),IF(AND(AC8&gt;44567),"Atenção!Há recesso forense no período!",""),"")</f>
        <v/>
      </c>
    </row>
    <row r="9" spans="1:33" s="75" customFormat="1" ht="36">
      <c r="A9" s="88" t="s">
        <v>40</v>
      </c>
      <c r="B9" s="89" t="str">
        <f>IFERROR(VLOOKUP(A9,PAC!$A$2:$V$5011,2,0),"")</f>
        <v>Aquisição de Suprimentos de Informática : Cartuchos de Toners  para Seção Judiciária do Pará e Subseções/ 2023.</v>
      </c>
      <c r="C9" s="90" t="s">
        <v>1178</v>
      </c>
      <c r="D9" s="98">
        <f>IFERROR(VLOOKUP(A9,PAC!$A$2:$V$5011,16,0),"")</f>
        <v>45412</v>
      </c>
      <c r="E9" s="99" t="str">
        <f>VLOOKUP(A9,PAC!$A$2:$V$5011,17,0)</f>
        <v>90 DIAS</v>
      </c>
      <c r="F9" s="100">
        <f>IFERROR(VLOOKUP(A9,PAC!$A$2:$V$5011,14,0),"")</f>
        <v>26460</v>
      </c>
      <c r="G9" s="100" t="s">
        <v>310</v>
      </c>
      <c r="H9" s="101" t="s">
        <v>22</v>
      </c>
      <c r="I9" s="101" t="s">
        <v>22</v>
      </c>
      <c r="J9" s="102">
        <f>SUMIF(PAC!$A$2:$A$5011,A9,PAC!$W$2:$W$5011)</f>
        <v>1</v>
      </c>
      <c r="K9" s="102">
        <f t="shared" si="0"/>
        <v>15</v>
      </c>
      <c r="L9" s="102">
        <f t="shared" si="1"/>
        <v>10</v>
      </c>
      <c r="M9" s="102">
        <f t="shared" si="2"/>
        <v>20</v>
      </c>
      <c r="N9" s="102">
        <f t="shared" si="3"/>
        <v>15</v>
      </c>
      <c r="O9" s="102">
        <f t="shared" si="4"/>
        <v>25</v>
      </c>
      <c r="P9" s="102" t="str">
        <f t="shared" si="5"/>
        <v>0</v>
      </c>
      <c r="Q9" s="102" t="str">
        <f t="shared" si="6"/>
        <v>0</v>
      </c>
      <c r="R9" s="102" t="str">
        <f t="shared" si="7"/>
        <v>0</v>
      </c>
      <c r="S9" s="102" t="str">
        <f t="shared" si="8"/>
        <v>0</v>
      </c>
      <c r="T9" s="102">
        <f t="shared" si="9"/>
        <v>3</v>
      </c>
      <c r="U9" s="102">
        <f t="shared" si="10"/>
        <v>18</v>
      </c>
      <c r="V9" s="102">
        <f t="shared" si="11"/>
        <v>106</v>
      </c>
      <c r="W9" s="103">
        <f t="shared" si="12"/>
        <v>45306</v>
      </c>
      <c r="X9" s="103">
        <f t="shared" si="13"/>
        <v>45331</v>
      </c>
      <c r="Y9" s="103">
        <f t="shared" si="14"/>
        <v>45351</v>
      </c>
      <c r="Z9" s="103">
        <f t="shared" si="15"/>
        <v>45366</v>
      </c>
      <c r="AA9" s="103">
        <f t="shared" si="16"/>
        <v>45391</v>
      </c>
      <c r="AB9" s="103" t="str">
        <f t="shared" si="17"/>
        <v>---</v>
      </c>
      <c r="AC9" s="103">
        <f t="shared" si="18"/>
        <v>45394</v>
      </c>
      <c r="AD9" s="97" t="str">
        <f t="shared" si="19"/>
        <v/>
      </c>
    </row>
    <row r="10" spans="1:33" ht="24">
      <c r="A10" s="88" t="s">
        <v>42</v>
      </c>
      <c r="B10" s="89" t="str">
        <f>IFERROR(VLOOKUP(A10,PAC!$A$2:$V$5011,2,0),"")</f>
        <v>Materiais de expediente para o almoxarifado.</v>
      </c>
      <c r="C10" s="90" t="s">
        <v>1178</v>
      </c>
      <c r="D10" s="98">
        <f>IFERROR(VLOOKUP(A10,PAC!$A$2:$V$5011,16,0),"")</f>
        <v>45412</v>
      </c>
      <c r="E10" s="99" t="str">
        <f>VLOOKUP(A10,PAC!$A$2:$V$5011,17,0)</f>
        <v>30 DIAS</v>
      </c>
      <c r="F10" s="100">
        <f>IFERROR(VLOOKUP(A10,PAC!$A$2:$V$5011,14,0),"")</f>
        <v>52</v>
      </c>
      <c r="G10" s="100" t="str">
        <f>IFERROR(VLOOKUP(A10,PAC!$A$2:$V$5011,19,0),"")</f>
        <v>DISPENSA</v>
      </c>
      <c r="H10" s="101" t="s">
        <v>22</v>
      </c>
      <c r="I10" s="101" t="s">
        <v>22</v>
      </c>
      <c r="J10" s="102">
        <f>SUMIF(PAC!$A$2:$A$5011,A10,PAC!$W$2:$W$5011)</f>
        <v>1</v>
      </c>
      <c r="K10" s="102">
        <f t="shared" si="0"/>
        <v>15</v>
      </c>
      <c r="L10" s="102">
        <f t="shared" si="1"/>
        <v>10</v>
      </c>
      <c r="M10" s="102" t="str">
        <f t="shared" si="2"/>
        <v>0</v>
      </c>
      <c r="N10" s="102" t="str">
        <f t="shared" si="3"/>
        <v>0</v>
      </c>
      <c r="O10" s="102" t="str">
        <f t="shared" si="4"/>
        <v>0</v>
      </c>
      <c r="P10" s="102">
        <f t="shared" si="5"/>
        <v>35</v>
      </c>
      <c r="Q10" s="102">
        <f t="shared" si="6"/>
        <v>3</v>
      </c>
      <c r="R10" s="102">
        <f t="shared" si="7"/>
        <v>3</v>
      </c>
      <c r="S10" s="102" t="str">
        <f t="shared" si="8"/>
        <v>0</v>
      </c>
      <c r="T10" s="102">
        <f t="shared" si="9"/>
        <v>3</v>
      </c>
      <c r="U10" s="102">
        <f t="shared" si="10"/>
        <v>18</v>
      </c>
      <c r="V10" s="102">
        <f t="shared" si="11"/>
        <v>87</v>
      </c>
      <c r="W10" s="103">
        <f t="shared" si="12"/>
        <v>45325</v>
      </c>
      <c r="X10" s="103">
        <f t="shared" si="13"/>
        <v>45350</v>
      </c>
      <c r="Y10" s="103">
        <f t="shared" si="14"/>
        <v>45385</v>
      </c>
      <c r="Z10" s="103">
        <f t="shared" si="15"/>
        <v>45388</v>
      </c>
      <c r="AA10" s="103">
        <f t="shared" si="16"/>
        <v>45391</v>
      </c>
      <c r="AB10" s="103" t="str">
        <f t="shared" si="17"/>
        <v>---</v>
      </c>
      <c r="AC10" s="103">
        <f t="shared" si="18"/>
        <v>45394</v>
      </c>
      <c r="AD10" s="97" t="str">
        <f t="shared" si="19"/>
        <v/>
      </c>
      <c r="AE10" s="75"/>
      <c r="AF10" s="104"/>
      <c r="AG10" s="82"/>
    </row>
    <row r="11" spans="1:33" ht="24">
      <c r="A11" s="88" t="s">
        <v>51</v>
      </c>
      <c r="B11" s="89" t="str">
        <f>IFERROR(VLOOKUP(A11,PAC!$A$2:$V$5011,2,0),"")</f>
        <v>Materiais de expediente para o almoxarifado.</v>
      </c>
      <c r="C11" s="90" t="s">
        <v>1178</v>
      </c>
      <c r="D11" s="98">
        <f>IFERROR(VLOOKUP(A11,PAC!$A$2:$V$5011,16,0),"")</f>
        <v>45412</v>
      </c>
      <c r="E11" s="99" t="str">
        <f>VLOOKUP(A11,PAC!$A$2:$V$5011,17,0)</f>
        <v>30 DIAS</v>
      </c>
      <c r="F11" s="100">
        <f>IFERROR(VLOOKUP(A11,PAC!$A$2:$V$5011,14,0),"")</f>
        <v>6000</v>
      </c>
      <c r="G11" s="100" t="str">
        <f>IFERROR(VLOOKUP(A11,PAC!$A$2:$V$5011,19,0),"")</f>
        <v>DISPENSA</v>
      </c>
      <c r="H11" s="101" t="s">
        <v>22</v>
      </c>
      <c r="I11" s="101" t="s">
        <v>22</v>
      </c>
      <c r="J11" s="102">
        <f>SUMIF(PAC!$A$2:$A$5011,A11,PAC!$W$2:$W$5011)</f>
        <v>1</v>
      </c>
      <c r="K11" s="102">
        <f t="shared" si="0"/>
        <v>15</v>
      </c>
      <c r="L11" s="102">
        <f t="shared" si="1"/>
        <v>10</v>
      </c>
      <c r="M11" s="102" t="str">
        <f t="shared" si="2"/>
        <v>0</v>
      </c>
      <c r="N11" s="102" t="str">
        <f t="shared" si="3"/>
        <v>0</v>
      </c>
      <c r="O11" s="102" t="str">
        <f t="shared" si="4"/>
        <v>0</v>
      </c>
      <c r="P11" s="102">
        <f t="shared" si="5"/>
        <v>35</v>
      </c>
      <c r="Q11" s="102">
        <f t="shared" si="6"/>
        <v>3</v>
      </c>
      <c r="R11" s="102">
        <f t="shared" si="7"/>
        <v>3</v>
      </c>
      <c r="S11" s="102" t="str">
        <f t="shared" si="8"/>
        <v>0</v>
      </c>
      <c r="T11" s="102">
        <f t="shared" si="9"/>
        <v>3</v>
      </c>
      <c r="U11" s="102">
        <f t="shared" si="10"/>
        <v>18</v>
      </c>
      <c r="V11" s="102">
        <f t="shared" si="11"/>
        <v>87</v>
      </c>
      <c r="W11" s="103">
        <f t="shared" si="12"/>
        <v>45325</v>
      </c>
      <c r="X11" s="103">
        <f t="shared" si="13"/>
        <v>45350</v>
      </c>
      <c r="Y11" s="103">
        <f t="shared" si="14"/>
        <v>45385</v>
      </c>
      <c r="Z11" s="103">
        <f t="shared" si="15"/>
        <v>45388</v>
      </c>
      <c r="AA11" s="103">
        <f t="shared" si="16"/>
        <v>45391</v>
      </c>
      <c r="AB11" s="103" t="str">
        <f t="shared" si="17"/>
        <v>---</v>
      </c>
      <c r="AC11" s="103">
        <f t="shared" si="18"/>
        <v>45394</v>
      </c>
      <c r="AD11" s="97" t="str">
        <f t="shared" si="19"/>
        <v/>
      </c>
      <c r="AE11" s="82"/>
      <c r="AF11" s="82"/>
    </row>
    <row r="12" spans="1:33" s="75" customFormat="1" ht="24">
      <c r="A12" s="88" t="s">
        <v>54</v>
      </c>
      <c r="B12" s="89" t="str">
        <f>IFERROR(VLOOKUP(A12,PAC!$A$2:$V$5011,2,0),"")</f>
        <v>Materiais de expediente para o almoxarifado.</v>
      </c>
      <c r="C12" s="90" t="s">
        <v>1178</v>
      </c>
      <c r="D12" s="98">
        <f>IFERROR(VLOOKUP(A12,PAC!$A$2:$V$5011,16,0),"")</f>
        <v>45412</v>
      </c>
      <c r="E12" s="99" t="str">
        <f>VLOOKUP(A12,PAC!$A$2:$V$5011,17,0)</f>
        <v>30 DIAS</v>
      </c>
      <c r="F12" s="100">
        <f>IFERROR(VLOOKUP(A12,PAC!$A$2:$V$5011,14,0),"")</f>
        <v>3000</v>
      </c>
      <c r="G12" s="100" t="str">
        <f>IFERROR(VLOOKUP(A12,PAC!$A$2:$V$5011,19,0),"")</f>
        <v>DISPENSA</v>
      </c>
      <c r="H12" s="101" t="s">
        <v>22</v>
      </c>
      <c r="I12" s="101" t="s">
        <v>22</v>
      </c>
      <c r="J12" s="102">
        <f>SUMIF(PAC!$A$2:$A$5011,A12,PAC!$W$2:$W$5011)</f>
        <v>1</v>
      </c>
      <c r="K12" s="102">
        <f t="shared" si="0"/>
        <v>15</v>
      </c>
      <c r="L12" s="102">
        <f t="shared" si="1"/>
        <v>10</v>
      </c>
      <c r="M12" s="102" t="str">
        <f t="shared" si="2"/>
        <v>0</v>
      </c>
      <c r="N12" s="102" t="str">
        <f t="shared" si="3"/>
        <v>0</v>
      </c>
      <c r="O12" s="102" t="str">
        <f t="shared" si="4"/>
        <v>0</v>
      </c>
      <c r="P12" s="102">
        <f t="shared" si="5"/>
        <v>35</v>
      </c>
      <c r="Q12" s="102">
        <f t="shared" si="6"/>
        <v>3</v>
      </c>
      <c r="R12" s="102">
        <f t="shared" si="7"/>
        <v>3</v>
      </c>
      <c r="S12" s="102" t="str">
        <f t="shared" si="8"/>
        <v>0</v>
      </c>
      <c r="T12" s="102">
        <f t="shared" si="9"/>
        <v>3</v>
      </c>
      <c r="U12" s="102">
        <f t="shared" si="10"/>
        <v>18</v>
      </c>
      <c r="V12" s="102">
        <f t="shared" si="11"/>
        <v>87</v>
      </c>
      <c r="W12" s="103">
        <f t="shared" si="12"/>
        <v>45325</v>
      </c>
      <c r="X12" s="103">
        <f t="shared" si="13"/>
        <v>45350</v>
      </c>
      <c r="Y12" s="103">
        <f t="shared" si="14"/>
        <v>45385</v>
      </c>
      <c r="Z12" s="103">
        <f t="shared" si="15"/>
        <v>45388</v>
      </c>
      <c r="AA12" s="103">
        <f t="shared" si="16"/>
        <v>45391</v>
      </c>
      <c r="AB12" s="103" t="str">
        <f t="shared" si="17"/>
        <v>---</v>
      </c>
      <c r="AC12" s="103">
        <f t="shared" si="18"/>
        <v>45394</v>
      </c>
      <c r="AD12" s="97" t="str">
        <f t="shared" si="19"/>
        <v/>
      </c>
    </row>
    <row r="13" spans="1:33" s="75" customFormat="1" ht="24">
      <c r="A13" s="88" t="s">
        <v>56</v>
      </c>
      <c r="B13" s="89" t="str">
        <f>IFERROR(VLOOKUP(A13,PAC!$A$2:$V$5011,2,0),"")</f>
        <v>Materiais de expediente para o almoxarifado.</v>
      </c>
      <c r="C13" s="90" t="s">
        <v>1178</v>
      </c>
      <c r="D13" s="98">
        <f>IFERROR(VLOOKUP(A13,PAC!$A$2:$V$5011,16,0),"")</f>
        <v>45412</v>
      </c>
      <c r="E13" s="99" t="str">
        <f>VLOOKUP(A13,PAC!$A$2:$V$5011,17,0)</f>
        <v>30 DIAS</v>
      </c>
      <c r="F13" s="100">
        <f>IFERROR(VLOOKUP(A13,PAC!$A$2:$V$5011,14,0),"")</f>
        <v>600</v>
      </c>
      <c r="G13" s="100" t="str">
        <f>IFERROR(VLOOKUP(A13,PAC!$A$2:$V$5011,19,0),"")</f>
        <v>DISPENSA</v>
      </c>
      <c r="H13" s="101" t="s">
        <v>22</v>
      </c>
      <c r="I13" s="101" t="s">
        <v>22</v>
      </c>
      <c r="J13" s="102">
        <f>SUMIF(PAC!$A$2:$A$5011,A13,PAC!$W$2:$W$5011)</f>
        <v>1</v>
      </c>
      <c r="K13" s="102">
        <f t="shared" si="0"/>
        <v>15</v>
      </c>
      <c r="L13" s="102">
        <f t="shared" si="1"/>
        <v>10</v>
      </c>
      <c r="M13" s="102" t="str">
        <f t="shared" si="2"/>
        <v>0</v>
      </c>
      <c r="N13" s="102" t="str">
        <f t="shared" si="3"/>
        <v>0</v>
      </c>
      <c r="O13" s="102" t="str">
        <f t="shared" si="4"/>
        <v>0</v>
      </c>
      <c r="P13" s="102">
        <f t="shared" si="5"/>
        <v>35</v>
      </c>
      <c r="Q13" s="102">
        <f t="shared" si="6"/>
        <v>3</v>
      </c>
      <c r="R13" s="102">
        <f t="shared" si="7"/>
        <v>3</v>
      </c>
      <c r="S13" s="102" t="str">
        <f t="shared" si="8"/>
        <v>0</v>
      </c>
      <c r="T13" s="102">
        <f t="shared" si="9"/>
        <v>3</v>
      </c>
      <c r="U13" s="102">
        <f t="shared" si="10"/>
        <v>18</v>
      </c>
      <c r="V13" s="102">
        <f t="shared" si="11"/>
        <v>87</v>
      </c>
      <c r="W13" s="103">
        <f t="shared" si="12"/>
        <v>45325</v>
      </c>
      <c r="X13" s="103">
        <f t="shared" si="13"/>
        <v>45350</v>
      </c>
      <c r="Y13" s="103">
        <f t="shared" si="14"/>
        <v>45385</v>
      </c>
      <c r="Z13" s="103">
        <f t="shared" si="15"/>
        <v>45388</v>
      </c>
      <c r="AA13" s="103">
        <f t="shared" si="16"/>
        <v>45391</v>
      </c>
      <c r="AB13" s="103" t="str">
        <f t="shared" si="17"/>
        <v>---</v>
      </c>
      <c r="AC13" s="103">
        <f t="shared" si="18"/>
        <v>45394</v>
      </c>
      <c r="AD13" s="97" t="str">
        <f t="shared" si="19"/>
        <v/>
      </c>
    </row>
    <row r="14" spans="1:33" s="75" customFormat="1" ht="24">
      <c r="A14" s="88" t="s">
        <v>58</v>
      </c>
      <c r="B14" s="89" t="str">
        <f>IFERROR(VLOOKUP(A14,PAC!$A$2:$V$5011,2,0),"")</f>
        <v>Materiais de expediente para o almoxarifado.</v>
      </c>
      <c r="C14" s="90" t="s">
        <v>1178</v>
      </c>
      <c r="D14" s="98">
        <f>IFERROR(VLOOKUP(A14,PAC!$A$2:$V$5011,16,0),"")</f>
        <v>45412</v>
      </c>
      <c r="E14" s="99" t="str">
        <f>VLOOKUP(A14,PAC!$A$2:$V$5011,17,0)</f>
        <v>30 DIAS</v>
      </c>
      <c r="F14" s="100">
        <f>IFERROR(VLOOKUP(A14,PAC!$A$2:$V$5011,14,0),"")</f>
        <v>1000</v>
      </c>
      <c r="G14" s="100" t="str">
        <f>IFERROR(VLOOKUP(A14,PAC!$A$2:$V$5011,19,0),"")</f>
        <v>DISPENSA</v>
      </c>
      <c r="H14" s="101" t="s">
        <v>22</v>
      </c>
      <c r="I14" s="101" t="s">
        <v>22</v>
      </c>
      <c r="J14" s="102">
        <f>SUMIF(PAC!$A$2:$A$5011,A14,PAC!$W$2:$W$5011)</f>
        <v>1</v>
      </c>
      <c r="K14" s="102">
        <f t="shared" si="0"/>
        <v>15</v>
      </c>
      <c r="L14" s="102">
        <f t="shared" si="1"/>
        <v>10</v>
      </c>
      <c r="M14" s="102" t="str">
        <f t="shared" si="2"/>
        <v>0</v>
      </c>
      <c r="N14" s="102" t="str">
        <f t="shared" si="3"/>
        <v>0</v>
      </c>
      <c r="O14" s="102" t="str">
        <f t="shared" si="4"/>
        <v>0</v>
      </c>
      <c r="P14" s="102">
        <f t="shared" si="5"/>
        <v>35</v>
      </c>
      <c r="Q14" s="102">
        <f t="shared" si="6"/>
        <v>3</v>
      </c>
      <c r="R14" s="102">
        <f t="shared" si="7"/>
        <v>3</v>
      </c>
      <c r="S14" s="102" t="str">
        <f t="shared" si="8"/>
        <v>0</v>
      </c>
      <c r="T14" s="102">
        <f t="shared" si="9"/>
        <v>3</v>
      </c>
      <c r="U14" s="102">
        <f t="shared" si="10"/>
        <v>18</v>
      </c>
      <c r="V14" s="102">
        <f t="shared" si="11"/>
        <v>87</v>
      </c>
      <c r="W14" s="103">
        <f t="shared" si="12"/>
        <v>45325</v>
      </c>
      <c r="X14" s="103">
        <f t="shared" si="13"/>
        <v>45350</v>
      </c>
      <c r="Y14" s="103">
        <f t="shared" si="14"/>
        <v>45385</v>
      </c>
      <c r="Z14" s="103">
        <f t="shared" si="15"/>
        <v>45388</v>
      </c>
      <c r="AA14" s="103">
        <f t="shared" si="16"/>
        <v>45391</v>
      </c>
      <c r="AB14" s="103" t="str">
        <f t="shared" si="17"/>
        <v>---</v>
      </c>
      <c r="AC14" s="103">
        <f t="shared" si="18"/>
        <v>45394</v>
      </c>
      <c r="AD14" s="97" t="str">
        <f t="shared" si="19"/>
        <v/>
      </c>
    </row>
    <row r="15" spans="1:33" s="75" customFormat="1" ht="24">
      <c r="A15" s="88" t="s">
        <v>60</v>
      </c>
      <c r="B15" s="89" t="str">
        <f>IFERROR(VLOOKUP(A15,PAC!$A$2:$V$5011,2,0),"")</f>
        <v>Materiais de expediente para o almoxarifado.</v>
      </c>
      <c r="C15" s="90" t="s">
        <v>1178</v>
      </c>
      <c r="D15" s="98">
        <f>IFERROR(VLOOKUP(A15,PAC!$A$2:$V$5011,16,0),"")</f>
        <v>45412</v>
      </c>
      <c r="E15" s="99" t="str">
        <f>VLOOKUP(A15,PAC!$A$2:$V$5011,17,0)</f>
        <v>30 DIAS</v>
      </c>
      <c r="F15" s="100">
        <f>IFERROR(VLOOKUP(A15,PAC!$A$2:$V$5011,14,0),"")</f>
        <v>580</v>
      </c>
      <c r="G15" s="100" t="str">
        <f>IFERROR(VLOOKUP(A15,PAC!$A$2:$V$5011,19,0),"")</f>
        <v>DISPENSA</v>
      </c>
      <c r="H15" s="101" t="s">
        <v>22</v>
      </c>
      <c r="I15" s="101" t="s">
        <v>22</v>
      </c>
      <c r="J15" s="102">
        <f>SUMIF(PAC!$A$2:$A$5011,A15,PAC!$W$2:$W$5011)</f>
        <v>1</v>
      </c>
      <c r="K15" s="102">
        <f t="shared" si="0"/>
        <v>15</v>
      </c>
      <c r="L15" s="102">
        <f t="shared" si="1"/>
        <v>10</v>
      </c>
      <c r="M15" s="102" t="str">
        <f t="shared" si="2"/>
        <v>0</v>
      </c>
      <c r="N15" s="102" t="str">
        <f t="shared" si="3"/>
        <v>0</v>
      </c>
      <c r="O15" s="102" t="str">
        <f t="shared" si="4"/>
        <v>0</v>
      </c>
      <c r="P15" s="102">
        <f t="shared" si="5"/>
        <v>35</v>
      </c>
      <c r="Q15" s="102">
        <f t="shared" si="6"/>
        <v>3</v>
      </c>
      <c r="R15" s="102">
        <f t="shared" si="7"/>
        <v>3</v>
      </c>
      <c r="S15" s="102" t="str">
        <f t="shared" si="8"/>
        <v>0</v>
      </c>
      <c r="T15" s="102">
        <f t="shared" si="9"/>
        <v>3</v>
      </c>
      <c r="U15" s="102">
        <f t="shared" si="10"/>
        <v>18</v>
      </c>
      <c r="V15" s="102">
        <f t="shared" si="11"/>
        <v>87</v>
      </c>
      <c r="W15" s="103">
        <f t="shared" si="12"/>
        <v>45325</v>
      </c>
      <c r="X15" s="103">
        <f t="shared" si="13"/>
        <v>45350</v>
      </c>
      <c r="Y15" s="103">
        <f t="shared" si="14"/>
        <v>45385</v>
      </c>
      <c r="Z15" s="103">
        <f t="shared" si="15"/>
        <v>45388</v>
      </c>
      <c r="AA15" s="103">
        <f t="shared" si="16"/>
        <v>45391</v>
      </c>
      <c r="AB15" s="103" t="str">
        <f t="shared" si="17"/>
        <v>---</v>
      </c>
      <c r="AC15" s="103">
        <f t="shared" si="18"/>
        <v>45394</v>
      </c>
      <c r="AD15" s="97" t="str">
        <f t="shared" si="19"/>
        <v/>
      </c>
    </row>
    <row r="16" spans="1:33" s="75" customFormat="1" ht="24">
      <c r="A16" s="88" t="s">
        <v>62</v>
      </c>
      <c r="B16" s="89" t="str">
        <f>IFERROR(VLOOKUP(A16,PAC!$A$2:$V$5011,2,0),"")</f>
        <v>Materiais de expediente para o almoxarifado.</v>
      </c>
      <c r="C16" s="90" t="s">
        <v>1178</v>
      </c>
      <c r="D16" s="98">
        <f>IFERROR(VLOOKUP(A16,PAC!$A$2:$V$5011,16,0),"")</f>
        <v>45412</v>
      </c>
      <c r="E16" s="99" t="str">
        <f>VLOOKUP(A16,PAC!$A$2:$V$5011,17,0)</f>
        <v>30 DIAS</v>
      </c>
      <c r="F16" s="100">
        <f>IFERROR(VLOOKUP(A16,PAC!$A$2:$V$5011,14,0),"")</f>
        <v>115</v>
      </c>
      <c r="G16" s="100" t="str">
        <f>IFERROR(VLOOKUP(A16,PAC!$A$2:$V$5011,19,0),"")</f>
        <v>DISPENSA</v>
      </c>
      <c r="H16" s="101" t="s">
        <v>22</v>
      </c>
      <c r="I16" s="101" t="s">
        <v>22</v>
      </c>
      <c r="J16" s="102">
        <f>SUMIF(PAC!$A$2:$A$5011,A16,PAC!$W$2:$W$5011)</f>
        <v>1</v>
      </c>
      <c r="K16" s="102">
        <f t="shared" si="0"/>
        <v>15</v>
      </c>
      <c r="L16" s="102">
        <f t="shared" si="1"/>
        <v>10</v>
      </c>
      <c r="M16" s="102" t="str">
        <f t="shared" si="2"/>
        <v>0</v>
      </c>
      <c r="N16" s="102" t="str">
        <f t="shared" si="3"/>
        <v>0</v>
      </c>
      <c r="O16" s="102" t="str">
        <f t="shared" si="4"/>
        <v>0</v>
      </c>
      <c r="P16" s="102">
        <f t="shared" si="5"/>
        <v>35</v>
      </c>
      <c r="Q16" s="102">
        <f t="shared" si="6"/>
        <v>3</v>
      </c>
      <c r="R16" s="102">
        <f t="shared" si="7"/>
        <v>3</v>
      </c>
      <c r="S16" s="102" t="str">
        <f t="shared" si="8"/>
        <v>0</v>
      </c>
      <c r="T16" s="102">
        <f t="shared" si="9"/>
        <v>3</v>
      </c>
      <c r="U16" s="102">
        <f t="shared" si="10"/>
        <v>18</v>
      </c>
      <c r="V16" s="102">
        <f t="shared" si="11"/>
        <v>87</v>
      </c>
      <c r="W16" s="103">
        <f t="shared" si="12"/>
        <v>45325</v>
      </c>
      <c r="X16" s="103">
        <f t="shared" si="13"/>
        <v>45350</v>
      </c>
      <c r="Y16" s="103">
        <f t="shared" si="14"/>
        <v>45385</v>
      </c>
      <c r="Z16" s="103">
        <f t="shared" si="15"/>
        <v>45388</v>
      </c>
      <c r="AA16" s="103">
        <f t="shared" si="16"/>
        <v>45391</v>
      </c>
      <c r="AB16" s="103" t="str">
        <f t="shared" si="17"/>
        <v>---</v>
      </c>
      <c r="AC16" s="103">
        <f t="shared" si="18"/>
        <v>45394</v>
      </c>
      <c r="AD16" s="97" t="str">
        <f t="shared" si="19"/>
        <v/>
      </c>
    </row>
    <row r="17" spans="1:30" s="75" customFormat="1" ht="24">
      <c r="A17" s="88" t="s">
        <v>64</v>
      </c>
      <c r="B17" s="89" t="str">
        <f>IFERROR(VLOOKUP(A17,PAC!$A$2:$V$5011,2,0),"")</f>
        <v>Materiais de expediente para o almoxarifado.</v>
      </c>
      <c r="C17" s="90" t="s">
        <v>1178</v>
      </c>
      <c r="D17" s="98">
        <f>IFERROR(VLOOKUP(A17,PAC!$A$2:$V$5011,16,0),"")</f>
        <v>45412</v>
      </c>
      <c r="E17" s="99" t="str">
        <f>VLOOKUP(A17,PAC!$A$2:$V$5011,17,0)</f>
        <v>30 DIAS</v>
      </c>
      <c r="F17" s="100">
        <f>IFERROR(VLOOKUP(A17,PAC!$A$2:$V$5011,14,0),"")</f>
        <v>120</v>
      </c>
      <c r="G17" s="100" t="str">
        <f>IFERROR(VLOOKUP(A17,PAC!$A$2:$V$5011,19,0),"")</f>
        <v>DISPENSA</v>
      </c>
      <c r="H17" s="101" t="s">
        <v>22</v>
      </c>
      <c r="I17" s="101" t="s">
        <v>22</v>
      </c>
      <c r="J17" s="102">
        <f>SUMIF(PAC!$A$2:$A$5011,A17,PAC!$W$2:$W$5011)</f>
        <v>1</v>
      </c>
      <c r="K17" s="102">
        <f t="shared" si="0"/>
        <v>15</v>
      </c>
      <c r="L17" s="102">
        <f t="shared" si="1"/>
        <v>10</v>
      </c>
      <c r="M17" s="102" t="str">
        <f t="shared" si="2"/>
        <v>0</v>
      </c>
      <c r="N17" s="102" t="str">
        <f t="shared" si="3"/>
        <v>0</v>
      </c>
      <c r="O17" s="102" t="str">
        <f t="shared" si="4"/>
        <v>0</v>
      </c>
      <c r="P17" s="102">
        <f t="shared" si="5"/>
        <v>35</v>
      </c>
      <c r="Q17" s="102">
        <f t="shared" si="6"/>
        <v>3</v>
      </c>
      <c r="R17" s="102">
        <f t="shared" si="7"/>
        <v>3</v>
      </c>
      <c r="S17" s="102" t="str">
        <f t="shared" si="8"/>
        <v>0</v>
      </c>
      <c r="T17" s="102">
        <f t="shared" si="9"/>
        <v>3</v>
      </c>
      <c r="U17" s="102">
        <f t="shared" si="10"/>
        <v>18</v>
      </c>
      <c r="V17" s="102">
        <f t="shared" si="11"/>
        <v>87</v>
      </c>
      <c r="W17" s="103">
        <f t="shared" si="12"/>
        <v>45325</v>
      </c>
      <c r="X17" s="103">
        <f t="shared" si="13"/>
        <v>45350</v>
      </c>
      <c r="Y17" s="103">
        <f t="shared" si="14"/>
        <v>45385</v>
      </c>
      <c r="Z17" s="103">
        <f t="shared" si="15"/>
        <v>45388</v>
      </c>
      <c r="AA17" s="103">
        <f t="shared" si="16"/>
        <v>45391</v>
      </c>
      <c r="AB17" s="103" t="str">
        <f t="shared" si="17"/>
        <v>---</v>
      </c>
      <c r="AC17" s="103">
        <f t="shared" si="18"/>
        <v>45394</v>
      </c>
      <c r="AD17" s="97" t="str">
        <f t="shared" si="19"/>
        <v/>
      </c>
    </row>
    <row r="18" spans="1:30" s="75" customFormat="1" ht="24">
      <c r="A18" s="88" t="s">
        <v>68</v>
      </c>
      <c r="B18" s="89" t="str">
        <f>IFERROR(VLOOKUP(A18,PAC!$A$2:$V$5011,2,0),"")</f>
        <v>Materiais de expediente para o almoxarifado.</v>
      </c>
      <c r="C18" s="90" t="s">
        <v>1178</v>
      </c>
      <c r="D18" s="98">
        <f>IFERROR(VLOOKUP(A18,PAC!$A$2:$V$5011,16,0),"")</f>
        <v>45412</v>
      </c>
      <c r="E18" s="99" t="str">
        <f>VLOOKUP(A18,PAC!$A$2:$V$5011,17,0)</f>
        <v>30 DIAS</v>
      </c>
      <c r="F18" s="100">
        <f>IFERROR(VLOOKUP(A18,PAC!$A$2:$V$5011,14,0),"")</f>
        <v>120</v>
      </c>
      <c r="G18" s="100" t="str">
        <f>IFERROR(VLOOKUP(A18,PAC!$A$2:$V$5011,19,0),"")</f>
        <v>DISPENSA</v>
      </c>
      <c r="H18" s="101" t="s">
        <v>22</v>
      </c>
      <c r="I18" s="101" t="s">
        <v>22</v>
      </c>
      <c r="J18" s="102">
        <f>SUMIF(PAC!$A$2:$A$5011,A18,PAC!$W$2:$W$5011)</f>
        <v>1</v>
      </c>
      <c r="K18" s="102">
        <f t="shared" si="0"/>
        <v>15</v>
      </c>
      <c r="L18" s="102">
        <f t="shared" si="1"/>
        <v>10</v>
      </c>
      <c r="M18" s="102" t="str">
        <f t="shared" si="2"/>
        <v>0</v>
      </c>
      <c r="N18" s="102" t="str">
        <f t="shared" si="3"/>
        <v>0</v>
      </c>
      <c r="O18" s="102" t="str">
        <f t="shared" si="4"/>
        <v>0</v>
      </c>
      <c r="P18" s="102">
        <f t="shared" si="5"/>
        <v>35</v>
      </c>
      <c r="Q18" s="102">
        <f t="shared" si="6"/>
        <v>3</v>
      </c>
      <c r="R18" s="102">
        <f t="shared" si="7"/>
        <v>3</v>
      </c>
      <c r="S18" s="102" t="str">
        <f t="shared" si="8"/>
        <v>0</v>
      </c>
      <c r="T18" s="102">
        <f t="shared" si="9"/>
        <v>3</v>
      </c>
      <c r="U18" s="102">
        <f t="shared" si="10"/>
        <v>18</v>
      </c>
      <c r="V18" s="102">
        <f t="shared" si="11"/>
        <v>87</v>
      </c>
      <c r="W18" s="103">
        <f t="shared" si="12"/>
        <v>45325</v>
      </c>
      <c r="X18" s="103">
        <f t="shared" si="13"/>
        <v>45350</v>
      </c>
      <c r="Y18" s="103">
        <f t="shared" si="14"/>
        <v>45385</v>
      </c>
      <c r="Z18" s="103">
        <f t="shared" si="15"/>
        <v>45388</v>
      </c>
      <c r="AA18" s="103">
        <f t="shared" si="16"/>
        <v>45391</v>
      </c>
      <c r="AB18" s="103" t="str">
        <f t="shared" si="17"/>
        <v>---</v>
      </c>
      <c r="AC18" s="103">
        <f t="shared" si="18"/>
        <v>45394</v>
      </c>
      <c r="AD18" s="97" t="str">
        <f t="shared" si="19"/>
        <v/>
      </c>
    </row>
    <row r="19" spans="1:30" s="75" customFormat="1" ht="24">
      <c r="A19" s="88" t="s">
        <v>70</v>
      </c>
      <c r="B19" s="89" t="str">
        <f>IFERROR(VLOOKUP(A19,PAC!$A$2:$V$5011,2,0),"")</f>
        <v>Materiais de expediente para o almoxarifado.</v>
      </c>
      <c r="C19" s="90" t="s">
        <v>1178</v>
      </c>
      <c r="D19" s="98">
        <f>IFERROR(VLOOKUP(A19,PAC!$A$2:$V$5011,16,0),"")</f>
        <v>45412</v>
      </c>
      <c r="E19" s="99" t="str">
        <f>VLOOKUP(A19,PAC!$A$2:$V$5011,17,0)</f>
        <v>30 DIAS</v>
      </c>
      <c r="F19" s="100">
        <f>IFERROR(VLOOKUP(A19,PAC!$A$2:$V$5011,14,0),"")</f>
        <v>900</v>
      </c>
      <c r="G19" s="100" t="str">
        <f>IFERROR(VLOOKUP(A19,PAC!$A$2:$V$5011,19,0),"")</f>
        <v>DISPENSA</v>
      </c>
      <c r="H19" s="101" t="s">
        <v>22</v>
      </c>
      <c r="I19" s="101" t="s">
        <v>22</v>
      </c>
      <c r="J19" s="102">
        <f>SUMIF(PAC!$A$2:$A$5011,A19,PAC!$W$2:$W$5011)</f>
        <v>1</v>
      </c>
      <c r="K19" s="102">
        <f t="shared" si="0"/>
        <v>15</v>
      </c>
      <c r="L19" s="102">
        <f t="shared" si="1"/>
        <v>10</v>
      </c>
      <c r="M19" s="102" t="str">
        <f t="shared" si="2"/>
        <v>0</v>
      </c>
      <c r="N19" s="102" t="str">
        <f t="shared" si="3"/>
        <v>0</v>
      </c>
      <c r="O19" s="102"/>
      <c r="P19" s="102">
        <f t="shared" si="5"/>
        <v>35</v>
      </c>
      <c r="Q19" s="102">
        <f t="shared" si="6"/>
        <v>3</v>
      </c>
      <c r="R19" s="102">
        <f t="shared" si="7"/>
        <v>3</v>
      </c>
      <c r="S19" s="102"/>
      <c r="T19" s="102">
        <f t="shared" si="9"/>
        <v>3</v>
      </c>
      <c r="U19" s="102"/>
      <c r="V19" s="102">
        <f t="shared" si="11"/>
        <v>69</v>
      </c>
      <c r="W19" s="103">
        <f t="shared" si="12"/>
        <v>45343</v>
      </c>
      <c r="X19" s="103">
        <f t="shared" si="13"/>
        <v>45368</v>
      </c>
      <c r="Y19" s="103">
        <f t="shared" si="14"/>
        <v>45403</v>
      </c>
      <c r="Z19" s="103">
        <f t="shared" si="15"/>
        <v>45406</v>
      </c>
      <c r="AA19" s="103">
        <f t="shared" si="16"/>
        <v>45409</v>
      </c>
      <c r="AB19" s="103" t="str">
        <f t="shared" si="17"/>
        <v>---</v>
      </c>
      <c r="AC19" s="103">
        <f t="shared" si="18"/>
        <v>45412</v>
      </c>
      <c r="AD19" s="97"/>
    </row>
    <row r="20" spans="1:30" s="75" customFormat="1" ht="24">
      <c r="A20" s="88" t="s">
        <v>72</v>
      </c>
      <c r="B20" s="89" t="str">
        <f>IFERROR(VLOOKUP(A20,PAC!$A$2:$V$5011,2,0),"")</f>
        <v>Materiais de expediente para o almoxarifado.</v>
      </c>
      <c r="C20" s="90" t="s">
        <v>1178</v>
      </c>
      <c r="D20" s="98">
        <f>IFERROR(VLOOKUP(A20,PAC!$A$2:$V$5011,16,0),"")</f>
        <v>45412</v>
      </c>
      <c r="E20" s="99" t="str">
        <f>VLOOKUP(A20,PAC!$A$2:$V$5011,17,0)</f>
        <v>30 DIAS</v>
      </c>
      <c r="F20" s="100">
        <f>IFERROR(VLOOKUP(A20,PAC!$A$2:$V$5011,14,0),"")</f>
        <v>810</v>
      </c>
      <c r="G20" s="100" t="str">
        <f>IFERROR(VLOOKUP(A20,PAC!$A$2:$V$5011,19,0),"")</f>
        <v>DISPENSA</v>
      </c>
      <c r="H20" s="101" t="s">
        <v>22</v>
      </c>
      <c r="I20" s="101" t="s">
        <v>22</v>
      </c>
      <c r="J20" s="102">
        <f>SUMIF(PAC!$A$2:$A$5011,A20,PAC!$W$2:$W$5011)</f>
        <v>1</v>
      </c>
      <c r="K20" s="102">
        <f t="shared" si="0"/>
        <v>15</v>
      </c>
      <c r="L20" s="102">
        <f t="shared" si="1"/>
        <v>10</v>
      </c>
      <c r="M20" s="102" t="str">
        <f t="shared" si="2"/>
        <v>0</v>
      </c>
      <c r="N20" s="102" t="str">
        <f t="shared" si="3"/>
        <v>0</v>
      </c>
      <c r="O20" s="102"/>
      <c r="P20" s="102">
        <f t="shared" si="5"/>
        <v>35</v>
      </c>
      <c r="Q20" s="102">
        <f t="shared" si="6"/>
        <v>3</v>
      </c>
      <c r="R20" s="102">
        <f t="shared" si="7"/>
        <v>3</v>
      </c>
      <c r="S20" s="102"/>
      <c r="T20" s="102">
        <f t="shared" si="9"/>
        <v>3</v>
      </c>
      <c r="U20" s="102"/>
      <c r="V20" s="102">
        <f t="shared" si="11"/>
        <v>69</v>
      </c>
      <c r="W20" s="103">
        <f t="shared" si="12"/>
        <v>45343</v>
      </c>
      <c r="X20" s="103">
        <f t="shared" si="13"/>
        <v>45368</v>
      </c>
      <c r="Y20" s="103">
        <f t="shared" si="14"/>
        <v>45403</v>
      </c>
      <c r="Z20" s="103">
        <f t="shared" si="15"/>
        <v>45406</v>
      </c>
      <c r="AA20" s="103">
        <f t="shared" si="16"/>
        <v>45409</v>
      </c>
      <c r="AB20" s="103" t="str">
        <f t="shared" si="17"/>
        <v>---</v>
      </c>
      <c r="AC20" s="103">
        <f t="shared" si="18"/>
        <v>45412</v>
      </c>
      <c r="AD20" s="97"/>
    </row>
    <row r="21" spans="1:30" s="75" customFormat="1" ht="24">
      <c r="A21" s="88" t="s">
        <v>74</v>
      </c>
      <c r="B21" s="89" t="str">
        <f>IFERROR(VLOOKUP(A21,PAC!$A$2:$V$5011,2,0),"")</f>
        <v>Materiais de expediente para o almoxarifado.</v>
      </c>
      <c r="C21" s="90" t="s">
        <v>1178</v>
      </c>
      <c r="D21" s="98">
        <f>IFERROR(VLOOKUP(A21,PAC!$A$2:$V$5011,16,0),"")</f>
        <v>45412</v>
      </c>
      <c r="E21" s="99" t="str">
        <f>VLOOKUP(A21,PAC!$A$2:$V$5011,17,0)</f>
        <v>30 DIAS</v>
      </c>
      <c r="F21" s="100">
        <f>IFERROR(VLOOKUP(A21,PAC!$A$2:$V$5011,14,0),"")</f>
        <v>1600</v>
      </c>
      <c r="G21" s="100" t="str">
        <f>IFERROR(VLOOKUP(A21,PAC!$A$2:$V$5011,19,0),"")</f>
        <v>DISPENSA</v>
      </c>
      <c r="H21" s="101" t="s">
        <v>22</v>
      </c>
      <c r="I21" s="101" t="s">
        <v>22</v>
      </c>
      <c r="J21" s="102">
        <f>SUMIF(PAC!$A$2:$A$5011,A21,PAC!$W$2:$W$5011)</f>
        <v>1</v>
      </c>
      <c r="K21" s="102">
        <f t="shared" si="0"/>
        <v>15</v>
      </c>
      <c r="L21" s="102">
        <f t="shared" si="1"/>
        <v>10</v>
      </c>
      <c r="M21" s="102" t="str">
        <f t="shared" si="2"/>
        <v>0</v>
      </c>
      <c r="N21" s="102" t="str">
        <f t="shared" si="3"/>
        <v>0</v>
      </c>
      <c r="O21" s="102"/>
      <c r="P21" s="102">
        <f t="shared" si="5"/>
        <v>35</v>
      </c>
      <c r="Q21" s="102">
        <f t="shared" si="6"/>
        <v>3</v>
      </c>
      <c r="R21" s="102">
        <f t="shared" si="7"/>
        <v>3</v>
      </c>
      <c r="S21" s="102"/>
      <c r="T21" s="102">
        <f t="shared" si="9"/>
        <v>3</v>
      </c>
      <c r="U21" s="102"/>
      <c r="V21" s="102">
        <f t="shared" si="11"/>
        <v>69</v>
      </c>
      <c r="W21" s="103">
        <f t="shared" si="12"/>
        <v>45343</v>
      </c>
      <c r="X21" s="103">
        <f t="shared" si="13"/>
        <v>45368</v>
      </c>
      <c r="Y21" s="103">
        <f t="shared" si="14"/>
        <v>45403</v>
      </c>
      <c r="Z21" s="103">
        <f t="shared" si="15"/>
        <v>45406</v>
      </c>
      <c r="AA21" s="103">
        <f t="shared" si="16"/>
        <v>45409</v>
      </c>
      <c r="AB21" s="103" t="str">
        <f t="shared" si="17"/>
        <v>---</v>
      </c>
      <c r="AC21" s="103">
        <f t="shared" si="18"/>
        <v>45412</v>
      </c>
      <c r="AD21" s="97"/>
    </row>
    <row r="22" spans="1:30" s="75" customFormat="1" ht="24">
      <c r="A22" s="88" t="s">
        <v>77</v>
      </c>
      <c r="B22" s="89" t="str">
        <f>IFERROR(VLOOKUP(A22,PAC!$A$2:$V$5011,2,0),"")</f>
        <v>Materiais de expediente para o almoxarifado.</v>
      </c>
      <c r="C22" s="90" t="s">
        <v>1178</v>
      </c>
      <c r="D22" s="98">
        <f>IFERROR(VLOOKUP(A22,PAC!$A$2:$V$5011,16,0),"")</f>
        <v>45412</v>
      </c>
      <c r="E22" s="99" t="str">
        <f>VLOOKUP(A22,PAC!$A$2:$V$5011,17,0)</f>
        <v>30 DIAS</v>
      </c>
      <c r="F22" s="100">
        <f>IFERROR(VLOOKUP(A22,PAC!$A$2:$V$5011,14,0),"")</f>
        <v>600</v>
      </c>
      <c r="G22" s="100" t="str">
        <f>IFERROR(VLOOKUP(A22,PAC!$A$2:$V$5011,19,0),"")</f>
        <v>DISPENSA</v>
      </c>
      <c r="H22" s="101" t="s">
        <v>22</v>
      </c>
      <c r="I22" s="101" t="s">
        <v>22</v>
      </c>
      <c r="J22" s="102">
        <f>SUMIF(PAC!$A$2:$A$5011,A22,PAC!$W$2:$W$5011)</f>
        <v>1</v>
      </c>
      <c r="K22" s="102">
        <f t="shared" si="0"/>
        <v>15</v>
      </c>
      <c r="L22" s="102">
        <f t="shared" si="1"/>
        <v>10</v>
      </c>
      <c r="M22" s="102" t="str">
        <f t="shared" si="2"/>
        <v>0</v>
      </c>
      <c r="N22" s="102" t="str">
        <f t="shared" si="3"/>
        <v>0</v>
      </c>
      <c r="O22" s="102"/>
      <c r="P22" s="102">
        <f t="shared" si="5"/>
        <v>35</v>
      </c>
      <c r="Q22" s="102">
        <f t="shared" si="6"/>
        <v>3</v>
      </c>
      <c r="R22" s="102">
        <f t="shared" si="7"/>
        <v>3</v>
      </c>
      <c r="S22" s="102"/>
      <c r="T22" s="102">
        <f t="shared" si="9"/>
        <v>3</v>
      </c>
      <c r="U22" s="102"/>
      <c r="V22" s="102">
        <f t="shared" si="11"/>
        <v>69</v>
      </c>
      <c r="W22" s="103">
        <f t="shared" si="12"/>
        <v>45343</v>
      </c>
      <c r="X22" s="103">
        <f t="shared" si="13"/>
        <v>45368</v>
      </c>
      <c r="Y22" s="103">
        <f t="shared" si="14"/>
        <v>45403</v>
      </c>
      <c r="Z22" s="103">
        <f t="shared" si="15"/>
        <v>45406</v>
      </c>
      <c r="AA22" s="103">
        <f t="shared" si="16"/>
        <v>45409</v>
      </c>
      <c r="AB22" s="103" t="str">
        <f t="shared" si="17"/>
        <v>---</v>
      </c>
      <c r="AC22" s="103">
        <f t="shared" si="18"/>
        <v>45412</v>
      </c>
      <c r="AD22" s="97"/>
    </row>
    <row r="23" spans="1:30" s="75" customFormat="1" ht="24">
      <c r="A23" s="88" t="s">
        <v>79</v>
      </c>
      <c r="B23" s="89" t="str">
        <f>IFERROR(VLOOKUP(A23,PAC!$A$2:$V$5011,2,0),"")</f>
        <v>Materiais de expediente para o almoxarifado.</v>
      </c>
      <c r="C23" s="90" t="s">
        <v>1178</v>
      </c>
      <c r="D23" s="98">
        <f>IFERROR(VLOOKUP(A23,PAC!$A$2:$V$5011,16,0),"")</f>
        <v>45412</v>
      </c>
      <c r="E23" s="99" t="str">
        <f>VLOOKUP(A23,PAC!$A$2:$V$5011,17,0)</f>
        <v>30 DIAS</v>
      </c>
      <c r="F23" s="100">
        <f>IFERROR(VLOOKUP(A23,PAC!$A$2:$V$5011,14,0),"")</f>
        <v>120</v>
      </c>
      <c r="G23" s="100" t="str">
        <f>IFERROR(VLOOKUP(A23,PAC!$A$2:$V$5011,19,0),"")</f>
        <v>DISPENSA</v>
      </c>
      <c r="H23" s="101" t="s">
        <v>22</v>
      </c>
      <c r="I23" s="101" t="s">
        <v>22</v>
      </c>
      <c r="J23" s="102">
        <f>SUMIF(PAC!$A$2:$A$5011,A23,PAC!$W$2:$W$5011)</f>
        <v>1</v>
      </c>
      <c r="K23" s="102">
        <f t="shared" si="0"/>
        <v>15</v>
      </c>
      <c r="L23" s="102">
        <f t="shared" si="1"/>
        <v>10</v>
      </c>
      <c r="M23" s="102" t="str">
        <f t="shared" si="2"/>
        <v>0</v>
      </c>
      <c r="N23" s="102" t="str">
        <f t="shared" si="3"/>
        <v>0</v>
      </c>
      <c r="O23" s="102" t="str">
        <f t="shared" ref="O23:O54" si="20">IF(AND(G23="Licitação"),IF(AND(I23=""),"0",IF(AND(I23="N"),25,IF(AND(I23="S"),40))),"0")</f>
        <v>0</v>
      </c>
      <c r="P23" s="102">
        <f t="shared" si="5"/>
        <v>35</v>
      </c>
      <c r="Q23" s="102">
        <f t="shared" si="6"/>
        <v>3</v>
      </c>
      <c r="R23" s="102">
        <f t="shared" si="7"/>
        <v>3</v>
      </c>
      <c r="S23" s="102" t="str">
        <f t="shared" ref="S23:S54" si="21">IF(OR(G23="prorrogação",G23="renovação"),60,"0")</f>
        <v>0</v>
      </c>
      <c r="T23" s="102">
        <f t="shared" si="9"/>
        <v>3</v>
      </c>
      <c r="U23" s="102">
        <f t="shared" ref="U23:U54" si="22">IF(D23&gt;44549,18,"0")</f>
        <v>18</v>
      </c>
      <c r="V23" s="102">
        <f t="shared" si="11"/>
        <v>87</v>
      </c>
      <c r="W23" s="103">
        <f t="shared" si="12"/>
        <v>45325</v>
      </c>
      <c r="X23" s="103">
        <f t="shared" si="13"/>
        <v>45350</v>
      </c>
      <c r="Y23" s="103">
        <f t="shared" si="14"/>
        <v>45385</v>
      </c>
      <c r="Z23" s="103">
        <f t="shared" si="15"/>
        <v>45388</v>
      </c>
      <c r="AA23" s="103">
        <f t="shared" si="16"/>
        <v>45391</v>
      </c>
      <c r="AB23" s="103" t="str">
        <f t="shared" si="17"/>
        <v>---</v>
      </c>
      <c r="AC23" s="103">
        <f t="shared" si="18"/>
        <v>45394</v>
      </c>
      <c r="AD23" s="97" t="str">
        <f>IFERROR(IF(OR(G23="dispensa",G23="inexigibilidade",G23="licitação"),IF(AND(W23&lt;44568,AC23&gt;44549),"Atenção!Há recesso forense no período! Fazer ajuste manual de datas, se for o caso.",""),IF(OR(G23="prorrogação",G23="renovação"),(IF(AND(AB23&lt;44568,AC23&gt;44549),"Atenção!Há recesso forense no período! Fazer ajuste manual de datas, se for o caso.")),"")),"")</f>
        <v/>
      </c>
    </row>
    <row r="24" spans="1:30" s="75" customFormat="1" ht="24">
      <c r="A24" s="88" t="s">
        <v>81</v>
      </c>
      <c r="B24" s="89" t="str">
        <f>IFERROR(VLOOKUP(A24,PAC!$A$2:$V$5011,2,0),"")</f>
        <v>Materiais de expediente para o almoxarifado.</v>
      </c>
      <c r="C24" s="90" t="s">
        <v>1178</v>
      </c>
      <c r="D24" s="98">
        <f>IFERROR(VLOOKUP(A24,PAC!$A$2:$V$5011,16,0),"")</f>
        <v>45412</v>
      </c>
      <c r="E24" s="99" t="str">
        <f>VLOOKUP(A24,PAC!$A$2:$V$5011,17,0)</f>
        <v>30 DIAS</v>
      </c>
      <c r="F24" s="100">
        <f>IFERROR(VLOOKUP(A24,PAC!$A$2:$V$5011,14,0),"")</f>
        <v>800</v>
      </c>
      <c r="G24" s="100" t="str">
        <f>IFERROR(VLOOKUP(A24,PAC!$A$2:$V$5011,19,0),"")</f>
        <v>DISPENSA</v>
      </c>
      <c r="H24" s="101" t="s">
        <v>22</v>
      </c>
      <c r="I24" s="101" t="s">
        <v>22</v>
      </c>
      <c r="J24" s="102">
        <f>SUMIF(PAC!$A$2:$A$5011,A24,PAC!$W$2:$W$5011)</f>
        <v>1</v>
      </c>
      <c r="K24" s="102">
        <f t="shared" si="0"/>
        <v>15</v>
      </c>
      <c r="L24" s="102">
        <f t="shared" si="1"/>
        <v>10</v>
      </c>
      <c r="M24" s="102" t="str">
        <f t="shared" si="2"/>
        <v>0</v>
      </c>
      <c r="N24" s="102" t="str">
        <f t="shared" si="3"/>
        <v>0</v>
      </c>
      <c r="O24" s="102" t="str">
        <f t="shared" si="20"/>
        <v>0</v>
      </c>
      <c r="P24" s="102">
        <f t="shared" si="5"/>
        <v>35</v>
      </c>
      <c r="Q24" s="102">
        <f t="shared" si="6"/>
        <v>3</v>
      </c>
      <c r="R24" s="102">
        <f t="shared" si="7"/>
        <v>3</v>
      </c>
      <c r="S24" s="102" t="str">
        <f t="shared" si="21"/>
        <v>0</v>
      </c>
      <c r="T24" s="102">
        <f t="shared" si="9"/>
        <v>3</v>
      </c>
      <c r="U24" s="102">
        <f t="shared" si="22"/>
        <v>18</v>
      </c>
      <c r="V24" s="102">
        <f t="shared" si="11"/>
        <v>87</v>
      </c>
      <c r="W24" s="103">
        <f t="shared" si="12"/>
        <v>45325</v>
      </c>
      <c r="X24" s="103">
        <f t="shared" si="13"/>
        <v>45350</v>
      </c>
      <c r="Y24" s="103">
        <f t="shared" si="14"/>
        <v>45385</v>
      </c>
      <c r="Z24" s="103">
        <f t="shared" si="15"/>
        <v>45388</v>
      </c>
      <c r="AA24" s="103">
        <f t="shared" si="16"/>
        <v>45391</v>
      </c>
      <c r="AB24" s="103" t="str">
        <f t="shared" si="17"/>
        <v>---</v>
      </c>
      <c r="AC24" s="103">
        <f t="shared" si="18"/>
        <v>45394</v>
      </c>
      <c r="AD24" s="97"/>
    </row>
    <row r="25" spans="1:30" s="75" customFormat="1" ht="24">
      <c r="A25" s="88" t="s">
        <v>83</v>
      </c>
      <c r="B25" s="89" t="str">
        <f>IFERROR(VLOOKUP(A25,PAC!$A$2:$V$5011,2,0),"")</f>
        <v>Materiais de expediente para o almoxarifado.</v>
      </c>
      <c r="C25" s="90" t="s">
        <v>1178</v>
      </c>
      <c r="D25" s="98">
        <f>IFERROR(VLOOKUP(A25,PAC!$A$2:$V$5011,16,0),"")</f>
        <v>45412</v>
      </c>
      <c r="E25" s="99" t="str">
        <f>VLOOKUP(A25,PAC!$A$2:$V$5011,17,0)</f>
        <v>30 DIAS</v>
      </c>
      <c r="F25" s="100">
        <f>IFERROR(VLOOKUP(A25,PAC!$A$2:$V$5011,14,0),"")</f>
        <v>1200</v>
      </c>
      <c r="G25" s="100" t="str">
        <f>IFERROR(VLOOKUP(A25,PAC!$A$2:$V$5011,19,0),"")</f>
        <v>DISPENSA</v>
      </c>
      <c r="H25" s="101" t="s">
        <v>22</v>
      </c>
      <c r="I25" s="101" t="s">
        <v>22</v>
      </c>
      <c r="J25" s="102">
        <f>SUMIF(PAC!$A$2:$A$5011,A25,PAC!$W$2:$W$5011)</f>
        <v>1</v>
      </c>
      <c r="K25" s="102">
        <f t="shared" si="0"/>
        <v>15</v>
      </c>
      <c r="L25" s="102">
        <f t="shared" si="1"/>
        <v>10</v>
      </c>
      <c r="M25" s="102" t="str">
        <f t="shared" si="2"/>
        <v>0</v>
      </c>
      <c r="N25" s="102" t="str">
        <f t="shared" si="3"/>
        <v>0</v>
      </c>
      <c r="O25" s="102" t="str">
        <f t="shared" si="20"/>
        <v>0</v>
      </c>
      <c r="P25" s="102">
        <f t="shared" si="5"/>
        <v>35</v>
      </c>
      <c r="Q25" s="102">
        <f t="shared" si="6"/>
        <v>3</v>
      </c>
      <c r="R25" s="102">
        <f t="shared" si="7"/>
        <v>3</v>
      </c>
      <c r="S25" s="102" t="str">
        <f t="shared" si="21"/>
        <v>0</v>
      </c>
      <c r="T25" s="102">
        <f t="shared" si="9"/>
        <v>3</v>
      </c>
      <c r="U25" s="102">
        <f t="shared" si="22"/>
        <v>18</v>
      </c>
      <c r="V25" s="102">
        <f t="shared" si="11"/>
        <v>87</v>
      </c>
      <c r="W25" s="103">
        <f t="shared" si="12"/>
        <v>45325</v>
      </c>
      <c r="X25" s="103">
        <f t="shared" si="13"/>
        <v>45350</v>
      </c>
      <c r="Y25" s="103">
        <f t="shared" si="14"/>
        <v>45385</v>
      </c>
      <c r="Z25" s="103">
        <f t="shared" si="15"/>
        <v>45388</v>
      </c>
      <c r="AA25" s="103">
        <f t="shared" si="16"/>
        <v>45391</v>
      </c>
      <c r="AB25" s="103" t="str">
        <f t="shared" si="17"/>
        <v>---</v>
      </c>
      <c r="AC25" s="103">
        <f t="shared" si="18"/>
        <v>45394</v>
      </c>
      <c r="AD25" s="97"/>
    </row>
    <row r="26" spans="1:30" s="75" customFormat="1" ht="24">
      <c r="A26" s="88" t="s">
        <v>85</v>
      </c>
      <c r="B26" s="89" t="str">
        <f>IFERROR(VLOOKUP(A26,PAC!$A$2:$V$5011,2,0),"")</f>
        <v>Materiais de expediente para o almoxarifado.</v>
      </c>
      <c r="C26" s="90" t="s">
        <v>1178</v>
      </c>
      <c r="D26" s="98">
        <f>IFERROR(VLOOKUP(A26,PAC!$A$2:$V$5011,16,0),"")</f>
        <v>45412</v>
      </c>
      <c r="E26" s="99" t="str">
        <f>VLOOKUP(A26,PAC!$A$2:$V$5011,17,0)</f>
        <v>30 DIAS</v>
      </c>
      <c r="F26" s="100">
        <f>IFERROR(VLOOKUP(A26,PAC!$A$2:$V$5011,14,0),"")</f>
        <v>540</v>
      </c>
      <c r="G26" s="100" t="str">
        <f>IFERROR(VLOOKUP(A26,PAC!$A$2:$V$5011,19,0),"")</f>
        <v>DISPENSA</v>
      </c>
      <c r="H26" s="101" t="s">
        <v>22</v>
      </c>
      <c r="I26" s="101" t="s">
        <v>22</v>
      </c>
      <c r="J26" s="102">
        <f>SUMIF(PAC!$A$2:$A$5011,A26,PAC!$W$2:$W$5011)</f>
        <v>1</v>
      </c>
      <c r="K26" s="102">
        <f t="shared" si="0"/>
        <v>15</v>
      </c>
      <c r="L26" s="102">
        <f t="shared" si="1"/>
        <v>10</v>
      </c>
      <c r="M26" s="102" t="str">
        <f t="shared" si="2"/>
        <v>0</v>
      </c>
      <c r="N26" s="102" t="str">
        <f t="shared" si="3"/>
        <v>0</v>
      </c>
      <c r="O26" s="102" t="str">
        <f t="shared" si="20"/>
        <v>0</v>
      </c>
      <c r="P26" s="102">
        <f t="shared" si="5"/>
        <v>35</v>
      </c>
      <c r="Q26" s="102">
        <f t="shared" si="6"/>
        <v>3</v>
      </c>
      <c r="R26" s="102">
        <f t="shared" si="7"/>
        <v>3</v>
      </c>
      <c r="S26" s="102" t="str">
        <f t="shared" si="21"/>
        <v>0</v>
      </c>
      <c r="T26" s="102">
        <f t="shared" si="9"/>
        <v>3</v>
      </c>
      <c r="U26" s="102">
        <f t="shared" si="22"/>
        <v>18</v>
      </c>
      <c r="V26" s="102">
        <f t="shared" si="11"/>
        <v>87</v>
      </c>
      <c r="W26" s="103">
        <f t="shared" si="12"/>
        <v>45325</v>
      </c>
      <c r="X26" s="103">
        <f t="shared" si="13"/>
        <v>45350</v>
      </c>
      <c r="Y26" s="103">
        <f t="shared" si="14"/>
        <v>45385</v>
      </c>
      <c r="Z26" s="103">
        <f t="shared" si="15"/>
        <v>45388</v>
      </c>
      <c r="AA26" s="103">
        <f t="shared" si="16"/>
        <v>45391</v>
      </c>
      <c r="AB26" s="103" t="str">
        <f t="shared" si="17"/>
        <v>---</v>
      </c>
      <c r="AC26" s="103">
        <f t="shared" si="18"/>
        <v>45394</v>
      </c>
      <c r="AD26" s="97"/>
    </row>
    <row r="27" spans="1:30" s="75" customFormat="1" ht="24">
      <c r="A27" s="88" t="s">
        <v>87</v>
      </c>
      <c r="B27" s="89" t="str">
        <f>IFERROR(VLOOKUP(A27,PAC!$A$2:$V$5011,2,0),"")</f>
        <v>Materiais de expediente para o almoxarifado.</v>
      </c>
      <c r="C27" s="90" t="s">
        <v>1178</v>
      </c>
      <c r="D27" s="98">
        <f>IFERROR(VLOOKUP(A27,PAC!$A$2:$V$5011,16,0),"")</f>
        <v>45412</v>
      </c>
      <c r="E27" s="99" t="str">
        <f>VLOOKUP(A27,PAC!$A$2:$V$5011,17,0)</f>
        <v>30 DIAS</v>
      </c>
      <c r="F27" s="100">
        <f>IFERROR(VLOOKUP(A27,PAC!$A$2:$V$5011,14,0),"")</f>
        <v>1000</v>
      </c>
      <c r="G27" s="100" t="str">
        <f>IFERROR(VLOOKUP(A27,PAC!$A$2:$V$5011,19,0),"")</f>
        <v>DISPENSA</v>
      </c>
      <c r="H27" s="101" t="s">
        <v>22</v>
      </c>
      <c r="I27" s="101" t="s">
        <v>22</v>
      </c>
      <c r="J27" s="102">
        <f>SUMIF(PAC!$A$2:$A$5011,A27,PAC!$W$2:$W$5011)</f>
        <v>1</v>
      </c>
      <c r="K27" s="102">
        <f t="shared" si="0"/>
        <v>15</v>
      </c>
      <c r="L27" s="102">
        <f t="shared" si="1"/>
        <v>10</v>
      </c>
      <c r="M27" s="102" t="str">
        <f t="shared" si="2"/>
        <v>0</v>
      </c>
      <c r="N27" s="102" t="str">
        <f t="shared" si="3"/>
        <v>0</v>
      </c>
      <c r="O27" s="102" t="str">
        <f t="shared" si="20"/>
        <v>0</v>
      </c>
      <c r="P27" s="102">
        <f t="shared" si="5"/>
        <v>35</v>
      </c>
      <c r="Q27" s="102">
        <f t="shared" si="6"/>
        <v>3</v>
      </c>
      <c r="R27" s="102">
        <f t="shared" si="7"/>
        <v>3</v>
      </c>
      <c r="S27" s="102" t="str">
        <f t="shared" si="21"/>
        <v>0</v>
      </c>
      <c r="T27" s="102">
        <f t="shared" si="9"/>
        <v>3</v>
      </c>
      <c r="U27" s="102">
        <f t="shared" si="22"/>
        <v>18</v>
      </c>
      <c r="V27" s="102">
        <f t="shared" si="11"/>
        <v>87</v>
      </c>
      <c r="W27" s="103">
        <f t="shared" si="12"/>
        <v>45325</v>
      </c>
      <c r="X27" s="103">
        <f t="shared" si="13"/>
        <v>45350</v>
      </c>
      <c r="Y27" s="103">
        <f t="shared" si="14"/>
        <v>45385</v>
      </c>
      <c r="Z27" s="103">
        <f t="shared" si="15"/>
        <v>45388</v>
      </c>
      <c r="AA27" s="103">
        <f t="shared" si="16"/>
        <v>45391</v>
      </c>
      <c r="AB27" s="103" t="str">
        <f t="shared" si="17"/>
        <v>---</v>
      </c>
      <c r="AC27" s="103">
        <f t="shared" si="18"/>
        <v>45394</v>
      </c>
      <c r="AD27" s="97"/>
    </row>
    <row r="28" spans="1:30" s="75" customFormat="1" ht="24">
      <c r="A28" s="88" t="s">
        <v>89</v>
      </c>
      <c r="B28" s="89" t="str">
        <f>IFERROR(VLOOKUP(A28,PAC!$A$2:$V$5011,2,0),"")</f>
        <v>Materiais de expediente para o almoxarifado.</v>
      </c>
      <c r="C28" s="90" t="s">
        <v>1178</v>
      </c>
      <c r="D28" s="98">
        <f>IFERROR(VLOOKUP(A28,PAC!$A$2:$V$5011,16,0),"")</f>
        <v>45412</v>
      </c>
      <c r="E28" s="99" t="str">
        <f>VLOOKUP(A28,PAC!$A$2:$V$5011,17,0)</f>
        <v>30 DIAS</v>
      </c>
      <c r="F28" s="100">
        <f>IFERROR(VLOOKUP(A28,PAC!$A$2:$V$5011,14,0),"")</f>
        <v>480</v>
      </c>
      <c r="G28" s="100" t="str">
        <f>IFERROR(VLOOKUP(A28,PAC!$A$2:$V$5011,19,0),"")</f>
        <v>DISPENSA</v>
      </c>
      <c r="H28" s="101" t="s">
        <v>22</v>
      </c>
      <c r="I28" s="101" t="s">
        <v>22</v>
      </c>
      <c r="J28" s="102">
        <f>SUMIF(PAC!$A$2:$A$5011,A28,PAC!$W$2:$W$5011)</f>
        <v>1</v>
      </c>
      <c r="K28" s="102">
        <f t="shared" si="0"/>
        <v>15</v>
      </c>
      <c r="L28" s="102">
        <f t="shared" si="1"/>
        <v>10</v>
      </c>
      <c r="M28" s="102" t="str">
        <f t="shared" si="2"/>
        <v>0</v>
      </c>
      <c r="N28" s="102" t="str">
        <f t="shared" si="3"/>
        <v>0</v>
      </c>
      <c r="O28" s="102" t="str">
        <f t="shared" si="20"/>
        <v>0</v>
      </c>
      <c r="P28" s="102">
        <f t="shared" si="5"/>
        <v>35</v>
      </c>
      <c r="Q28" s="102">
        <f t="shared" si="6"/>
        <v>3</v>
      </c>
      <c r="R28" s="102">
        <f t="shared" si="7"/>
        <v>3</v>
      </c>
      <c r="S28" s="102" t="str">
        <f t="shared" si="21"/>
        <v>0</v>
      </c>
      <c r="T28" s="102">
        <f t="shared" si="9"/>
        <v>3</v>
      </c>
      <c r="U28" s="102">
        <f t="shared" si="22"/>
        <v>18</v>
      </c>
      <c r="V28" s="102">
        <f t="shared" si="11"/>
        <v>87</v>
      </c>
      <c r="W28" s="103">
        <f t="shared" si="12"/>
        <v>45325</v>
      </c>
      <c r="X28" s="103">
        <f t="shared" si="13"/>
        <v>45350</v>
      </c>
      <c r="Y28" s="103">
        <f t="shared" si="14"/>
        <v>45385</v>
      </c>
      <c r="Z28" s="103">
        <f t="shared" si="15"/>
        <v>45388</v>
      </c>
      <c r="AA28" s="103">
        <f t="shared" si="16"/>
        <v>45391</v>
      </c>
      <c r="AB28" s="103" t="str">
        <f t="shared" si="17"/>
        <v>---</v>
      </c>
      <c r="AC28" s="103">
        <f t="shared" si="18"/>
        <v>45394</v>
      </c>
      <c r="AD28" s="97"/>
    </row>
    <row r="29" spans="1:30" s="75" customFormat="1" ht="24">
      <c r="A29" s="88" t="s">
        <v>91</v>
      </c>
      <c r="B29" s="89" t="str">
        <f>IFERROR(VLOOKUP(A29,PAC!$A$2:$V$5011,2,0),"")</f>
        <v>Materiais de expediente para o almoxarifado.</v>
      </c>
      <c r="C29" s="90" t="s">
        <v>1178</v>
      </c>
      <c r="D29" s="98">
        <f>IFERROR(VLOOKUP(A29,PAC!$A$2:$V$5011,16,0),"")</f>
        <v>45412</v>
      </c>
      <c r="E29" s="99" t="str">
        <f>VLOOKUP(A29,PAC!$A$2:$V$5011,17,0)</f>
        <v>30 DIAS</v>
      </c>
      <c r="F29" s="100">
        <f>IFERROR(VLOOKUP(A29,PAC!$A$2:$V$5011,14,0),"")</f>
        <v>720</v>
      </c>
      <c r="G29" s="100" t="str">
        <f>IFERROR(VLOOKUP(A29,PAC!$A$2:$V$5011,19,0),"")</f>
        <v>DISPENSA</v>
      </c>
      <c r="H29" s="101" t="s">
        <v>22</v>
      </c>
      <c r="I29" s="101" t="s">
        <v>22</v>
      </c>
      <c r="J29" s="102">
        <f>SUMIF(PAC!$A$2:$A$5011,A29,PAC!$W$2:$W$5011)</f>
        <v>1</v>
      </c>
      <c r="K29" s="102">
        <f t="shared" si="0"/>
        <v>15</v>
      </c>
      <c r="L29" s="102">
        <f t="shared" si="1"/>
        <v>10</v>
      </c>
      <c r="M29" s="102" t="str">
        <f t="shared" si="2"/>
        <v>0</v>
      </c>
      <c r="N29" s="102" t="str">
        <f t="shared" si="3"/>
        <v>0</v>
      </c>
      <c r="O29" s="102" t="str">
        <f t="shared" si="20"/>
        <v>0</v>
      </c>
      <c r="P29" s="102">
        <f t="shared" si="5"/>
        <v>35</v>
      </c>
      <c r="Q29" s="102">
        <f t="shared" si="6"/>
        <v>3</v>
      </c>
      <c r="R29" s="102">
        <f t="shared" si="7"/>
        <v>3</v>
      </c>
      <c r="S29" s="102" t="str">
        <f t="shared" si="21"/>
        <v>0</v>
      </c>
      <c r="T29" s="102">
        <f t="shared" si="9"/>
        <v>3</v>
      </c>
      <c r="U29" s="102">
        <f t="shared" si="22"/>
        <v>18</v>
      </c>
      <c r="V29" s="102">
        <f t="shared" si="11"/>
        <v>87</v>
      </c>
      <c r="W29" s="103">
        <f t="shared" si="12"/>
        <v>45325</v>
      </c>
      <c r="X29" s="103">
        <f t="shared" si="13"/>
        <v>45350</v>
      </c>
      <c r="Y29" s="103">
        <f t="shared" si="14"/>
        <v>45385</v>
      </c>
      <c r="Z29" s="103">
        <f t="shared" si="15"/>
        <v>45388</v>
      </c>
      <c r="AA29" s="103">
        <f t="shared" si="16"/>
        <v>45391</v>
      </c>
      <c r="AB29" s="103" t="str">
        <f t="shared" si="17"/>
        <v>---</v>
      </c>
      <c r="AC29" s="103">
        <f t="shared" si="18"/>
        <v>45394</v>
      </c>
      <c r="AD29" s="97"/>
    </row>
    <row r="30" spans="1:30" s="75" customFormat="1" ht="36">
      <c r="A30" s="88" t="s">
        <v>93</v>
      </c>
      <c r="B30" s="89" t="str">
        <f>IFERROR(VLOOKUP(A30,PAC!$A$2:$V$5011,2,0),"")</f>
        <v>Assinatura de ferramenta de pesquisa e comparação de preços praticados pela Administração Pública.</v>
      </c>
      <c r="C30" s="90"/>
      <c r="D30" s="98">
        <f>IFERROR(VLOOKUP(A30,PAC!$A$2:$V$5011,16,0),"")</f>
        <v>45292</v>
      </c>
      <c r="E30" s="99" t="str">
        <f>VLOOKUP(A30,PAC!$A$2:$V$5011,17,0)</f>
        <v>15 dias</v>
      </c>
      <c r="F30" s="100">
        <f>IFERROR(VLOOKUP(A30,PAC!$A$2:$V$5011,14,0),"")</f>
        <v>9883.2000000000007</v>
      </c>
      <c r="G30" s="100" t="str">
        <f>IFERROR(VLOOKUP(A30,PAC!$A$2:$V$5011,19,0),"")</f>
        <v>INEXIGIBILIDADE</v>
      </c>
      <c r="H30" s="101" t="s">
        <v>22</v>
      </c>
      <c r="I30" s="101" t="s">
        <v>22</v>
      </c>
      <c r="J30" s="102">
        <f>SUMIF(PAC!$A$2:$A$5011,A30,PAC!$W$2:$W$5011)</f>
        <v>1</v>
      </c>
      <c r="K30" s="102">
        <f t="shared" si="0"/>
        <v>15</v>
      </c>
      <c r="L30" s="102">
        <f t="shared" si="1"/>
        <v>10</v>
      </c>
      <c r="M30" s="102" t="str">
        <f t="shared" si="2"/>
        <v>0</v>
      </c>
      <c r="N30" s="102" t="str">
        <f t="shared" si="3"/>
        <v>0</v>
      </c>
      <c r="O30" s="102" t="str">
        <f t="shared" si="20"/>
        <v>0</v>
      </c>
      <c r="P30" s="102">
        <f t="shared" si="5"/>
        <v>35</v>
      </c>
      <c r="Q30" s="102">
        <f t="shared" si="6"/>
        <v>3</v>
      </c>
      <c r="R30" s="102">
        <f t="shared" si="7"/>
        <v>3</v>
      </c>
      <c r="S30" s="102" t="str">
        <f t="shared" si="21"/>
        <v>0</v>
      </c>
      <c r="T30" s="102">
        <f t="shared" si="9"/>
        <v>3</v>
      </c>
      <c r="U30" s="102">
        <f t="shared" si="22"/>
        <v>18</v>
      </c>
      <c r="V30" s="102">
        <f t="shared" si="11"/>
        <v>87</v>
      </c>
      <c r="W30" s="103">
        <f t="shared" si="12"/>
        <v>45205</v>
      </c>
      <c r="X30" s="103">
        <f t="shared" si="13"/>
        <v>45230</v>
      </c>
      <c r="Y30" s="103">
        <f t="shared" si="14"/>
        <v>45265</v>
      </c>
      <c r="Z30" s="103">
        <f t="shared" si="15"/>
        <v>45268</v>
      </c>
      <c r="AA30" s="103">
        <f t="shared" si="16"/>
        <v>45271</v>
      </c>
      <c r="AB30" s="103" t="str">
        <f t="shared" si="17"/>
        <v>---</v>
      </c>
      <c r="AC30" s="103">
        <f t="shared" si="18"/>
        <v>45274</v>
      </c>
      <c r="AD30" s="97"/>
    </row>
    <row r="31" spans="1:30" s="75" customFormat="1" ht="36">
      <c r="A31" s="88" t="s">
        <v>103</v>
      </c>
      <c r="B31" s="89" t="str">
        <f>IFERROR(VLOOKUP(A31,PAC!$A$2:$V$5011,2,0),"")</f>
        <v>Contratação de Assinatura em mídia especializada em dados sobre licitações e contratos.</v>
      </c>
      <c r="C31" s="90"/>
      <c r="D31" s="98">
        <f>IFERROR(VLOOKUP(A31,PAC!$A$2:$V$5011,16,0),"")</f>
        <v>45292</v>
      </c>
      <c r="E31" s="99" t="str">
        <f>VLOOKUP(A31,PAC!$A$2:$V$5011,17,0)</f>
        <v>15 DIAS</v>
      </c>
      <c r="F31" s="100">
        <f>IFERROR(VLOOKUP(A31,PAC!$A$2:$V$5011,14,0),"")</f>
        <v>12333</v>
      </c>
      <c r="G31" s="100" t="str">
        <f>IFERROR(VLOOKUP(A31,PAC!$A$2:$V$5011,19,0),"")</f>
        <v>INEXIGIBILIDADE</v>
      </c>
      <c r="H31" s="101" t="s">
        <v>22</v>
      </c>
      <c r="I31" s="101" t="s">
        <v>22</v>
      </c>
      <c r="J31" s="102">
        <f>SUMIF(PAC!$A$2:$A$5011,A31,PAC!$W$2:$W$5011)</f>
        <v>1</v>
      </c>
      <c r="K31" s="102">
        <f t="shared" si="0"/>
        <v>15</v>
      </c>
      <c r="L31" s="102">
        <f t="shared" si="1"/>
        <v>10</v>
      </c>
      <c r="M31" s="102" t="str">
        <f t="shared" si="2"/>
        <v>0</v>
      </c>
      <c r="N31" s="102" t="str">
        <f t="shared" si="3"/>
        <v>0</v>
      </c>
      <c r="O31" s="102" t="str">
        <f t="shared" si="20"/>
        <v>0</v>
      </c>
      <c r="P31" s="102">
        <f t="shared" si="5"/>
        <v>35</v>
      </c>
      <c r="Q31" s="102">
        <f t="shared" si="6"/>
        <v>3</v>
      </c>
      <c r="R31" s="102">
        <f t="shared" si="7"/>
        <v>3</v>
      </c>
      <c r="S31" s="102" t="str">
        <f t="shared" si="21"/>
        <v>0</v>
      </c>
      <c r="T31" s="102">
        <f t="shared" si="9"/>
        <v>3</v>
      </c>
      <c r="U31" s="102">
        <f t="shared" si="22"/>
        <v>18</v>
      </c>
      <c r="V31" s="102">
        <f t="shared" si="11"/>
        <v>87</v>
      </c>
      <c r="W31" s="103">
        <f t="shared" si="12"/>
        <v>45205</v>
      </c>
      <c r="X31" s="103">
        <f t="shared" si="13"/>
        <v>45230</v>
      </c>
      <c r="Y31" s="103">
        <f t="shared" si="14"/>
        <v>45265</v>
      </c>
      <c r="Z31" s="103">
        <f t="shared" si="15"/>
        <v>45268</v>
      </c>
      <c r="AA31" s="103">
        <f t="shared" si="16"/>
        <v>45271</v>
      </c>
      <c r="AB31" s="103" t="str">
        <f t="shared" si="17"/>
        <v>---</v>
      </c>
      <c r="AC31" s="103">
        <f t="shared" si="18"/>
        <v>45274</v>
      </c>
      <c r="AD31" s="97"/>
    </row>
    <row r="32" spans="1:30" s="75" customFormat="1" ht="48">
      <c r="A32" s="88" t="s">
        <v>112</v>
      </c>
      <c r="B32" s="89" t="str">
        <f>IFERROR(VLOOKUP(A32,PAC!$A$2:$V$5011,2,0),"")</f>
        <v>PRESTAÇÃO DE SERVIÇOS DE MENSAGERIA MOTORIZADA, MOTOBOY,  COM FORNECIMENTO DE VEÍCULO, MOTOCICLETA E EQUIPAMENTOS DE PROTEÇÃO.</v>
      </c>
      <c r="C32" s="90" t="s">
        <v>1179</v>
      </c>
      <c r="D32" s="98">
        <f>IFERROR(VLOOKUP(A32,PAC!$A$2:$V$5011,16,0),"")</f>
        <v>45292</v>
      </c>
      <c r="E32" s="99" t="str">
        <f>VLOOKUP(A32,PAC!$A$2:$V$5011,17,0)</f>
        <v>30 DIAS</v>
      </c>
      <c r="F32" s="100">
        <f>IFERROR(VLOOKUP(A32,PAC!$A$2:$V$5011,14,0),"")</f>
        <v>75828.44</v>
      </c>
      <c r="G32" s="100" t="str">
        <f>IFERROR(VLOOKUP(A32,PAC!$A$2:$V$5011,19,0),"")</f>
        <v>PRORROGAÇÃO</v>
      </c>
      <c r="H32" s="101" t="s">
        <v>22</v>
      </c>
      <c r="I32" s="101" t="s">
        <v>22</v>
      </c>
      <c r="J32" s="102">
        <f>SUMIF(PAC!$A$2:$A$5011,A32,PAC!$W$2:$W$5011)</f>
        <v>1</v>
      </c>
      <c r="K32" s="102" t="str">
        <f t="shared" si="0"/>
        <v>0</v>
      </c>
      <c r="L32" s="102" t="str">
        <f t="shared" si="1"/>
        <v>0</v>
      </c>
      <c r="M32" s="102" t="str">
        <f t="shared" si="2"/>
        <v>0</v>
      </c>
      <c r="N32" s="102" t="str">
        <f t="shared" si="3"/>
        <v>0</v>
      </c>
      <c r="O32" s="102" t="str">
        <f t="shared" si="20"/>
        <v>0</v>
      </c>
      <c r="P32" s="102" t="str">
        <f t="shared" si="5"/>
        <v>0</v>
      </c>
      <c r="Q32" s="102" t="str">
        <f t="shared" si="6"/>
        <v>0</v>
      </c>
      <c r="R32" s="102" t="str">
        <f t="shared" si="7"/>
        <v>0</v>
      </c>
      <c r="S32" s="102">
        <f t="shared" si="21"/>
        <v>60</v>
      </c>
      <c r="T32" s="102" t="str">
        <f t="shared" si="9"/>
        <v>0</v>
      </c>
      <c r="U32" s="102">
        <f t="shared" si="22"/>
        <v>18</v>
      </c>
      <c r="V32" s="102">
        <f t="shared" si="11"/>
        <v>78</v>
      </c>
      <c r="W32" s="103" t="str">
        <f t="shared" si="12"/>
        <v>---</v>
      </c>
      <c r="X32" s="103" t="str">
        <f t="shared" si="13"/>
        <v>---</v>
      </c>
      <c r="Y32" s="103" t="str">
        <f t="shared" si="14"/>
        <v>---</v>
      </c>
      <c r="Z32" s="103" t="str">
        <f t="shared" si="15"/>
        <v>---</v>
      </c>
      <c r="AA32" s="103" t="str">
        <f t="shared" si="16"/>
        <v>---</v>
      </c>
      <c r="AB32" s="103">
        <f t="shared" si="17"/>
        <v>45214</v>
      </c>
      <c r="AC32" s="103">
        <f t="shared" si="18"/>
        <v>45274</v>
      </c>
      <c r="AD32" s="97" t="b">
        <f>IFERROR(IF(OR(G32="dispensa",G32="inexigibilidade",G32="licitação"),IF(AND(W32&lt;44568,AC32&gt;44549),"Atenção!Há recesso forense no período! Fazer ajuste manual de datas, se for o caso.",""),IF(OR(G32="prorrogação",G32="renovação"),(IF(AND(AB32&lt;44568,AC32&gt;44549),"Atenção!Há recesso forense no período! Fazer ajuste manual de datas, se for o caso.")),"")),"")</f>
        <v>0</v>
      </c>
    </row>
    <row r="33" spans="1:30" s="75" customFormat="1" ht="48">
      <c r="A33" s="88" t="s">
        <v>119</v>
      </c>
      <c r="B33" s="89" t="str">
        <f>IFERROR(VLOOKUP(A33,PAC!$A$2:$V$5011,2,0),"")</f>
        <v>PRESTAÇÃO DE SERVIÇOS  DE MANUTENÇÃO PREVENTIVA E CORRETIVAS NOS ELEVADORES INSTALADOS NO PRÉDIO SEDE DA JUSTIÇA FEDERAL NO PARÁ.</v>
      </c>
      <c r="C33" s="90" t="s">
        <v>1179</v>
      </c>
      <c r="D33" s="98">
        <f>IFERROR(VLOOKUP(A33,PAC!$A$2:$V$5011,16,0),"")</f>
        <v>45292</v>
      </c>
      <c r="E33" s="99" t="str">
        <f>VLOOKUP(A33,PAC!$A$2:$V$5011,17,0)</f>
        <v>30 DIAS</v>
      </c>
      <c r="F33" s="100">
        <f>IFERROR(VLOOKUP(A33,PAC!$A$2:$V$5011,14,0),"")</f>
        <v>102384</v>
      </c>
      <c r="G33" s="100" t="str">
        <f>IFERROR(VLOOKUP(A33,PAC!$A$2:$V$5011,19,0),"")</f>
        <v>PRORROGAÇÃO</v>
      </c>
      <c r="H33" s="101" t="s">
        <v>1180</v>
      </c>
      <c r="I33" s="101" t="s">
        <v>22</v>
      </c>
      <c r="J33" s="102">
        <f>SUMIF(PAC!$A$2:$A$5011,A33,PAC!$W$2:$W$5011)</f>
        <v>1</v>
      </c>
      <c r="K33" s="102" t="str">
        <f t="shared" si="0"/>
        <v>0</v>
      </c>
      <c r="L33" s="102" t="str">
        <f t="shared" si="1"/>
        <v>0</v>
      </c>
      <c r="M33" s="102" t="str">
        <f t="shared" si="2"/>
        <v>0</v>
      </c>
      <c r="N33" s="102" t="str">
        <f t="shared" si="3"/>
        <v>0</v>
      </c>
      <c r="O33" s="102" t="str">
        <f t="shared" si="20"/>
        <v>0</v>
      </c>
      <c r="P33" s="102" t="str">
        <f t="shared" si="5"/>
        <v>0</v>
      </c>
      <c r="Q33" s="102" t="str">
        <f t="shared" si="6"/>
        <v>0</v>
      </c>
      <c r="R33" s="102" t="str">
        <f t="shared" si="7"/>
        <v>0</v>
      </c>
      <c r="S33" s="102">
        <f t="shared" si="21"/>
        <v>60</v>
      </c>
      <c r="T33" s="102" t="str">
        <f t="shared" si="9"/>
        <v>0</v>
      </c>
      <c r="U33" s="102">
        <f t="shared" si="22"/>
        <v>18</v>
      </c>
      <c r="V33" s="102">
        <f t="shared" si="11"/>
        <v>78</v>
      </c>
      <c r="W33" s="103" t="str">
        <f t="shared" si="12"/>
        <v>---</v>
      </c>
      <c r="X33" s="103" t="str">
        <f t="shared" si="13"/>
        <v>---</v>
      </c>
      <c r="Y33" s="103" t="str">
        <f t="shared" si="14"/>
        <v>---</v>
      </c>
      <c r="Z33" s="103" t="str">
        <f t="shared" si="15"/>
        <v>---</v>
      </c>
      <c r="AA33" s="103" t="str">
        <f t="shared" si="16"/>
        <v>---</v>
      </c>
      <c r="AB33" s="103">
        <f t="shared" si="17"/>
        <v>45214</v>
      </c>
      <c r="AC33" s="103">
        <f t="shared" si="18"/>
        <v>45274</v>
      </c>
      <c r="AD33" s="97" t="b">
        <f>IFERROR(IF(OR(G33="dispensa",G33="inexigibilidade",G33="licitação"),IF(AND(W33&lt;44568,AC33&gt;44549),"Atenção!Há recesso forense no período! Fazer ajuste manual de datas, se for o caso.",""),IF(OR(G33="prorrogação",G33="renovação"),(IF(AND(AB33&lt;44568,AC33&gt;44549),"Atenção!Há recesso forense no período! Fazer ajuste manual de datas, se for o caso.")),"")),"")</f>
        <v>0</v>
      </c>
    </row>
    <row r="34" spans="1:30" s="75" customFormat="1" ht="36">
      <c r="A34" s="88" t="s">
        <v>122</v>
      </c>
      <c r="B34" s="89" t="str">
        <f>IFERROR(VLOOKUP(A34,PAC!$A$2:$V$5011,2,0),"")</f>
        <v>SEGURO TOTAL CONTRA SINISTROS PARA 12 VEÍCULOS PERTENCENTES A FROTA DA JUSTIÇA FEDERAL SEÇÃO PARÁ.</v>
      </c>
      <c r="C34" s="90" t="s">
        <v>1179</v>
      </c>
      <c r="D34" s="98">
        <f>IFERROR(VLOOKUP(A34,PAC!$A$2:$V$5011,16,0),"")</f>
        <v>45292</v>
      </c>
      <c r="E34" s="99" t="str">
        <f>VLOOKUP(A34,PAC!$A$2:$V$5011,17,0)</f>
        <v>30 DIAS</v>
      </c>
      <c r="F34" s="100">
        <f>IFERROR(VLOOKUP(A34,PAC!$A$2:$V$5011,14,0),"")</f>
        <v>14217.16</v>
      </c>
      <c r="G34" s="100" t="str">
        <f>IFERROR(VLOOKUP(A34,PAC!$A$2:$V$5011,19,0),"")</f>
        <v>PRORROGAÇÃO</v>
      </c>
      <c r="H34" s="101" t="s">
        <v>1180</v>
      </c>
      <c r="I34" s="101" t="s">
        <v>22</v>
      </c>
      <c r="J34" s="102">
        <f>SUMIF(PAC!$A$2:$A$5011,A34,PAC!$W$2:$W$5011)</f>
        <v>1</v>
      </c>
      <c r="K34" s="102" t="str">
        <f t="shared" si="0"/>
        <v>0</v>
      </c>
      <c r="L34" s="102" t="str">
        <f t="shared" si="1"/>
        <v>0</v>
      </c>
      <c r="M34" s="102" t="str">
        <f t="shared" si="2"/>
        <v>0</v>
      </c>
      <c r="N34" s="102" t="str">
        <f t="shared" si="3"/>
        <v>0</v>
      </c>
      <c r="O34" s="102" t="str">
        <f t="shared" si="20"/>
        <v>0</v>
      </c>
      <c r="P34" s="102" t="str">
        <f t="shared" si="5"/>
        <v>0</v>
      </c>
      <c r="Q34" s="102" t="str">
        <f t="shared" si="6"/>
        <v>0</v>
      </c>
      <c r="R34" s="102" t="str">
        <f t="shared" si="7"/>
        <v>0</v>
      </c>
      <c r="S34" s="102">
        <f t="shared" si="21"/>
        <v>60</v>
      </c>
      <c r="T34" s="102" t="str">
        <f t="shared" si="9"/>
        <v>0</v>
      </c>
      <c r="U34" s="102">
        <f t="shared" si="22"/>
        <v>18</v>
      </c>
      <c r="V34" s="102">
        <f t="shared" si="11"/>
        <v>78</v>
      </c>
      <c r="W34" s="103" t="str">
        <f t="shared" si="12"/>
        <v>---</v>
      </c>
      <c r="X34" s="103" t="str">
        <f t="shared" si="13"/>
        <v>---</v>
      </c>
      <c r="Y34" s="103" t="str">
        <f t="shared" si="14"/>
        <v>---</v>
      </c>
      <c r="Z34" s="103" t="str">
        <f t="shared" si="15"/>
        <v>---</v>
      </c>
      <c r="AA34" s="103" t="str">
        <f t="shared" si="16"/>
        <v>---</v>
      </c>
      <c r="AB34" s="103">
        <f t="shared" si="17"/>
        <v>45214</v>
      </c>
      <c r="AC34" s="103">
        <f t="shared" si="18"/>
        <v>45274</v>
      </c>
      <c r="AD34" s="97" t="b">
        <f>IFERROR(IF(OR(G34="dispensa",G34="inexigibilidade",G34="licitação"),IF(AND(W34&lt;44568,AC34&gt;44549),"Atenção!Há recesso forense no período! Fazer ajuste manual de datas, se for o caso.",""),IF(OR(G34="prorrogação",G34="renovação"),(IF(AND(AB34&lt;44568,AC34&gt;44549),"Atenção!Há recesso forense no período! Fazer ajuste manual de datas, se for o caso.")),"")),"")</f>
        <v>0</v>
      </c>
    </row>
    <row r="35" spans="1:30" s="75" customFormat="1" ht="96">
      <c r="A35" s="88" t="s">
        <v>125</v>
      </c>
      <c r="B35" s="89" t="str">
        <f>IFERROR(VLOOKUP(A35,PAC!$A$2:$V$5011,2,0),"")</f>
        <v>PRESTAÇÃO DE SERVIÇOS DE IMPLANTAÇÃO, INTERMEDIAÇÃO E ADMINISTRAÇÃO DE UM SISTEMA INFORMATIZADO E INTEGRADO, COM UTILIZAÇÃO DE CARTÃO MAGNÉTICO OU MICRO PROCESSADO DE GERENCIAMENTO PARA AQUISIÇÃO DE COMBUSTÍVEIS (GASOLINA E DIESEL) PARA OS VEÍCULOS E GERADORES DA JUSTIÇA FEDERAL SEÇÃO PARÁ</v>
      </c>
      <c r="C35" s="90" t="s">
        <v>1179</v>
      </c>
      <c r="D35" s="98">
        <f>IFERROR(VLOOKUP(A35,PAC!$A$2:$V$5011,16,0),"")</f>
        <v>45292</v>
      </c>
      <c r="E35" s="99" t="str">
        <f>VLOOKUP(A35,PAC!$A$2:$V$5011,17,0)</f>
        <v>30 DIAS</v>
      </c>
      <c r="F35" s="100">
        <f>IFERROR(VLOOKUP(A35,PAC!$A$2:$V$5011,14,0),"")</f>
        <v>74000</v>
      </c>
      <c r="G35" s="100" t="str">
        <f>IFERROR(VLOOKUP(A35,PAC!$A$2:$V$5011,19,0),"")</f>
        <v>PRORROGAÇÃO</v>
      </c>
      <c r="H35" s="101" t="s">
        <v>1180</v>
      </c>
      <c r="I35" s="101" t="s">
        <v>22</v>
      </c>
      <c r="J35" s="102">
        <f>SUMIF(PAC!$A$2:$A$5011,A35,PAC!$W$2:$W$5011)</f>
        <v>1</v>
      </c>
      <c r="K35" s="102" t="str">
        <f t="shared" si="0"/>
        <v>0</v>
      </c>
      <c r="L35" s="102" t="str">
        <f t="shared" si="1"/>
        <v>0</v>
      </c>
      <c r="M35" s="102" t="str">
        <f t="shared" si="2"/>
        <v>0</v>
      </c>
      <c r="N35" s="102" t="str">
        <f t="shared" si="3"/>
        <v>0</v>
      </c>
      <c r="O35" s="102" t="str">
        <f t="shared" si="20"/>
        <v>0</v>
      </c>
      <c r="P35" s="102" t="str">
        <f t="shared" si="5"/>
        <v>0</v>
      </c>
      <c r="Q35" s="102" t="str">
        <f t="shared" si="6"/>
        <v>0</v>
      </c>
      <c r="R35" s="102" t="str">
        <f t="shared" si="7"/>
        <v>0</v>
      </c>
      <c r="S35" s="102">
        <f t="shared" si="21"/>
        <v>60</v>
      </c>
      <c r="T35" s="102" t="str">
        <f t="shared" si="9"/>
        <v>0</v>
      </c>
      <c r="U35" s="102">
        <f t="shared" si="22"/>
        <v>18</v>
      </c>
      <c r="V35" s="102">
        <f t="shared" si="11"/>
        <v>78</v>
      </c>
      <c r="W35" s="103" t="str">
        <f t="shared" si="12"/>
        <v>---</v>
      </c>
      <c r="X35" s="103" t="str">
        <f t="shared" si="13"/>
        <v>---</v>
      </c>
      <c r="Y35" s="103" t="str">
        <f t="shared" si="14"/>
        <v>---</v>
      </c>
      <c r="Z35" s="103" t="str">
        <f t="shared" si="15"/>
        <v>---</v>
      </c>
      <c r="AA35" s="103" t="str">
        <f t="shared" si="16"/>
        <v>---</v>
      </c>
      <c r="AB35" s="103">
        <f t="shared" si="17"/>
        <v>45214</v>
      </c>
      <c r="AC35" s="103">
        <f t="shared" si="18"/>
        <v>45274</v>
      </c>
      <c r="AD35" s="97" t="b">
        <f>IFERROR(IF(OR(G35="dispensa",G35="inexigibilidade",G35="licitação"),IF(AND(W35&lt;44568,AC35&gt;44549),"Atenção!Há recesso forense no período! Fazer ajuste manual de datas, se for o caso.",""),IF(OR(G35="prorrogação",G35="renovação"),(IF(AND(AB35&lt;44568,AC35&gt;44549),"Atenção!Há recesso forense no período! Fazer ajuste manual de datas, se for o caso.")),"")),"")</f>
        <v>0</v>
      </c>
    </row>
    <row r="36" spans="1:30" s="75" customFormat="1" ht="60">
      <c r="A36" s="88" t="s">
        <v>130</v>
      </c>
      <c r="B36" s="89" t="str">
        <f>IFERROR(VLOOKUP(A36,PAC!$A$2:$V$5011,2,0),"")</f>
        <v>PRESTAÇÃO DE SERVIÇOS DE GERENCIAMENTO DE FROTA DE VEÍCULOS OFICIAIS, MANUTENÇÃO E CONSERVAÇÃO COM SERVIÇOS MECÂNICOS ELÉTRICOS E FORNECIMENTO DE PEÇAS.</v>
      </c>
      <c r="C36" s="90" t="s">
        <v>1179</v>
      </c>
      <c r="D36" s="98">
        <f>IFERROR(VLOOKUP(A36,PAC!$A$2:$V$5011,16,0),"")</f>
        <v>45292</v>
      </c>
      <c r="E36" s="99" t="str">
        <f>VLOOKUP(A36,PAC!$A$2:$V$5011,17,0)</f>
        <v>30 DIAS</v>
      </c>
      <c r="F36" s="100">
        <f>IFERROR(VLOOKUP(A36,PAC!$A$2:$V$5011,14,0),"")</f>
        <v>70687.5</v>
      </c>
      <c r="G36" s="100" t="str">
        <f>IFERROR(VLOOKUP(A36,PAC!$A$2:$V$5011,19,0),"")</f>
        <v>PRORROGAÇÃO</v>
      </c>
      <c r="H36" s="101" t="s">
        <v>22</v>
      </c>
      <c r="I36" s="101" t="s">
        <v>22</v>
      </c>
      <c r="J36" s="102">
        <f>SUMIF(PAC!$A$2:$A$5011,A36,PAC!$W$2:$W$5011)</f>
        <v>1</v>
      </c>
      <c r="K36" s="102" t="str">
        <f t="shared" si="0"/>
        <v>0</v>
      </c>
      <c r="L36" s="102" t="str">
        <f t="shared" si="1"/>
        <v>0</v>
      </c>
      <c r="M36" s="102" t="str">
        <f t="shared" si="2"/>
        <v>0</v>
      </c>
      <c r="N36" s="102" t="str">
        <f t="shared" si="3"/>
        <v>0</v>
      </c>
      <c r="O36" s="102" t="str">
        <f t="shared" si="20"/>
        <v>0</v>
      </c>
      <c r="P36" s="102" t="str">
        <f t="shared" si="5"/>
        <v>0</v>
      </c>
      <c r="Q36" s="102" t="str">
        <f t="shared" si="6"/>
        <v>0</v>
      </c>
      <c r="R36" s="102" t="str">
        <f t="shared" si="7"/>
        <v>0</v>
      </c>
      <c r="S36" s="102">
        <f t="shared" si="21"/>
        <v>60</v>
      </c>
      <c r="T36" s="102" t="str">
        <f t="shared" si="9"/>
        <v>0</v>
      </c>
      <c r="U36" s="102">
        <f t="shared" si="22"/>
        <v>18</v>
      </c>
      <c r="V36" s="102">
        <f t="shared" si="11"/>
        <v>78</v>
      </c>
      <c r="W36" s="103" t="str">
        <f t="shared" si="12"/>
        <v>---</v>
      </c>
      <c r="X36" s="103" t="str">
        <f t="shared" si="13"/>
        <v>---</v>
      </c>
      <c r="Y36" s="103" t="str">
        <f t="shared" si="14"/>
        <v>---</v>
      </c>
      <c r="Z36" s="103" t="str">
        <f t="shared" si="15"/>
        <v>---</v>
      </c>
      <c r="AA36" s="103" t="str">
        <f t="shared" si="16"/>
        <v>---</v>
      </c>
      <c r="AB36" s="103">
        <f t="shared" si="17"/>
        <v>45214</v>
      </c>
      <c r="AC36" s="103">
        <f t="shared" si="18"/>
        <v>45274</v>
      </c>
      <c r="AD36" s="97" t="b">
        <f>IFERROR(IF(OR(G36="dispensa",G36="inexigibilidade",G36="licitação"),IF(AND(W36&lt;44568,AC36&gt;44549),"Atenção!Há recesso forense no período! Fazer ajuste manual de datas, se for o caso.",""),IF(OR(G36="prorrogação",G36="renovação"),(IF(AND(AB36&lt;44568,AC36&gt;44549),"Atenção!Há recesso forense no período! Fazer ajuste manual de datas, se for o caso.")),"")),"")</f>
        <v>0</v>
      </c>
    </row>
    <row r="37" spans="1:30" s="75" customFormat="1" ht="60">
      <c r="A37" s="88" t="s">
        <v>134</v>
      </c>
      <c r="B37" s="89" t="str">
        <f>IFERROR(VLOOKUP(A37,PAC!$A$2:$V$5011,2,0),"")</f>
        <v>SERVIÇOS DE VIGILÂNCIA ARMADA 24 HORAS NO PRÉDIO SEDE DA JUSTIÇA EM BELÉM E NAS SUBSEÇÕES: CASTANHAL, PARAGOMINAS, MARABÁ, TUCURUÍ, ALATAMIRA, REDENÇÃO, ITAITUBA E SANTARÉM.</v>
      </c>
      <c r="C37" s="90" t="s">
        <v>1179</v>
      </c>
      <c r="D37" s="98">
        <f>IFERROR(VLOOKUP(A37,PAC!$A$2:$V$5011,16,0),"")</f>
        <v>45292</v>
      </c>
      <c r="E37" s="99" t="str">
        <f>VLOOKUP(A37,PAC!$A$2:$V$5011,17,0)</f>
        <v>30 DIAS</v>
      </c>
      <c r="F37" s="100">
        <f>IFERROR(VLOOKUP(A37,PAC!$A$2:$V$5011,14,0),"")</f>
        <v>2957730.85</v>
      </c>
      <c r="G37" s="100" t="str">
        <f>IFERROR(VLOOKUP(A37,PAC!$A$2:$V$5011,19,0),"")</f>
        <v>PRORROGAÇÃO</v>
      </c>
      <c r="H37" s="101" t="s">
        <v>22</v>
      </c>
      <c r="I37" s="101" t="s">
        <v>22</v>
      </c>
      <c r="J37" s="102">
        <f>SUMIF(PAC!$A$2:$A$5011,A37,PAC!$W$2:$W$5011)</f>
        <v>1</v>
      </c>
      <c r="K37" s="102" t="str">
        <f t="shared" si="0"/>
        <v>0</v>
      </c>
      <c r="L37" s="102" t="str">
        <f t="shared" si="1"/>
        <v>0</v>
      </c>
      <c r="M37" s="102" t="str">
        <f t="shared" si="2"/>
        <v>0</v>
      </c>
      <c r="N37" s="102" t="str">
        <f t="shared" si="3"/>
        <v>0</v>
      </c>
      <c r="O37" s="102" t="str">
        <f t="shared" si="20"/>
        <v>0</v>
      </c>
      <c r="P37" s="102" t="str">
        <f t="shared" si="5"/>
        <v>0</v>
      </c>
      <c r="Q37" s="102" t="str">
        <f t="shared" si="6"/>
        <v>0</v>
      </c>
      <c r="R37" s="102" t="str">
        <f t="shared" si="7"/>
        <v>0</v>
      </c>
      <c r="S37" s="102">
        <f t="shared" si="21"/>
        <v>60</v>
      </c>
      <c r="T37" s="102" t="str">
        <f t="shared" si="9"/>
        <v>0</v>
      </c>
      <c r="U37" s="102">
        <f t="shared" si="22"/>
        <v>18</v>
      </c>
      <c r="V37" s="102">
        <f t="shared" si="11"/>
        <v>78</v>
      </c>
      <c r="W37" s="103" t="str">
        <f t="shared" si="12"/>
        <v>---</v>
      </c>
      <c r="X37" s="103" t="str">
        <f t="shared" si="13"/>
        <v>---</v>
      </c>
      <c r="Y37" s="103" t="str">
        <f t="shared" si="14"/>
        <v>---</v>
      </c>
      <c r="Z37" s="103" t="str">
        <f t="shared" si="15"/>
        <v>---</v>
      </c>
      <c r="AA37" s="103" t="str">
        <f t="shared" si="16"/>
        <v>---</v>
      </c>
      <c r="AB37" s="103">
        <f t="shared" si="17"/>
        <v>45214</v>
      </c>
      <c r="AC37" s="103">
        <f t="shared" si="18"/>
        <v>45274</v>
      </c>
      <c r="AD37" s="97"/>
    </row>
    <row r="38" spans="1:30" s="75" customFormat="1" ht="15">
      <c r="A38" s="88" t="s">
        <v>138</v>
      </c>
      <c r="B38" s="89" t="str">
        <f>IFERROR(VLOOKUP(A38,PAC!$A$2:$V$5011,2,0),"")</f>
        <v>Contratação de seguro contra incêndio.</v>
      </c>
      <c r="C38" s="90" t="s">
        <v>1179</v>
      </c>
      <c r="D38" s="98">
        <f>IFERROR(VLOOKUP(A38,PAC!$A$2:$V$5011,16,0),"")</f>
        <v>45292</v>
      </c>
      <c r="E38" s="99" t="str">
        <f>VLOOKUP(A38,PAC!$A$2:$V$5011,17,0)</f>
        <v>30 DIAS</v>
      </c>
      <c r="F38" s="100">
        <f>IFERROR(VLOOKUP(A38,PAC!$A$2:$V$5011,14,0),"")</f>
        <v>20520</v>
      </c>
      <c r="G38" s="100" t="str">
        <f>IFERROR(VLOOKUP(A38,PAC!$A$2:$V$5011,19,0),"")</f>
        <v>PRORROGAÇÃO</v>
      </c>
      <c r="H38" s="101" t="s">
        <v>22</v>
      </c>
      <c r="I38" s="101" t="s">
        <v>22</v>
      </c>
      <c r="J38" s="102">
        <f>SUMIF(PAC!$A$2:$A$5011,A38,PAC!$W$2:$W$5011)</f>
        <v>1</v>
      </c>
      <c r="K38" s="102" t="str">
        <f t="shared" ref="K38:K69" si="23">IF(OR(G38="dispensa",G38="inexigibilidade",G38="licitação"),15,"0")</f>
        <v>0</v>
      </c>
      <c r="L38" s="102" t="str">
        <f t="shared" ref="L38:L69" si="24">IF(OR(G38="dispensa",G38="inexigibilidade",G38="licitação"),10,"0")</f>
        <v>0</v>
      </c>
      <c r="M38" s="102" t="str">
        <f t="shared" si="2"/>
        <v>0</v>
      </c>
      <c r="N38" s="102" t="str">
        <f t="shared" ref="N38:N69" si="25">IF(AND(G38="Licitação"),IF(AND(H38=""),"0",IF(AND(H38="N"),15,IF(AND(H38="C"),25))),"0")</f>
        <v>0</v>
      </c>
      <c r="O38" s="102" t="str">
        <f t="shared" si="20"/>
        <v>0</v>
      </c>
      <c r="P38" s="102" t="str">
        <f t="shared" ref="P38:P69" si="26">IF(OR(G38="dispensa",G38="inexigibilidade"),IF(AND(J38=0),0,IF(AND(J38&gt;0,J38&lt;11),35,IF(AND(J38&gt;10,J38&lt;21),45,IF(AND(J38&gt;20),60)))),"0")</f>
        <v>0</v>
      </c>
      <c r="Q38" s="102" t="str">
        <f t="shared" ref="Q38:Q69" si="27">IF(OR(G38="dispensa",G38="inexigibilidade"),3,"0")</f>
        <v>0</v>
      </c>
      <c r="R38" s="102" t="str">
        <f t="shared" ref="R38:R69" si="28">IF(OR(G38="dispensa",G38="inexigibilidade"),3,"0")</f>
        <v>0</v>
      </c>
      <c r="S38" s="102">
        <f t="shared" si="21"/>
        <v>60</v>
      </c>
      <c r="T38" s="102" t="str">
        <f t="shared" ref="T38:T69" si="29">IF(OR(G38="dispensa",G38="inexigibilidade",G38="licitação"),IF(AND(H38="C"),5,IF(AND(H38="N"),3,IF(AND(H38=""),"0"))),"0")</f>
        <v>0</v>
      </c>
      <c r="U38" s="102">
        <f t="shared" si="22"/>
        <v>18</v>
      </c>
      <c r="V38" s="102">
        <f t="shared" ref="V38:V69" si="30">SUM(K38:U38)</f>
        <v>78</v>
      </c>
      <c r="W38" s="103" t="str">
        <f t="shared" si="12"/>
        <v>---</v>
      </c>
      <c r="X38" s="103" t="str">
        <f t="shared" si="13"/>
        <v>---</v>
      </c>
      <c r="Y38" s="103" t="str">
        <f t="shared" si="14"/>
        <v>---</v>
      </c>
      <c r="Z38" s="103" t="str">
        <f t="shared" si="15"/>
        <v>---</v>
      </c>
      <c r="AA38" s="103" t="str">
        <f t="shared" si="16"/>
        <v>---</v>
      </c>
      <c r="AB38" s="103">
        <f t="shared" si="17"/>
        <v>45214</v>
      </c>
      <c r="AC38" s="103">
        <f t="shared" si="18"/>
        <v>45274</v>
      </c>
      <c r="AD38" s="97"/>
    </row>
    <row r="39" spans="1:30" s="75" customFormat="1" ht="36">
      <c r="A39" s="88" t="s">
        <v>142</v>
      </c>
      <c r="B39" s="89" t="str">
        <f>IFERROR(VLOOKUP(A39,PAC!$A$2:$V$5011,2,0),"")</f>
        <v>SEGURO TOTAL CONTRA SINISTROS PARA 9 VEÍCULOS PERTENCENTES A FROTA DA JUSTIÇA FEDERAL SEÇÃO PARÁ.</v>
      </c>
      <c r="C39" s="90" t="s">
        <v>1179</v>
      </c>
      <c r="D39" s="98">
        <f>IFERROR(VLOOKUP(A39,PAC!$A$2:$V$5011,16,0),"")</f>
        <v>45292</v>
      </c>
      <c r="E39" s="99" t="str">
        <f>VLOOKUP(A39,PAC!$A$2:$V$5011,17,0)</f>
        <v>90 DIAS</v>
      </c>
      <c r="F39" s="100">
        <f>IFERROR(VLOOKUP(A39,PAC!$A$2:$V$5011,14,0),"")</f>
        <v>14217</v>
      </c>
      <c r="G39" s="100" t="s">
        <v>310</v>
      </c>
      <c r="H39" s="101" t="s">
        <v>22</v>
      </c>
      <c r="I39" s="101" t="s">
        <v>22</v>
      </c>
      <c r="J39" s="102">
        <f>SUMIF(PAC!$A$2:$A$5011,A39,PAC!$W$2:$W$5011)</f>
        <v>1</v>
      </c>
      <c r="K39" s="102">
        <f t="shared" si="23"/>
        <v>15</v>
      </c>
      <c r="L39" s="102">
        <f t="shared" si="24"/>
        <v>10</v>
      </c>
      <c r="M39" s="102">
        <f t="shared" si="2"/>
        <v>20</v>
      </c>
      <c r="N39" s="102">
        <f t="shared" si="25"/>
        <v>15</v>
      </c>
      <c r="O39" s="102">
        <f t="shared" si="20"/>
        <v>25</v>
      </c>
      <c r="P39" s="102" t="str">
        <f t="shared" si="26"/>
        <v>0</v>
      </c>
      <c r="Q39" s="102" t="str">
        <f t="shared" si="27"/>
        <v>0</v>
      </c>
      <c r="R39" s="102" t="str">
        <f t="shared" si="28"/>
        <v>0</v>
      </c>
      <c r="S39" s="102" t="str">
        <f t="shared" si="21"/>
        <v>0</v>
      </c>
      <c r="T39" s="102">
        <f t="shared" si="29"/>
        <v>3</v>
      </c>
      <c r="U39" s="102">
        <f t="shared" si="22"/>
        <v>18</v>
      </c>
      <c r="V39" s="102">
        <f t="shared" si="30"/>
        <v>106</v>
      </c>
      <c r="W39" s="103">
        <f t="shared" si="12"/>
        <v>45186</v>
      </c>
      <c r="X39" s="103">
        <f t="shared" si="13"/>
        <v>45211</v>
      </c>
      <c r="Y39" s="103">
        <f t="shared" si="14"/>
        <v>45231</v>
      </c>
      <c r="Z39" s="103">
        <f t="shared" si="15"/>
        <v>45246</v>
      </c>
      <c r="AA39" s="103">
        <f t="shared" si="16"/>
        <v>45271</v>
      </c>
      <c r="AB39" s="103" t="str">
        <f t="shared" si="17"/>
        <v>---</v>
      </c>
      <c r="AC39" s="103">
        <f t="shared" si="18"/>
        <v>45274</v>
      </c>
      <c r="AD39" s="97"/>
    </row>
    <row r="40" spans="1:30" s="75" customFormat="1" ht="36">
      <c r="A40" s="88" t="s">
        <v>145</v>
      </c>
      <c r="B40" s="89" t="str">
        <f>IFERROR(VLOOKUP(A40,PAC!$A$2:$V$5011,2,0),"")</f>
        <v>Mnautenção de porta giratória detectora de metais e scanner raio-x, instalados na Sede da SJPA.</v>
      </c>
      <c r="C40" s="90" t="s">
        <v>1179</v>
      </c>
      <c r="D40" s="98">
        <f>IFERROR(VLOOKUP(A40,PAC!$A$2:$V$5011,16,0),"")</f>
        <v>45292</v>
      </c>
      <c r="E40" s="99" t="str">
        <f>VLOOKUP(A40,PAC!$A$2:$V$5011,17,0)</f>
        <v>30 dias</v>
      </c>
      <c r="F40" s="100">
        <f>IFERROR(VLOOKUP(A40,PAC!$A$2:$V$5011,14,0),"")</f>
        <v>18000</v>
      </c>
      <c r="G40" s="100" t="s">
        <v>310</v>
      </c>
      <c r="H40" s="101" t="s">
        <v>22</v>
      </c>
      <c r="I40" s="101" t="s">
        <v>22</v>
      </c>
      <c r="J40" s="102">
        <f>SUMIF(PAC!$A$2:$A$5011,A40,PAC!$W$2:$W$5011)</f>
        <v>1</v>
      </c>
      <c r="K40" s="102">
        <f t="shared" si="23"/>
        <v>15</v>
      </c>
      <c r="L40" s="102">
        <f t="shared" si="24"/>
        <v>10</v>
      </c>
      <c r="M40" s="102">
        <f t="shared" si="2"/>
        <v>20</v>
      </c>
      <c r="N40" s="102">
        <f t="shared" si="25"/>
        <v>15</v>
      </c>
      <c r="O40" s="102">
        <f t="shared" si="20"/>
        <v>25</v>
      </c>
      <c r="P40" s="102" t="str">
        <f t="shared" si="26"/>
        <v>0</v>
      </c>
      <c r="Q40" s="102" t="str">
        <f t="shared" si="27"/>
        <v>0</v>
      </c>
      <c r="R40" s="102" t="str">
        <f t="shared" si="28"/>
        <v>0</v>
      </c>
      <c r="S40" s="102" t="str">
        <f t="shared" si="21"/>
        <v>0</v>
      </c>
      <c r="T40" s="102">
        <f t="shared" si="29"/>
        <v>3</v>
      </c>
      <c r="U40" s="102">
        <f t="shared" si="22"/>
        <v>18</v>
      </c>
      <c r="V40" s="102">
        <f t="shared" si="30"/>
        <v>106</v>
      </c>
      <c r="W40" s="103">
        <f t="shared" si="12"/>
        <v>45186</v>
      </c>
      <c r="X40" s="103">
        <f t="shared" si="13"/>
        <v>45211</v>
      </c>
      <c r="Y40" s="103">
        <f t="shared" si="14"/>
        <v>45231</v>
      </c>
      <c r="Z40" s="103">
        <f t="shared" si="15"/>
        <v>45246</v>
      </c>
      <c r="AA40" s="103">
        <f t="shared" si="16"/>
        <v>45271</v>
      </c>
      <c r="AB40" s="103" t="str">
        <f t="shared" si="17"/>
        <v>---</v>
      </c>
      <c r="AC40" s="103">
        <f t="shared" si="18"/>
        <v>45274</v>
      </c>
      <c r="AD40" s="97"/>
    </row>
    <row r="41" spans="1:30" s="75" customFormat="1" ht="48">
      <c r="A41" s="88" t="s">
        <v>153</v>
      </c>
      <c r="B41" s="89" t="str">
        <f>IFERROR(VLOOKUP(A41,PAC!$A$2:$V$5011,2,0),"")</f>
        <v>FORNECIMENTO E INSTALAÇÃO DO SISTEMA DE CIRCUITO FECHADO DE TV E CONTROLE DE ACESSO PARA O PRÉDIO SJPA, INCLUINDO O ANEXO “CASA ROSADA”</v>
      </c>
      <c r="C41" s="90" t="s">
        <v>1179</v>
      </c>
      <c r="D41" s="98">
        <f>IFERROR(VLOOKUP(A41,PAC!$A$2:$V$5011,16,0),"")</f>
        <v>45646</v>
      </c>
      <c r="E41" s="99" t="str">
        <f>VLOOKUP(A41,PAC!$A$2:$V$5011,17,0)</f>
        <v>90 DIAS</v>
      </c>
      <c r="F41" s="100">
        <f>IFERROR(VLOOKUP(A41,PAC!$A$2:$V$5011,14,0),"")</f>
        <v>1620248.93</v>
      </c>
      <c r="G41" s="100" t="s">
        <v>310</v>
      </c>
      <c r="H41" s="101" t="s">
        <v>22</v>
      </c>
      <c r="I41" s="101" t="s">
        <v>22</v>
      </c>
      <c r="J41" s="102">
        <f>SUMIF(PAC!$A$2:$A$5011,A41,PAC!$W$2:$W$5011)</f>
        <v>1</v>
      </c>
      <c r="K41" s="102">
        <f t="shared" si="23"/>
        <v>15</v>
      </c>
      <c r="L41" s="102">
        <f t="shared" si="24"/>
        <v>10</v>
      </c>
      <c r="M41" s="102">
        <f t="shared" si="2"/>
        <v>20</v>
      </c>
      <c r="N41" s="102">
        <f t="shared" si="25"/>
        <v>15</v>
      </c>
      <c r="O41" s="102">
        <f t="shared" si="20"/>
        <v>25</v>
      </c>
      <c r="P41" s="102" t="str">
        <f t="shared" si="26"/>
        <v>0</v>
      </c>
      <c r="Q41" s="102" t="str">
        <f t="shared" si="27"/>
        <v>0</v>
      </c>
      <c r="R41" s="102" t="str">
        <f t="shared" si="28"/>
        <v>0</v>
      </c>
      <c r="S41" s="102" t="str">
        <f t="shared" si="21"/>
        <v>0</v>
      </c>
      <c r="T41" s="102">
        <f t="shared" si="29"/>
        <v>3</v>
      </c>
      <c r="U41" s="102">
        <f t="shared" si="22"/>
        <v>18</v>
      </c>
      <c r="V41" s="102">
        <f t="shared" si="30"/>
        <v>106</v>
      </c>
      <c r="W41" s="103">
        <f t="shared" si="12"/>
        <v>45540</v>
      </c>
      <c r="X41" s="103">
        <f t="shared" si="13"/>
        <v>45565</v>
      </c>
      <c r="Y41" s="103">
        <f t="shared" si="14"/>
        <v>45585</v>
      </c>
      <c r="Z41" s="103">
        <f t="shared" si="15"/>
        <v>45600</v>
      </c>
      <c r="AA41" s="103">
        <f t="shared" si="16"/>
        <v>45625</v>
      </c>
      <c r="AB41" s="103" t="str">
        <f t="shared" si="17"/>
        <v>---</v>
      </c>
      <c r="AC41" s="103">
        <f t="shared" si="18"/>
        <v>45628</v>
      </c>
      <c r="AD41" s="97"/>
    </row>
    <row r="42" spans="1:30" s="75" customFormat="1" ht="36">
      <c r="A42" s="88" t="s">
        <v>159</v>
      </c>
      <c r="B42" s="89" t="str">
        <f>IFERROR(VLOOKUP(A42,PAC!$A$2:$V$5011,2,0),"")</f>
        <v>Aquisição de Rádio Comunicador com alcance de 20km (RC3002 G2 Intelbras ou similar).</v>
      </c>
      <c r="C42" s="90" t="s">
        <v>1179</v>
      </c>
      <c r="D42" s="98">
        <f>IFERROR(VLOOKUP(A42,PAC!$A$2:$V$5011,16,0),"")</f>
        <v>45505</v>
      </c>
      <c r="E42" s="99" t="str">
        <f>VLOOKUP(A42,PAC!$A$2:$V$5011,17,0)</f>
        <v>30 DIAS</v>
      </c>
      <c r="F42" s="100">
        <f>IFERROR(VLOOKUP(A42,PAC!$A$2:$V$5011,14,0),"")</f>
        <v>7900</v>
      </c>
      <c r="G42" s="100" t="s">
        <v>310</v>
      </c>
      <c r="H42" s="101" t="s">
        <v>22</v>
      </c>
      <c r="I42" s="101" t="s">
        <v>22</v>
      </c>
      <c r="J42" s="102">
        <f>SUMIF(PAC!$A$2:$A$5011,A42,PAC!$W$2:$W$5011)</f>
        <v>1</v>
      </c>
      <c r="K42" s="102">
        <f t="shared" si="23"/>
        <v>15</v>
      </c>
      <c r="L42" s="102">
        <f t="shared" si="24"/>
        <v>10</v>
      </c>
      <c r="M42" s="102">
        <f t="shared" si="2"/>
        <v>20</v>
      </c>
      <c r="N42" s="102">
        <f t="shared" si="25"/>
        <v>15</v>
      </c>
      <c r="O42" s="102">
        <f t="shared" si="20"/>
        <v>25</v>
      </c>
      <c r="P42" s="102" t="str">
        <f t="shared" si="26"/>
        <v>0</v>
      </c>
      <c r="Q42" s="102" t="str">
        <f t="shared" si="27"/>
        <v>0</v>
      </c>
      <c r="R42" s="102" t="str">
        <f t="shared" si="28"/>
        <v>0</v>
      </c>
      <c r="S42" s="102" t="str">
        <f t="shared" si="21"/>
        <v>0</v>
      </c>
      <c r="T42" s="102">
        <f t="shared" si="29"/>
        <v>3</v>
      </c>
      <c r="U42" s="102">
        <f t="shared" si="22"/>
        <v>18</v>
      </c>
      <c r="V42" s="102">
        <f t="shared" si="30"/>
        <v>106</v>
      </c>
      <c r="W42" s="103">
        <f t="shared" si="12"/>
        <v>45399</v>
      </c>
      <c r="X42" s="103">
        <f t="shared" si="13"/>
        <v>45424</v>
      </c>
      <c r="Y42" s="103">
        <f t="shared" si="14"/>
        <v>45444</v>
      </c>
      <c r="Z42" s="103">
        <f t="shared" si="15"/>
        <v>45459</v>
      </c>
      <c r="AA42" s="103">
        <f t="shared" si="16"/>
        <v>45484</v>
      </c>
      <c r="AB42" s="103" t="str">
        <f t="shared" si="17"/>
        <v>---</v>
      </c>
      <c r="AC42" s="103">
        <f t="shared" si="18"/>
        <v>45487</v>
      </c>
      <c r="AD42" s="97"/>
    </row>
    <row r="43" spans="1:30" s="75" customFormat="1" ht="48">
      <c r="A43" s="88" t="s">
        <v>166</v>
      </c>
      <c r="B43" s="89" t="str">
        <f>IFERROR(VLOOKUP(A43,PAC!$A$2:$V$5011,2,0),"")</f>
        <v>Operador de porta de cabina. Operador de cabina abertura telescópica (direita ou esquerda) 2 folhas LU800, Modelo 40/10 PM, soleira AL1000, módulo VF5.</v>
      </c>
      <c r="C43" s="90" t="s">
        <v>1179</v>
      </c>
      <c r="D43" s="98">
        <f>IFERROR(VLOOKUP(A43,PAC!$A$2:$V$5011,16,0),"")</f>
        <v>45444</v>
      </c>
      <c r="E43" s="99" t="str">
        <f>VLOOKUP(A43,PAC!$A$2:$V$5011,17,0)</f>
        <v>90 DIAS</v>
      </c>
      <c r="F43" s="100">
        <f>IFERROR(VLOOKUP(A43,PAC!$A$2:$V$5011,14,0),"")</f>
        <v>76000</v>
      </c>
      <c r="G43" s="100" t="str">
        <f>IFERROR(VLOOKUP(A43,PAC!$A$2:$V$5011,19,0),"")</f>
        <v>licitação</v>
      </c>
      <c r="H43" s="101" t="s">
        <v>22</v>
      </c>
      <c r="I43" s="101" t="s">
        <v>22</v>
      </c>
      <c r="J43" s="102">
        <f>SUMIF(PAC!$A$2:$A$5011,A43,PAC!$W$2:$W$5011)</f>
        <v>1</v>
      </c>
      <c r="K43" s="102">
        <f t="shared" si="23"/>
        <v>15</v>
      </c>
      <c r="L43" s="102">
        <f t="shared" si="24"/>
        <v>10</v>
      </c>
      <c r="M43" s="102">
        <f t="shared" si="2"/>
        <v>20</v>
      </c>
      <c r="N43" s="102">
        <f t="shared" si="25"/>
        <v>15</v>
      </c>
      <c r="O43" s="102">
        <f t="shared" si="20"/>
        <v>25</v>
      </c>
      <c r="P43" s="102" t="str">
        <f t="shared" si="26"/>
        <v>0</v>
      </c>
      <c r="Q43" s="102" t="str">
        <f t="shared" si="27"/>
        <v>0</v>
      </c>
      <c r="R43" s="102" t="str">
        <f t="shared" si="28"/>
        <v>0</v>
      </c>
      <c r="S43" s="102" t="str">
        <f t="shared" si="21"/>
        <v>0</v>
      </c>
      <c r="T43" s="102">
        <f t="shared" si="29"/>
        <v>3</v>
      </c>
      <c r="U43" s="102">
        <f t="shared" si="22"/>
        <v>18</v>
      </c>
      <c r="V43" s="102">
        <f t="shared" si="30"/>
        <v>106</v>
      </c>
      <c r="W43" s="103">
        <f t="shared" si="12"/>
        <v>45338</v>
      </c>
      <c r="X43" s="103">
        <f t="shared" si="13"/>
        <v>45363</v>
      </c>
      <c r="Y43" s="103">
        <f t="shared" si="14"/>
        <v>45383</v>
      </c>
      <c r="Z43" s="103">
        <f t="shared" si="15"/>
        <v>45398</v>
      </c>
      <c r="AA43" s="103">
        <f t="shared" si="16"/>
        <v>45423</v>
      </c>
      <c r="AB43" s="103" t="str">
        <f t="shared" si="17"/>
        <v>---</v>
      </c>
      <c r="AC43" s="103">
        <f t="shared" si="18"/>
        <v>45426</v>
      </c>
      <c r="AD43" s="97"/>
    </row>
    <row r="44" spans="1:30" s="75" customFormat="1" ht="36">
      <c r="A44" s="88" t="s">
        <v>171</v>
      </c>
      <c r="B44" s="89" t="str">
        <f>IFERROR(VLOOKUP(A44,PAC!$A$2:$V$5011,2,0),"")</f>
        <v>Aquisição de Fardamento Tático padrão da Polícia Judicial e uniformes para os servidores lotados no NUASG.</v>
      </c>
      <c r="C44" s="90" t="s">
        <v>1181</v>
      </c>
      <c r="D44" s="98">
        <f>IFERROR(VLOOKUP(A44,PAC!$A$2:$V$5011,16,0),"")</f>
        <v>45382</v>
      </c>
      <c r="E44" s="99" t="str">
        <f>VLOOKUP(A44,PAC!$A$2:$V$5011,17,0)</f>
        <v>30 DIAS</v>
      </c>
      <c r="F44" s="100">
        <f>IFERROR(VLOOKUP(A44,PAC!$A$2:$V$5011,14,0),"")</f>
        <v>56252.2</v>
      </c>
      <c r="G44" s="100" t="str">
        <f>IFERROR(VLOOKUP(A44,PAC!$A$2:$V$5011,19,0),"")</f>
        <v>licitação</v>
      </c>
      <c r="H44" s="101" t="s">
        <v>22</v>
      </c>
      <c r="I44" s="101" t="s">
        <v>22</v>
      </c>
      <c r="J44" s="102">
        <f>SUMIF(PAC!$A$2:$A$5011,A44,PAC!$W$2:$W$5011)</f>
        <v>1</v>
      </c>
      <c r="K44" s="102">
        <f t="shared" si="23"/>
        <v>15</v>
      </c>
      <c r="L44" s="102">
        <f t="shared" si="24"/>
        <v>10</v>
      </c>
      <c r="M44" s="102">
        <f t="shared" si="2"/>
        <v>20</v>
      </c>
      <c r="N44" s="102">
        <f t="shared" si="25"/>
        <v>15</v>
      </c>
      <c r="O44" s="102">
        <f t="shared" si="20"/>
        <v>25</v>
      </c>
      <c r="P44" s="102" t="str">
        <f t="shared" si="26"/>
        <v>0</v>
      </c>
      <c r="Q44" s="102" t="str">
        <f t="shared" si="27"/>
        <v>0</v>
      </c>
      <c r="R44" s="102" t="str">
        <f t="shared" si="28"/>
        <v>0</v>
      </c>
      <c r="S44" s="102" t="str">
        <f t="shared" si="21"/>
        <v>0</v>
      </c>
      <c r="T44" s="102">
        <f t="shared" si="29"/>
        <v>3</v>
      </c>
      <c r="U44" s="102">
        <f t="shared" si="22"/>
        <v>18</v>
      </c>
      <c r="V44" s="102">
        <f t="shared" si="30"/>
        <v>106</v>
      </c>
      <c r="W44" s="103">
        <f t="shared" si="12"/>
        <v>45276</v>
      </c>
      <c r="X44" s="103">
        <f t="shared" si="13"/>
        <v>45301</v>
      </c>
      <c r="Y44" s="103">
        <f t="shared" si="14"/>
        <v>45321</v>
      </c>
      <c r="Z44" s="103">
        <f t="shared" si="15"/>
        <v>45336</v>
      </c>
      <c r="AA44" s="103">
        <f t="shared" si="16"/>
        <v>45361</v>
      </c>
      <c r="AB44" s="103" t="str">
        <f t="shared" si="17"/>
        <v>---</v>
      </c>
      <c r="AC44" s="103">
        <f t="shared" si="18"/>
        <v>45364</v>
      </c>
      <c r="AD44" s="97"/>
    </row>
    <row r="45" spans="1:30" s="75" customFormat="1" ht="96">
      <c r="A45" s="88" t="s">
        <v>179</v>
      </c>
      <c r="B45" s="89" t="str">
        <f>IFERROR(VLOOKUP(A45,PAC!$A$2:$V$5011,2,0),"")</f>
        <v>Aquisição de munições calibre 9 mm, de capacitação e treinamento a ser utilizadas nas instruções, treinamentos continuados dos agentes da polícia judicial do quadro da Seção e Subseções Judiciárias no Estado do Pará, assim como as munições de operação para as armas institucionais desta Justiça Federal do Pará.</v>
      </c>
      <c r="C45" s="90" t="s">
        <v>1182</v>
      </c>
      <c r="D45" s="98">
        <f>IFERROR(VLOOKUP(A45,PAC!$A$2:$V$5011,16,0),"")</f>
        <v>45412</v>
      </c>
      <c r="E45" s="99" t="str">
        <f>VLOOKUP(A45,PAC!$A$2:$V$5011,17,0)</f>
        <v>15 DIAS</v>
      </c>
      <c r="F45" s="100">
        <f>IFERROR(VLOOKUP(A45,PAC!$A$2:$V$5011,14,0),"")</f>
        <v>101520</v>
      </c>
      <c r="G45" s="100" t="str">
        <f>IFERROR(VLOOKUP(A45,PAC!$A$2:$V$5011,19,0),"")</f>
        <v>INEXIGIBILIDADE</v>
      </c>
      <c r="H45" s="101" t="s">
        <v>22</v>
      </c>
      <c r="I45" s="101" t="s">
        <v>22</v>
      </c>
      <c r="J45" s="102">
        <f>SUMIF(PAC!$A$2:$A$5011,A45,PAC!$W$2:$W$5011)</f>
        <v>1</v>
      </c>
      <c r="K45" s="102">
        <f t="shared" si="23"/>
        <v>15</v>
      </c>
      <c r="L45" s="102">
        <f t="shared" si="24"/>
        <v>10</v>
      </c>
      <c r="M45" s="102" t="str">
        <f t="shared" si="2"/>
        <v>0</v>
      </c>
      <c r="N45" s="102" t="str">
        <f t="shared" si="25"/>
        <v>0</v>
      </c>
      <c r="O45" s="102" t="str">
        <f t="shared" si="20"/>
        <v>0</v>
      </c>
      <c r="P45" s="102">
        <f t="shared" si="26"/>
        <v>35</v>
      </c>
      <c r="Q45" s="102">
        <f t="shared" si="27"/>
        <v>3</v>
      </c>
      <c r="R45" s="102">
        <f t="shared" si="28"/>
        <v>3</v>
      </c>
      <c r="S45" s="102" t="str">
        <f t="shared" si="21"/>
        <v>0</v>
      </c>
      <c r="T45" s="102">
        <f t="shared" si="29"/>
        <v>3</v>
      </c>
      <c r="U45" s="102">
        <f t="shared" si="22"/>
        <v>18</v>
      </c>
      <c r="V45" s="102">
        <f t="shared" si="30"/>
        <v>87</v>
      </c>
      <c r="W45" s="103">
        <f t="shared" si="12"/>
        <v>45325</v>
      </c>
      <c r="X45" s="103">
        <f t="shared" si="13"/>
        <v>45350</v>
      </c>
      <c r="Y45" s="103">
        <f t="shared" si="14"/>
        <v>45385</v>
      </c>
      <c r="Z45" s="103">
        <f t="shared" si="15"/>
        <v>45388</v>
      </c>
      <c r="AA45" s="103">
        <f t="shared" si="16"/>
        <v>45391</v>
      </c>
      <c r="AB45" s="103" t="str">
        <f t="shared" si="17"/>
        <v>---</v>
      </c>
      <c r="AC45" s="103">
        <f t="shared" si="18"/>
        <v>45394</v>
      </c>
      <c r="AD45" s="97"/>
    </row>
    <row r="46" spans="1:30" s="75" customFormat="1" ht="48">
      <c r="A46" s="88" t="s">
        <v>184</v>
      </c>
      <c r="B46" s="89" t="str">
        <f>IFERROR(VLOOKUP(A46,PAC!$A$2:$V$5011,2,0),"")</f>
        <v>Aquisição de 38 coletes balísticos DISSIMULADO NÍVEL IIIA para os Agentes de Polícia Judicial e Oficiais de Justiça da Seção Judiciária do Pará.</v>
      </c>
      <c r="C46" s="90" t="s">
        <v>1183</v>
      </c>
      <c r="D46" s="98">
        <f>IFERROR(VLOOKUP(A46,PAC!$A$2:$V$5011,16,0),"")</f>
        <v>45412</v>
      </c>
      <c r="E46" s="99" t="str">
        <f>VLOOKUP(A46,PAC!$A$2:$V$5011,17,0)</f>
        <v>90 DIAS</v>
      </c>
      <c r="F46" s="100">
        <f>IFERROR(VLOOKUP(A46,PAC!$A$2:$V$5011,14,0),"")</f>
        <v>34580</v>
      </c>
      <c r="G46" s="100" t="str">
        <f>IFERROR(VLOOKUP(A46,PAC!$A$2:$V$5011,19,0),"")</f>
        <v>licitação</v>
      </c>
      <c r="H46" s="101" t="s">
        <v>22</v>
      </c>
      <c r="I46" s="101" t="s">
        <v>22</v>
      </c>
      <c r="J46" s="102">
        <f>SUMIF(PAC!$A$2:$A$5011,A46,PAC!$W$2:$W$5011)</f>
        <v>1</v>
      </c>
      <c r="K46" s="102">
        <f t="shared" si="23"/>
        <v>15</v>
      </c>
      <c r="L46" s="102">
        <f t="shared" si="24"/>
        <v>10</v>
      </c>
      <c r="M46" s="102">
        <f t="shared" si="2"/>
        <v>20</v>
      </c>
      <c r="N46" s="102">
        <f t="shared" si="25"/>
        <v>15</v>
      </c>
      <c r="O46" s="102">
        <f t="shared" si="20"/>
        <v>25</v>
      </c>
      <c r="P46" s="102" t="str">
        <f t="shared" si="26"/>
        <v>0</v>
      </c>
      <c r="Q46" s="102" t="str">
        <f t="shared" si="27"/>
        <v>0</v>
      </c>
      <c r="R46" s="102" t="str">
        <f t="shared" si="28"/>
        <v>0</v>
      </c>
      <c r="S46" s="102" t="str">
        <f t="shared" si="21"/>
        <v>0</v>
      </c>
      <c r="T46" s="102">
        <f t="shared" si="29"/>
        <v>3</v>
      </c>
      <c r="U46" s="102">
        <f t="shared" si="22"/>
        <v>18</v>
      </c>
      <c r="V46" s="102">
        <f t="shared" si="30"/>
        <v>106</v>
      </c>
      <c r="W46" s="103">
        <f t="shared" si="12"/>
        <v>45306</v>
      </c>
      <c r="X46" s="103">
        <f t="shared" si="13"/>
        <v>45331</v>
      </c>
      <c r="Y46" s="103">
        <f t="shared" si="14"/>
        <v>45351</v>
      </c>
      <c r="Z46" s="103">
        <f t="shared" si="15"/>
        <v>45366</v>
      </c>
      <c r="AA46" s="103">
        <f t="shared" si="16"/>
        <v>45391</v>
      </c>
      <c r="AB46" s="103" t="str">
        <f t="shared" si="17"/>
        <v>---</v>
      </c>
      <c r="AC46" s="103">
        <f t="shared" si="18"/>
        <v>45394</v>
      </c>
      <c r="AD46" s="97"/>
    </row>
    <row r="47" spans="1:30" s="75" customFormat="1" ht="24">
      <c r="A47" s="88" t="s">
        <v>188</v>
      </c>
      <c r="B47" s="89" t="str">
        <f>IFERROR(VLOOKUP(A47,PAC!$A$2:$V$5011,2,0),"")</f>
        <v>Manutenção preventiva no equipamento de RX.</v>
      </c>
      <c r="C47" s="90" t="s">
        <v>1184</v>
      </c>
      <c r="D47" s="98">
        <f>IFERROR(VLOOKUP(A47,PAC!$A$2:$V$5011,16,0),"")</f>
        <v>45381</v>
      </c>
      <c r="E47" s="99" t="str">
        <f>VLOOKUP(A47,PAC!$A$2:$V$5011,17,0)</f>
        <v>30 DIAS</v>
      </c>
      <c r="F47" s="100">
        <f>IFERROR(VLOOKUP(A47,PAC!$A$2:$V$5011,14,0),"")</f>
        <v>4000</v>
      </c>
      <c r="G47" s="100" t="str">
        <f>IFERROR(VLOOKUP(A47,PAC!$A$2:$V$5011,19,0),"")</f>
        <v>DISPENSA</v>
      </c>
      <c r="H47" s="101" t="s">
        <v>22</v>
      </c>
      <c r="I47" s="101" t="s">
        <v>22</v>
      </c>
      <c r="J47" s="102">
        <f>SUMIF(PAC!$A$2:$A$5011,A47,PAC!$W$2:$W$5011)</f>
        <v>1</v>
      </c>
      <c r="K47" s="102">
        <f t="shared" si="23"/>
        <v>15</v>
      </c>
      <c r="L47" s="102">
        <f t="shared" si="24"/>
        <v>10</v>
      </c>
      <c r="M47" s="102" t="str">
        <f t="shared" si="2"/>
        <v>0</v>
      </c>
      <c r="N47" s="102" t="str">
        <f t="shared" si="25"/>
        <v>0</v>
      </c>
      <c r="O47" s="102" t="str">
        <f t="shared" si="20"/>
        <v>0</v>
      </c>
      <c r="P47" s="102">
        <f t="shared" si="26"/>
        <v>35</v>
      </c>
      <c r="Q47" s="102">
        <f t="shared" si="27"/>
        <v>3</v>
      </c>
      <c r="R47" s="102">
        <f t="shared" si="28"/>
        <v>3</v>
      </c>
      <c r="S47" s="102" t="str">
        <f t="shared" si="21"/>
        <v>0</v>
      </c>
      <c r="T47" s="102">
        <f t="shared" si="29"/>
        <v>3</v>
      </c>
      <c r="U47" s="102">
        <f t="shared" si="22"/>
        <v>18</v>
      </c>
      <c r="V47" s="102">
        <f t="shared" si="30"/>
        <v>87</v>
      </c>
      <c r="W47" s="103">
        <f t="shared" si="12"/>
        <v>45294</v>
      </c>
      <c r="X47" s="103">
        <f t="shared" si="13"/>
        <v>45319</v>
      </c>
      <c r="Y47" s="103">
        <f t="shared" si="14"/>
        <v>45354</v>
      </c>
      <c r="Z47" s="103">
        <f t="shared" si="15"/>
        <v>45357</v>
      </c>
      <c r="AA47" s="103">
        <f t="shared" si="16"/>
        <v>45360</v>
      </c>
      <c r="AB47" s="103" t="str">
        <f t="shared" si="17"/>
        <v>---</v>
      </c>
      <c r="AC47" s="103">
        <f t="shared" si="18"/>
        <v>45363</v>
      </c>
      <c r="AD47" s="97"/>
    </row>
    <row r="48" spans="1:30" s="75" customFormat="1" ht="15">
      <c r="A48" s="88" t="s">
        <v>1185</v>
      </c>
      <c r="B48" s="89" t="str">
        <f>IFERROR(VLOOKUP(A48,PAC!$A$2:$V$5011,2,0),"")</f>
        <v/>
      </c>
      <c r="C48" s="90" t="s">
        <v>1186</v>
      </c>
      <c r="D48" s="98" t="str">
        <f>IFERROR(VLOOKUP(A48,PAC!$A$2:$V$5011,16,0),"")</f>
        <v/>
      </c>
      <c r="E48" s="99" t="e">
        <f>VLOOKUP(A48,PAC!$A$2:$V$5011,17,0)</f>
        <v>#N/A</v>
      </c>
      <c r="F48" s="100" t="str">
        <f>IFERROR(VLOOKUP(A48,PAC!$A$2:$V$5011,14,0),"")</f>
        <v/>
      </c>
      <c r="G48" s="100" t="str">
        <f>IFERROR(VLOOKUP(A48,PAC!$A$2:$V$5011,19,0),"")</f>
        <v/>
      </c>
      <c r="H48" s="101" t="s">
        <v>22</v>
      </c>
      <c r="I48" s="101" t="s">
        <v>22</v>
      </c>
      <c r="J48" s="102">
        <f>SUMIF(PAC!$A$2:$A$5011,A48,PAC!$W$2:$W$5011)</f>
        <v>0</v>
      </c>
      <c r="K48" s="102" t="str">
        <f t="shared" si="23"/>
        <v>0</v>
      </c>
      <c r="L48" s="102" t="str">
        <f t="shared" si="24"/>
        <v>0</v>
      </c>
      <c r="M48" s="102" t="str">
        <f t="shared" si="2"/>
        <v>0</v>
      </c>
      <c r="N48" s="102" t="str">
        <f t="shared" si="25"/>
        <v>0</v>
      </c>
      <c r="O48" s="102" t="str">
        <f t="shared" si="20"/>
        <v>0</v>
      </c>
      <c r="P48" s="102" t="str">
        <f t="shared" si="26"/>
        <v>0</v>
      </c>
      <c r="Q48" s="102" t="str">
        <f t="shared" si="27"/>
        <v>0</v>
      </c>
      <c r="R48" s="102" t="str">
        <f t="shared" si="28"/>
        <v>0</v>
      </c>
      <c r="S48" s="102" t="str">
        <f t="shared" si="21"/>
        <v>0</v>
      </c>
      <c r="T48" s="102" t="str">
        <f t="shared" si="29"/>
        <v>0</v>
      </c>
      <c r="U48" s="102">
        <f t="shared" si="22"/>
        <v>18</v>
      </c>
      <c r="V48" s="102">
        <f t="shared" si="30"/>
        <v>18</v>
      </c>
      <c r="W48" s="103" t="str">
        <f t="shared" si="12"/>
        <v>---</v>
      </c>
      <c r="X48" s="103" t="str">
        <f t="shared" si="13"/>
        <v>---</v>
      </c>
      <c r="Y48" s="103" t="str">
        <f t="shared" si="14"/>
        <v>---</v>
      </c>
      <c r="Z48" s="103" t="str">
        <f t="shared" si="15"/>
        <v>---</v>
      </c>
      <c r="AA48" s="103" t="str">
        <f t="shared" si="16"/>
        <v>---</v>
      </c>
      <c r="AB48" s="103" t="str">
        <f t="shared" si="17"/>
        <v>---</v>
      </c>
      <c r="AC48" s="103" t="str">
        <f t="shared" si="18"/>
        <v>---</v>
      </c>
      <c r="AD48" s="97"/>
    </row>
    <row r="49" spans="1:31" ht="37.5" customHeight="1">
      <c r="A49" s="88" t="s">
        <v>193</v>
      </c>
      <c r="B49" s="89" t="str">
        <f>IFERROR(VLOOKUP(A49,PAC!$A$2:$V$5011,2,0),"")</f>
        <v>Prorrogação do contrato nº 02/2022 (14799933) - prestação de serviços de limpeza, conservação, higienização, desinfecção de bens móveis e imóveis, com fornecimento de material e equipamentos, conforme Anexo I do Edital de licitação do Pregão Eletrônico nº 29/2021, na sede da Seção Judiciária do Pará e Subseções Judiciárias.</v>
      </c>
      <c r="C49" s="90" t="s">
        <v>1187</v>
      </c>
      <c r="D49" s="98">
        <f>IFERROR(VLOOKUP(A49,PAC!$A$2:$V$5011,16,0),"")</f>
        <v>45292</v>
      </c>
      <c r="E49" s="99" t="str">
        <f>VLOOKUP(A49,PAC!$A$2:$V$5011,17,0)</f>
        <v>30 DIAS</v>
      </c>
      <c r="F49" s="100">
        <f>IFERROR(VLOOKUP(A49,PAC!$A$2:$V$5011,14,0),"")</f>
        <v>1961998.96</v>
      </c>
      <c r="G49" s="100" t="str">
        <f>IFERROR(VLOOKUP(A49,PAC!$A$2:$V$5011,19,0),"")</f>
        <v>PRORROGAÇÃO</v>
      </c>
      <c r="H49" s="105" t="s">
        <v>1180</v>
      </c>
      <c r="I49" s="101" t="s">
        <v>22</v>
      </c>
      <c r="J49" s="102">
        <f>SUMIF(PAC!$A$2:$A$5011,A49,PAC!$W$2:$W$5011)</f>
        <v>1</v>
      </c>
      <c r="K49" s="102" t="str">
        <f t="shared" si="23"/>
        <v>0</v>
      </c>
      <c r="L49" s="102" t="str">
        <f t="shared" si="24"/>
        <v>0</v>
      </c>
      <c r="M49" s="102" t="str">
        <f t="shared" si="2"/>
        <v>0</v>
      </c>
      <c r="N49" s="102" t="str">
        <f t="shared" si="25"/>
        <v>0</v>
      </c>
      <c r="O49" s="102" t="str">
        <f t="shared" si="20"/>
        <v>0</v>
      </c>
      <c r="P49" s="102" t="str">
        <f t="shared" si="26"/>
        <v>0</v>
      </c>
      <c r="Q49" s="102" t="str">
        <f t="shared" si="27"/>
        <v>0</v>
      </c>
      <c r="R49" s="102" t="str">
        <f t="shared" si="28"/>
        <v>0</v>
      </c>
      <c r="S49" s="102">
        <f t="shared" si="21"/>
        <v>60</v>
      </c>
      <c r="T49" s="102" t="str">
        <f t="shared" si="29"/>
        <v>0</v>
      </c>
      <c r="U49" s="102">
        <f t="shared" si="22"/>
        <v>18</v>
      </c>
      <c r="V49" s="102">
        <f t="shared" si="30"/>
        <v>78</v>
      </c>
      <c r="W49" s="103" t="str">
        <f t="shared" si="12"/>
        <v>---</v>
      </c>
      <c r="X49" s="103" t="str">
        <f t="shared" si="13"/>
        <v>---</v>
      </c>
      <c r="Y49" s="103" t="str">
        <f t="shared" si="14"/>
        <v>---</v>
      </c>
      <c r="Z49" s="103" t="str">
        <f t="shared" si="15"/>
        <v>---</v>
      </c>
      <c r="AA49" s="103" t="str">
        <f t="shared" si="16"/>
        <v>---</v>
      </c>
      <c r="AB49" s="103">
        <f t="shared" si="17"/>
        <v>45214</v>
      </c>
      <c r="AC49" s="103">
        <f t="shared" si="18"/>
        <v>45274</v>
      </c>
      <c r="AD49" s="106"/>
      <c r="AE49" s="67"/>
    </row>
    <row r="50" spans="1:31" ht="84">
      <c r="A50" s="88" t="s">
        <v>200</v>
      </c>
      <c r="B50" s="89" t="str">
        <f>IFERROR(VLOOKUP(A50,PAC!$A$2:$V$5011,2,0),"")</f>
        <v>Prorrogação do contrato nº 36/2020 (11830837) -  prestação de serviços  especializado de lavagem, higienização e desinfecção do poço tubular, cisternas e reservatórios de água fria do Edifício-Sede desta Seção Judiciária do Pará e prédios anexos.</v>
      </c>
      <c r="C50" s="90" t="s">
        <v>1187</v>
      </c>
      <c r="D50" s="107">
        <f>IFERROR(VLOOKUP(A50,PAC!$A$2:$V$5011,16,0),"")</f>
        <v>45292</v>
      </c>
      <c r="E50" s="99" t="str">
        <f>VLOOKUP(A50,PAC!$A$2:$V$5011,17,0)</f>
        <v>30 DIAS</v>
      </c>
      <c r="F50" s="108">
        <f>IFERROR(VLOOKUP(A50,PAC!$A$2:$V$5011,14,0),"")</f>
        <v>19020</v>
      </c>
      <c r="G50" s="108" t="str">
        <f>IFERROR(VLOOKUP(A50,PAC!$A$2:$V$5011,19,0),"")</f>
        <v>PRORROGAÇÃO</v>
      </c>
      <c r="H50" s="109" t="s">
        <v>22</v>
      </c>
      <c r="I50" s="101" t="s">
        <v>22</v>
      </c>
      <c r="J50" s="110">
        <f>SUMIF(PAC!$A$2:$A$5011,A50,PAC!$W$2:$W$5011)</f>
        <v>1</v>
      </c>
      <c r="K50" s="110" t="str">
        <f t="shared" si="23"/>
        <v>0</v>
      </c>
      <c r="L50" s="110" t="str">
        <f t="shared" si="24"/>
        <v>0</v>
      </c>
      <c r="M50" s="95" t="str">
        <f t="shared" si="2"/>
        <v>0</v>
      </c>
      <c r="N50" s="95" t="str">
        <f t="shared" si="25"/>
        <v>0</v>
      </c>
      <c r="O50" s="95" t="str">
        <f t="shared" si="20"/>
        <v>0</v>
      </c>
      <c r="P50" s="95" t="str">
        <f t="shared" si="26"/>
        <v>0</v>
      </c>
      <c r="Q50" s="95" t="str">
        <f t="shared" si="27"/>
        <v>0</v>
      </c>
      <c r="R50" s="95" t="str">
        <f t="shared" si="28"/>
        <v>0</v>
      </c>
      <c r="S50" s="95">
        <f t="shared" si="21"/>
        <v>60</v>
      </c>
      <c r="T50" s="95" t="str">
        <f t="shared" si="29"/>
        <v>0</v>
      </c>
      <c r="U50" s="95">
        <f t="shared" si="22"/>
        <v>18</v>
      </c>
      <c r="V50" s="95">
        <f t="shared" si="30"/>
        <v>78</v>
      </c>
      <c r="W50" s="103" t="str">
        <f t="shared" si="12"/>
        <v>---</v>
      </c>
      <c r="X50" s="103" t="str">
        <f t="shared" si="13"/>
        <v>---</v>
      </c>
      <c r="Y50" s="103" t="str">
        <f t="shared" si="14"/>
        <v>---</v>
      </c>
      <c r="Z50" s="103" t="str">
        <f t="shared" si="15"/>
        <v>---</v>
      </c>
      <c r="AA50" s="103" t="str">
        <f t="shared" si="16"/>
        <v>---</v>
      </c>
      <c r="AB50" s="103">
        <f t="shared" si="17"/>
        <v>45214</v>
      </c>
      <c r="AC50" s="103">
        <f t="shared" si="18"/>
        <v>45274</v>
      </c>
      <c r="AD50" s="106"/>
      <c r="AE50" s="67"/>
    </row>
    <row r="51" spans="1:31" s="75" customFormat="1" ht="108">
      <c r="A51" s="90" t="s">
        <v>207</v>
      </c>
      <c r="B51" s="89" t="str">
        <f>IFERROR(VLOOKUP(A51,PAC!$A$2:$V$5011,2,0),"")</f>
        <v>Prorrogação do contrato nº 32/2020 (11615532) -  serviços de desinsetização, desratização e descupinização nas dependências do edifício-sede, do prédio anexo denominado "Casa Rosada" e do arquivo judicial, todos pertencentes à Seção Judiciária do Pará, em estrita conformidade com o Termo de Referência nº 11216898.</v>
      </c>
      <c r="C51" s="90" t="s">
        <v>1187</v>
      </c>
      <c r="D51" s="98">
        <f>IFERROR(VLOOKUP(A51,PAC!$A$2:$V$5011,16,0),"")</f>
        <v>45292</v>
      </c>
      <c r="E51" s="99" t="str">
        <f>VLOOKUP(A51,PAC!$A$2:$V$5011,17,0)</f>
        <v>30 DIAS</v>
      </c>
      <c r="F51" s="100">
        <f>IFERROR(VLOOKUP(A51,PAC!$A$2:$V$5011,14,0),"")</f>
        <v>12000</v>
      </c>
      <c r="G51" s="100" t="str">
        <f>IFERROR(VLOOKUP(A51,PAC!$A$2:$V$5011,19,0),"")</f>
        <v>PRORROGAÇÃO</v>
      </c>
      <c r="H51" s="111" t="s">
        <v>1180</v>
      </c>
      <c r="I51" s="101" t="s">
        <v>22</v>
      </c>
      <c r="J51" s="110">
        <f>SUMIF(PAC!$A$2:$A$5011,A51,PAC!$W$2:$W$5011)</f>
        <v>1</v>
      </c>
      <c r="K51" s="110" t="str">
        <f t="shared" si="23"/>
        <v>0</v>
      </c>
      <c r="L51" s="110" t="str">
        <f t="shared" si="24"/>
        <v>0</v>
      </c>
      <c r="M51" s="102" t="str">
        <f t="shared" si="2"/>
        <v>0</v>
      </c>
      <c r="N51" s="102" t="str">
        <f t="shared" si="25"/>
        <v>0</v>
      </c>
      <c r="O51" s="102" t="str">
        <f t="shared" si="20"/>
        <v>0</v>
      </c>
      <c r="P51" s="102" t="str">
        <f t="shared" si="26"/>
        <v>0</v>
      </c>
      <c r="Q51" s="102" t="str">
        <f t="shared" si="27"/>
        <v>0</v>
      </c>
      <c r="R51" s="102" t="str">
        <f t="shared" si="28"/>
        <v>0</v>
      </c>
      <c r="S51" s="102">
        <f t="shared" si="21"/>
        <v>60</v>
      </c>
      <c r="T51" s="102" t="str">
        <f t="shared" si="29"/>
        <v>0</v>
      </c>
      <c r="U51" s="102">
        <f t="shared" si="22"/>
        <v>18</v>
      </c>
      <c r="V51" s="102">
        <f t="shared" si="30"/>
        <v>78</v>
      </c>
      <c r="W51" s="103" t="str">
        <f t="shared" si="12"/>
        <v>---</v>
      </c>
      <c r="X51" s="103" t="str">
        <f t="shared" si="13"/>
        <v>---</v>
      </c>
      <c r="Y51" s="103" t="str">
        <f t="shared" si="14"/>
        <v>---</v>
      </c>
      <c r="Z51" s="103" t="str">
        <f t="shared" si="15"/>
        <v>---</v>
      </c>
      <c r="AA51" s="103" t="str">
        <f t="shared" si="16"/>
        <v>---</v>
      </c>
      <c r="AB51" s="103">
        <f t="shared" si="17"/>
        <v>45214</v>
      </c>
      <c r="AC51" s="103">
        <f t="shared" si="18"/>
        <v>45274</v>
      </c>
      <c r="AD51" s="106"/>
    </row>
    <row r="52" spans="1:31" s="75" customFormat="1" ht="48">
      <c r="A52" s="90" t="s">
        <v>214</v>
      </c>
      <c r="B52" s="89" t="str">
        <f>IFERROR(VLOOKUP(A52,PAC!$A$2:$V$5011,2,0),"")</f>
        <v>Contratação de Empresas para fornecimento de água mineral e copos descartáveis para esta Seção Judiciária do Pará, durante o exercício de 2023.</v>
      </c>
      <c r="C52" s="90" t="s">
        <v>1187</v>
      </c>
      <c r="D52" s="98">
        <f>IFERROR(VLOOKUP(A52,PAC!$A$2:$V$5011,16,0),"")</f>
        <v>45292</v>
      </c>
      <c r="E52" s="99" t="str">
        <f>VLOOKUP(A52,PAC!$A$2:$V$5011,17,0)</f>
        <v>90 DIAS</v>
      </c>
      <c r="F52" s="100">
        <f>IFERROR(VLOOKUP(A52,PAC!$A$2:$V$5011,14,0),"")</f>
        <v>3087.36</v>
      </c>
      <c r="G52" s="100" t="s">
        <v>310</v>
      </c>
      <c r="H52" s="111" t="s">
        <v>1180</v>
      </c>
      <c r="I52" s="101" t="s">
        <v>22</v>
      </c>
      <c r="J52" s="110">
        <f>SUMIF(PAC!$A$2:$A$5011,A52,PAC!$W$2:$W$5011)</f>
        <v>1</v>
      </c>
      <c r="K52" s="110">
        <f t="shared" si="23"/>
        <v>15</v>
      </c>
      <c r="L52" s="110">
        <f t="shared" si="24"/>
        <v>10</v>
      </c>
      <c r="M52" s="102">
        <f t="shared" si="2"/>
        <v>40</v>
      </c>
      <c r="N52" s="102">
        <f t="shared" si="25"/>
        <v>25</v>
      </c>
      <c r="O52" s="102">
        <f t="shared" si="20"/>
        <v>25</v>
      </c>
      <c r="P52" s="102" t="str">
        <f t="shared" si="26"/>
        <v>0</v>
      </c>
      <c r="Q52" s="102" t="str">
        <f t="shared" si="27"/>
        <v>0</v>
      </c>
      <c r="R52" s="102" t="str">
        <f t="shared" si="28"/>
        <v>0</v>
      </c>
      <c r="S52" s="102" t="str">
        <f t="shared" si="21"/>
        <v>0</v>
      </c>
      <c r="T52" s="102">
        <f t="shared" si="29"/>
        <v>5</v>
      </c>
      <c r="U52" s="102">
        <f t="shared" si="22"/>
        <v>18</v>
      </c>
      <c r="V52" s="102">
        <f t="shared" si="30"/>
        <v>138</v>
      </c>
      <c r="W52" s="103">
        <f t="shared" si="12"/>
        <v>45154</v>
      </c>
      <c r="X52" s="103">
        <f t="shared" si="13"/>
        <v>45179</v>
      </c>
      <c r="Y52" s="103">
        <f t="shared" si="14"/>
        <v>45219</v>
      </c>
      <c r="Z52" s="103">
        <f t="shared" si="15"/>
        <v>45244</v>
      </c>
      <c r="AA52" s="103">
        <f t="shared" si="16"/>
        <v>45269</v>
      </c>
      <c r="AB52" s="103" t="str">
        <f t="shared" si="17"/>
        <v>---</v>
      </c>
      <c r="AC52" s="103">
        <f t="shared" si="18"/>
        <v>45274</v>
      </c>
      <c r="AD52" s="106"/>
    </row>
    <row r="53" spans="1:31" s="75" customFormat="1" ht="48">
      <c r="A53" s="90" t="s">
        <v>220</v>
      </c>
      <c r="B53" s="89" t="str">
        <f>IFERROR(VLOOKUP(A53,PAC!$A$2:$V$5011,2,0),"")</f>
        <v>Contratação de Empresas para fornecimento de água mineral e copos descartáveis para esta Seção Judiciária do Pará, durante o exercício de 2023.</v>
      </c>
      <c r="C53" s="90" t="s">
        <v>1187</v>
      </c>
      <c r="D53" s="98">
        <f>IFERROR(VLOOKUP(A53,PAC!$A$2:$V$5011,16,0),"")</f>
        <v>45292</v>
      </c>
      <c r="E53" s="99" t="str">
        <f>VLOOKUP(A53,PAC!$A$2:$V$5011,17,0)</f>
        <v>90 DIAS</v>
      </c>
      <c r="F53" s="100">
        <f>IFERROR(VLOOKUP(A53,PAC!$A$2:$V$5011,14,0),"")</f>
        <v>24561.599999999999</v>
      </c>
      <c r="G53" s="100" t="s">
        <v>310</v>
      </c>
      <c r="H53" s="111" t="s">
        <v>1180</v>
      </c>
      <c r="I53" s="101" t="s">
        <v>22</v>
      </c>
      <c r="J53" s="110">
        <f>SUMIF(PAC!$A$2:$A$5011,A53,PAC!$W$2:$W$5011)</f>
        <v>1</v>
      </c>
      <c r="K53" s="110">
        <f t="shared" si="23"/>
        <v>15</v>
      </c>
      <c r="L53" s="110">
        <f t="shared" si="24"/>
        <v>10</v>
      </c>
      <c r="M53" s="102">
        <f t="shared" si="2"/>
        <v>40</v>
      </c>
      <c r="N53" s="102">
        <f t="shared" si="25"/>
        <v>25</v>
      </c>
      <c r="O53" s="102">
        <f t="shared" si="20"/>
        <v>25</v>
      </c>
      <c r="P53" s="102" t="str">
        <f t="shared" si="26"/>
        <v>0</v>
      </c>
      <c r="Q53" s="102" t="str">
        <f t="shared" si="27"/>
        <v>0</v>
      </c>
      <c r="R53" s="102" t="str">
        <f t="shared" si="28"/>
        <v>0</v>
      </c>
      <c r="S53" s="102" t="str">
        <f t="shared" si="21"/>
        <v>0</v>
      </c>
      <c r="T53" s="102">
        <f t="shared" si="29"/>
        <v>5</v>
      </c>
      <c r="U53" s="102">
        <f t="shared" si="22"/>
        <v>18</v>
      </c>
      <c r="V53" s="102">
        <f t="shared" si="30"/>
        <v>138</v>
      </c>
      <c r="W53" s="103">
        <f t="shared" si="12"/>
        <v>45154</v>
      </c>
      <c r="X53" s="103">
        <f t="shared" si="13"/>
        <v>45179</v>
      </c>
      <c r="Y53" s="103">
        <f t="shared" si="14"/>
        <v>45219</v>
      </c>
      <c r="Z53" s="103">
        <f t="shared" si="15"/>
        <v>45244</v>
      </c>
      <c r="AA53" s="103">
        <f t="shared" si="16"/>
        <v>45269</v>
      </c>
      <c r="AB53" s="103" t="str">
        <f t="shared" si="17"/>
        <v>---</v>
      </c>
      <c r="AC53" s="103">
        <f t="shared" si="18"/>
        <v>45274</v>
      </c>
      <c r="AD53" s="106"/>
    </row>
    <row r="54" spans="1:31" s="75" customFormat="1" ht="48">
      <c r="A54" s="90" t="s">
        <v>224</v>
      </c>
      <c r="B54" s="89" t="str">
        <f>IFERROR(VLOOKUP(A54,PAC!$A$2:$V$5011,2,0),"")</f>
        <v>Contratação de Empresas para fornecimento de água mineral e copos descartáveis para esta Seção Judiciária do Pará, durante o exercício de 2023.</v>
      </c>
      <c r="C54" s="90" t="s">
        <v>1187</v>
      </c>
      <c r="D54" s="98">
        <f>IFERROR(VLOOKUP(A54,PAC!$A$2:$V$5011,16,0),"")</f>
        <v>45292</v>
      </c>
      <c r="E54" s="99" t="str">
        <f>VLOOKUP(A54,PAC!$A$2:$V$5011,17,0)</f>
        <v>90 DIAS</v>
      </c>
      <c r="F54" s="100">
        <f>IFERROR(VLOOKUP(A54,PAC!$A$2:$V$5011,14,0),"")</f>
        <v>4299.8999999999996</v>
      </c>
      <c r="G54" s="100" t="s">
        <v>310</v>
      </c>
      <c r="H54" s="111" t="s">
        <v>1180</v>
      </c>
      <c r="I54" s="101" t="s">
        <v>22</v>
      </c>
      <c r="J54" s="110">
        <f>SUMIF(PAC!$A$2:$A$5011,A54,PAC!$W$2:$W$5011)</f>
        <v>1</v>
      </c>
      <c r="K54" s="110">
        <f t="shared" si="23"/>
        <v>15</v>
      </c>
      <c r="L54" s="110">
        <f t="shared" si="24"/>
        <v>10</v>
      </c>
      <c r="M54" s="102">
        <f t="shared" si="2"/>
        <v>40</v>
      </c>
      <c r="N54" s="102">
        <f t="shared" si="25"/>
        <v>25</v>
      </c>
      <c r="O54" s="102">
        <f t="shared" si="20"/>
        <v>25</v>
      </c>
      <c r="P54" s="102" t="str">
        <f t="shared" si="26"/>
        <v>0</v>
      </c>
      <c r="Q54" s="102" t="str">
        <f t="shared" si="27"/>
        <v>0</v>
      </c>
      <c r="R54" s="102" t="str">
        <f t="shared" si="28"/>
        <v>0</v>
      </c>
      <c r="S54" s="102" t="str">
        <f t="shared" si="21"/>
        <v>0</v>
      </c>
      <c r="T54" s="102">
        <f t="shared" si="29"/>
        <v>5</v>
      </c>
      <c r="U54" s="102">
        <f t="shared" si="22"/>
        <v>18</v>
      </c>
      <c r="V54" s="102">
        <f t="shared" si="30"/>
        <v>138</v>
      </c>
      <c r="W54" s="103">
        <f t="shared" si="12"/>
        <v>45154</v>
      </c>
      <c r="X54" s="103">
        <f t="shared" si="13"/>
        <v>45179</v>
      </c>
      <c r="Y54" s="103">
        <f t="shared" si="14"/>
        <v>45219</v>
      </c>
      <c r="Z54" s="103">
        <f t="shared" si="15"/>
        <v>45244</v>
      </c>
      <c r="AA54" s="103">
        <f t="shared" si="16"/>
        <v>45269</v>
      </c>
      <c r="AB54" s="103" t="str">
        <f t="shared" si="17"/>
        <v>---</v>
      </c>
      <c r="AC54" s="103">
        <f t="shared" si="18"/>
        <v>45274</v>
      </c>
      <c r="AD54" s="106"/>
    </row>
    <row r="55" spans="1:31" ht="48">
      <c r="A55" s="90" t="s">
        <v>227</v>
      </c>
      <c r="B55" s="89" t="str">
        <f>IFERROR(VLOOKUP(A55,PAC!$A$2:$V$5011,2,0),"")</f>
        <v>Contratação de Empresas para fornecimento de água mineral e copos descartáveis para esta Seção Judiciária do Pará, durante o exercício de 2023.</v>
      </c>
      <c r="C55" s="90" t="s">
        <v>1187</v>
      </c>
      <c r="D55" s="98">
        <f>IFERROR(VLOOKUP(A55,PAC!$A$2:$V$5011,16,0),"")</f>
        <v>45292</v>
      </c>
      <c r="E55" s="99" t="str">
        <f>VLOOKUP(A55,PAC!$A$2:$V$5011,17,0)</f>
        <v>90 DIAS</v>
      </c>
      <c r="F55" s="100">
        <f>IFERROR(VLOOKUP(A55,PAC!$A$2:$V$5011,14,0),"")</f>
        <v>2137.92</v>
      </c>
      <c r="G55" s="100" t="s">
        <v>310</v>
      </c>
      <c r="H55" s="111" t="s">
        <v>22</v>
      </c>
      <c r="I55" s="101" t="s">
        <v>22</v>
      </c>
      <c r="J55" s="110">
        <f>SUMIF(PAC!$A$2:$A$5011,A55,PAC!$W$2:$W$5011)</f>
        <v>1</v>
      </c>
      <c r="K55" s="110">
        <f t="shared" si="23"/>
        <v>15</v>
      </c>
      <c r="L55" s="110">
        <f t="shared" si="24"/>
        <v>10</v>
      </c>
      <c r="M55" s="102">
        <f t="shared" si="2"/>
        <v>20</v>
      </c>
      <c r="N55" s="102">
        <f t="shared" si="25"/>
        <v>15</v>
      </c>
      <c r="O55" s="102">
        <f t="shared" ref="O55:O86" si="31">IF(AND(G55="Licitação"),IF(AND(I55=""),"0",IF(AND(I55="N"),25,IF(AND(I55="S"),40))),"0")</f>
        <v>25</v>
      </c>
      <c r="P55" s="102" t="str">
        <f t="shared" si="26"/>
        <v>0</v>
      </c>
      <c r="Q55" s="102" t="str">
        <f t="shared" si="27"/>
        <v>0</v>
      </c>
      <c r="R55" s="102" t="str">
        <f t="shared" si="28"/>
        <v>0</v>
      </c>
      <c r="S55" s="102" t="str">
        <f t="shared" ref="S55:S86" si="32">IF(OR(G55="prorrogação",G55="renovação"),60,"0")</f>
        <v>0</v>
      </c>
      <c r="T55" s="102">
        <f t="shared" si="29"/>
        <v>3</v>
      </c>
      <c r="U55" s="102">
        <f t="shared" ref="U55:U86" si="33">IF(D55&gt;44549,18,"0")</f>
        <v>18</v>
      </c>
      <c r="V55" s="102">
        <f t="shared" si="30"/>
        <v>106</v>
      </c>
      <c r="W55" s="103">
        <f t="shared" si="12"/>
        <v>45186</v>
      </c>
      <c r="X55" s="103">
        <f t="shared" si="13"/>
        <v>45211</v>
      </c>
      <c r="Y55" s="103">
        <f t="shared" si="14"/>
        <v>45231</v>
      </c>
      <c r="Z55" s="103">
        <f t="shared" si="15"/>
        <v>45246</v>
      </c>
      <c r="AA55" s="103">
        <f t="shared" si="16"/>
        <v>45271</v>
      </c>
      <c r="AB55" s="103" t="str">
        <f t="shared" si="17"/>
        <v>---</v>
      </c>
      <c r="AC55" s="103">
        <f t="shared" si="18"/>
        <v>45274</v>
      </c>
    </row>
    <row r="56" spans="1:31" ht="24">
      <c r="A56" s="90" t="s">
        <v>231</v>
      </c>
      <c r="B56" s="89" t="str">
        <f>IFERROR(VLOOKUP(A56,PAC!$A$2:$V$5011,2,0),"")</f>
        <v>Abastecimento de água encanada - Prédio Sede, Casa Rosada e Arquivo Judicial.</v>
      </c>
      <c r="C56" s="90" t="s">
        <v>1187</v>
      </c>
      <c r="D56" s="98">
        <f>IFERROR(VLOOKUP(A56,PAC!$A$2:$V$5011,16,0),"")</f>
        <v>45292</v>
      </c>
      <c r="E56" s="99" t="str">
        <f>VLOOKUP(A56,PAC!$A$2:$V$5011,17,0)</f>
        <v>30 DIAS</v>
      </c>
      <c r="F56" s="100">
        <f>IFERROR(VLOOKUP(A56,PAC!$A$2:$V$5011,14,0),"")</f>
        <v>20542.560000000001</v>
      </c>
      <c r="G56" s="100" t="str">
        <f>IFERROR(VLOOKUP(A56,PAC!$A$2:$V$5011,19,0),"")</f>
        <v>INEXIGIBILIDADE</v>
      </c>
      <c r="H56" s="111" t="s">
        <v>22</v>
      </c>
      <c r="I56" s="101" t="s">
        <v>22</v>
      </c>
      <c r="J56" s="110">
        <f>SUMIF(PAC!$A$2:$A$5011,A56,PAC!$W$2:$W$5011)</f>
        <v>1</v>
      </c>
      <c r="K56" s="110">
        <f t="shared" si="23"/>
        <v>15</v>
      </c>
      <c r="L56" s="110">
        <f t="shared" si="24"/>
        <v>10</v>
      </c>
      <c r="M56" s="102" t="str">
        <f t="shared" si="2"/>
        <v>0</v>
      </c>
      <c r="N56" s="102" t="str">
        <f t="shared" si="25"/>
        <v>0</v>
      </c>
      <c r="O56" s="102" t="str">
        <f t="shared" si="31"/>
        <v>0</v>
      </c>
      <c r="P56" s="102">
        <f t="shared" si="26"/>
        <v>35</v>
      </c>
      <c r="Q56" s="102">
        <f t="shared" si="27"/>
        <v>3</v>
      </c>
      <c r="R56" s="102">
        <f t="shared" si="28"/>
        <v>3</v>
      </c>
      <c r="S56" s="102" t="str">
        <f t="shared" si="32"/>
        <v>0</v>
      </c>
      <c r="T56" s="102">
        <f t="shared" si="29"/>
        <v>3</v>
      </c>
      <c r="U56" s="102">
        <f t="shared" si="33"/>
        <v>18</v>
      </c>
      <c r="V56" s="102">
        <f t="shared" si="30"/>
        <v>87</v>
      </c>
      <c r="W56" s="103">
        <f t="shared" si="12"/>
        <v>45205</v>
      </c>
      <c r="X56" s="103">
        <f t="shared" si="13"/>
        <v>45230</v>
      </c>
      <c r="Y56" s="103">
        <f t="shared" si="14"/>
        <v>45265</v>
      </c>
      <c r="Z56" s="103">
        <f t="shared" si="15"/>
        <v>45268</v>
      </c>
      <c r="AA56" s="103">
        <f t="shared" si="16"/>
        <v>45271</v>
      </c>
      <c r="AB56" s="103" t="str">
        <f t="shared" si="17"/>
        <v>---</v>
      </c>
      <c r="AC56" s="103">
        <f t="shared" si="18"/>
        <v>45274</v>
      </c>
    </row>
    <row r="57" spans="1:31" ht="36">
      <c r="A57" s="90" t="s">
        <v>236</v>
      </c>
      <c r="B57" s="89" t="str">
        <f>IFERROR(VLOOKUP(A57,PAC!$A$2:$V$5011,2,0),"")</f>
        <v>Fornecimento de energia elétrica para a Sede da Seção Judiciária. (processo 0005336-50.2017.4.01.8010)</v>
      </c>
      <c r="C57" s="90" t="s">
        <v>1187</v>
      </c>
      <c r="D57" s="98">
        <f>IFERROR(VLOOKUP(A57,PAC!$A$2:$V$5011,16,0),"")</f>
        <v>45292</v>
      </c>
      <c r="E57" s="99" t="str">
        <f>VLOOKUP(A57,PAC!$A$2:$V$5011,17,0)</f>
        <v>30 DIAS</v>
      </c>
      <c r="F57" s="100">
        <f>IFERROR(VLOOKUP(A57,PAC!$A$2:$V$5011,14,0),"")</f>
        <v>933000</v>
      </c>
      <c r="G57" s="100" t="str">
        <f>IFERROR(VLOOKUP(A57,PAC!$A$2:$V$5011,19,0),"")</f>
        <v>INEXIGIBILIDADE</v>
      </c>
      <c r="H57" s="111" t="s">
        <v>1180</v>
      </c>
      <c r="I57" s="101" t="s">
        <v>22</v>
      </c>
      <c r="J57" s="110">
        <f>SUMIF(PAC!$A$2:$A$5011,A57,PAC!$W$2:$W$5011)</f>
        <v>1</v>
      </c>
      <c r="K57" s="110">
        <f t="shared" si="23"/>
        <v>15</v>
      </c>
      <c r="L57" s="110">
        <f t="shared" si="24"/>
        <v>10</v>
      </c>
      <c r="M57" s="102" t="str">
        <f t="shared" si="2"/>
        <v>0</v>
      </c>
      <c r="N57" s="102" t="str">
        <f t="shared" si="25"/>
        <v>0</v>
      </c>
      <c r="O57" s="102" t="str">
        <f t="shared" si="31"/>
        <v>0</v>
      </c>
      <c r="P57" s="102">
        <f t="shared" si="26"/>
        <v>35</v>
      </c>
      <c r="Q57" s="102">
        <f t="shared" si="27"/>
        <v>3</v>
      </c>
      <c r="R57" s="102">
        <f t="shared" si="28"/>
        <v>3</v>
      </c>
      <c r="S57" s="102" t="str">
        <f t="shared" si="32"/>
        <v>0</v>
      </c>
      <c r="T57" s="102">
        <f t="shared" si="29"/>
        <v>5</v>
      </c>
      <c r="U57" s="102">
        <f t="shared" si="33"/>
        <v>18</v>
      </c>
      <c r="V57" s="102">
        <f t="shared" si="30"/>
        <v>89</v>
      </c>
      <c r="W57" s="103">
        <f t="shared" si="12"/>
        <v>45203</v>
      </c>
      <c r="X57" s="103">
        <f t="shared" si="13"/>
        <v>45228</v>
      </c>
      <c r="Y57" s="103">
        <f t="shared" si="14"/>
        <v>45263</v>
      </c>
      <c r="Z57" s="103">
        <f t="shared" si="15"/>
        <v>45266</v>
      </c>
      <c r="AA57" s="103">
        <f t="shared" si="16"/>
        <v>45269</v>
      </c>
      <c r="AB57" s="103" t="str">
        <f t="shared" si="17"/>
        <v>---</v>
      </c>
      <c r="AC57" s="103">
        <f t="shared" si="18"/>
        <v>45274</v>
      </c>
    </row>
    <row r="58" spans="1:31" ht="48">
      <c r="A58" s="90" t="s">
        <v>242</v>
      </c>
      <c r="B58" s="89" t="str">
        <f>IFERROR(VLOOKUP(A58,PAC!$A$2:$V$5011,2,0),"")</f>
        <v>Prestação de serviços de lavanderia para a Sede da Justiça Federal de 1º Grau – Seção Judiciária do Pará. (processo 0007941-90.2022.4.01.8010)</v>
      </c>
      <c r="C58" s="90" t="s">
        <v>1187</v>
      </c>
      <c r="D58" s="98">
        <f>IFERROR(VLOOKUP(A58,PAC!$A$2:$V$5011,16,0),"")</f>
        <v>45292</v>
      </c>
      <c r="E58" s="99" t="str">
        <f>VLOOKUP(A58,PAC!$A$2:$V$5011,17,0)</f>
        <v>90 DIAS</v>
      </c>
      <c r="F58" s="100">
        <f>IFERROR(VLOOKUP(A58,PAC!$A$2:$V$5011,14,0),"")</f>
        <v>4000</v>
      </c>
      <c r="G58" s="100" t="s">
        <v>310</v>
      </c>
      <c r="H58" s="111" t="s">
        <v>1180</v>
      </c>
      <c r="I58" s="101" t="s">
        <v>22</v>
      </c>
      <c r="J58" s="110">
        <f>SUMIF(PAC!$A$2:$A$5011,A58,PAC!$W$2:$W$5011)</f>
        <v>1</v>
      </c>
      <c r="K58" s="110">
        <f t="shared" si="23"/>
        <v>15</v>
      </c>
      <c r="L58" s="110">
        <f t="shared" si="24"/>
        <v>10</v>
      </c>
      <c r="M58" s="102">
        <f t="shared" si="2"/>
        <v>40</v>
      </c>
      <c r="N58" s="102">
        <f t="shared" si="25"/>
        <v>25</v>
      </c>
      <c r="O58" s="102">
        <f t="shared" si="31"/>
        <v>25</v>
      </c>
      <c r="P58" s="102" t="str">
        <f t="shared" si="26"/>
        <v>0</v>
      </c>
      <c r="Q58" s="102" t="str">
        <f t="shared" si="27"/>
        <v>0</v>
      </c>
      <c r="R58" s="102" t="str">
        <f t="shared" si="28"/>
        <v>0</v>
      </c>
      <c r="S58" s="102" t="str">
        <f t="shared" si="32"/>
        <v>0</v>
      </c>
      <c r="T58" s="102">
        <f t="shared" si="29"/>
        <v>5</v>
      </c>
      <c r="U58" s="102">
        <f t="shared" si="33"/>
        <v>18</v>
      </c>
      <c r="V58" s="102">
        <f t="shared" si="30"/>
        <v>138</v>
      </c>
      <c r="W58" s="103">
        <f t="shared" si="12"/>
        <v>45154</v>
      </c>
      <c r="X58" s="103">
        <f t="shared" si="13"/>
        <v>45179</v>
      </c>
      <c r="Y58" s="103">
        <f t="shared" si="14"/>
        <v>45219</v>
      </c>
      <c r="Z58" s="103">
        <f t="shared" si="15"/>
        <v>45244</v>
      </c>
      <c r="AA58" s="103">
        <f t="shared" si="16"/>
        <v>45269</v>
      </c>
      <c r="AB58" s="103" t="str">
        <f t="shared" si="17"/>
        <v>---</v>
      </c>
      <c r="AC58" s="103">
        <f t="shared" si="18"/>
        <v>45274</v>
      </c>
    </row>
    <row r="59" spans="1:31" ht="108">
      <c r="A59" s="90" t="s">
        <v>249</v>
      </c>
      <c r="B59" s="89" t="str">
        <f>IFERROR(VLOOKUP(A59,PAC!$A$2:$V$5011,2,0),"")</f>
        <v>Aquisição de materiais complementares para a execução de serviços de manutenções predial diversas, incluindo alvenaria, hidráulica, elétrica, pintura, impermeabilização nos prédios da Seção Judiciária do Pará instalados na capital, Belém/PA, exceto materiais para a manutenção de sistemas de refrigeração e incêndio.</v>
      </c>
      <c r="C59" s="90" t="s">
        <v>1187</v>
      </c>
      <c r="D59" s="98">
        <f>IFERROR(VLOOKUP(A59,PAC!$A$2:$V$5011,16,0),"")</f>
        <v>45565</v>
      </c>
      <c r="E59" s="99" t="str">
        <f>VLOOKUP(A59,PAC!$A$2:$V$5011,17,0)</f>
        <v>90 DIAS</v>
      </c>
      <c r="F59" s="100">
        <f>IFERROR(VLOOKUP(A59,PAC!$A$2:$V$5011,14,0),"")</f>
        <v>150000</v>
      </c>
      <c r="G59" s="100" t="s">
        <v>310</v>
      </c>
      <c r="H59" s="111" t="s">
        <v>1180</v>
      </c>
      <c r="I59" s="101" t="s">
        <v>22</v>
      </c>
      <c r="J59" s="110">
        <f>SUMIF(PAC!$A$2:$A$5011,A59,PAC!$W$2:$W$5011)</f>
        <v>1</v>
      </c>
      <c r="K59" s="110">
        <f t="shared" si="23"/>
        <v>15</v>
      </c>
      <c r="L59" s="110">
        <f t="shared" si="24"/>
        <v>10</v>
      </c>
      <c r="M59" s="102">
        <f t="shared" si="2"/>
        <v>40</v>
      </c>
      <c r="N59" s="102">
        <f t="shared" si="25"/>
        <v>25</v>
      </c>
      <c r="O59" s="102">
        <f t="shared" si="31"/>
        <v>25</v>
      </c>
      <c r="P59" s="102" t="str">
        <f t="shared" si="26"/>
        <v>0</v>
      </c>
      <c r="Q59" s="102" t="str">
        <f t="shared" si="27"/>
        <v>0</v>
      </c>
      <c r="R59" s="102" t="str">
        <f t="shared" si="28"/>
        <v>0</v>
      </c>
      <c r="S59" s="102" t="str">
        <f t="shared" si="32"/>
        <v>0</v>
      </c>
      <c r="T59" s="102">
        <f t="shared" si="29"/>
        <v>5</v>
      </c>
      <c r="U59" s="102">
        <f t="shared" si="33"/>
        <v>18</v>
      </c>
      <c r="V59" s="102">
        <f t="shared" si="30"/>
        <v>138</v>
      </c>
      <c r="W59" s="103">
        <f t="shared" si="12"/>
        <v>45427</v>
      </c>
      <c r="X59" s="103">
        <f t="shared" si="13"/>
        <v>45452</v>
      </c>
      <c r="Y59" s="103">
        <f t="shared" si="14"/>
        <v>45492</v>
      </c>
      <c r="Z59" s="103">
        <f t="shared" si="15"/>
        <v>45517</v>
      </c>
      <c r="AA59" s="103">
        <f t="shared" si="16"/>
        <v>45542</v>
      </c>
      <c r="AB59" s="103" t="str">
        <f t="shared" si="17"/>
        <v>---</v>
      </c>
      <c r="AC59" s="103">
        <f t="shared" si="18"/>
        <v>45547</v>
      </c>
    </row>
    <row r="60" spans="1:31" ht="60">
      <c r="A60" s="90" t="s">
        <v>257</v>
      </c>
      <c r="B60" s="89" t="str">
        <f>IFERROR(VLOOKUP(A60,PAC!$A$2:$V$5011,2,0),"")</f>
        <v>Aquisição de materiais complementares para a execução de serviços de manutenções dos equipamentos de refrigeração do tipo split e vrf instalados na Sede da Seção Judiciária.</v>
      </c>
      <c r="C60" s="90" t="s">
        <v>1187</v>
      </c>
      <c r="D60" s="98">
        <f>IFERROR(VLOOKUP(A60,PAC!$A$2:$V$5011,16,0),"")</f>
        <v>45565</v>
      </c>
      <c r="E60" s="99" t="str">
        <f>VLOOKUP(A60,PAC!$A$2:$V$5011,17,0)</f>
        <v>90 DIAS</v>
      </c>
      <c r="F60" s="100">
        <f>IFERROR(VLOOKUP(A60,PAC!$A$2:$V$5011,14,0),"")</f>
        <v>80000</v>
      </c>
      <c r="G60" s="100" t="s">
        <v>310</v>
      </c>
      <c r="H60" s="111" t="s">
        <v>1180</v>
      </c>
      <c r="I60" s="101" t="s">
        <v>22</v>
      </c>
      <c r="J60" s="110">
        <f>SUMIF(PAC!$A$2:$A$5011,A60,PAC!$W$2:$W$5011)</f>
        <v>1</v>
      </c>
      <c r="K60" s="110">
        <f t="shared" si="23"/>
        <v>15</v>
      </c>
      <c r="L60" s="110">
        <f t="shared" si="24"/>
        <v>10</v>
      </c>
      <c r="M60" s="102">
        <f t="shared" si="2"/>
        <v>40</v>
      </c>
      <c r="N60" s="102">
        <f t="shared" si="25"/>
        <v>25</v>
      </c>
      <c r="O60" s="102">
        <f t="shared" si="31"/>
        <v>25</v>
      </c>
      <c r="P60" s="102" t="str">
        <f t="shared" si="26"/>
        <v>0</v>
      </c>
      <c r="Q60" s="102" t="str">
        <f t="shared" si="27"/>
        <v>0</v>
      </c>
      <c r="R60" s="102" t="str">
        <f t="shared" si="28"/>
        <v>0</v>
      </c>
      <c r="S60" s="102" t="str">
        <f t="shared" si="32"/>
        <v>0</v>
      </c>
      <c r="T60" s="102">
        <f t="shared" si="29"/>
        <v>5</v>
      </c>
      <c r="U60" s="102">
        <f t="shared" si="33"/>
        <v>18</v>
      </c>
      <c r="V60" s="102">
        <f t="shared" si="30"/>
        <v>138</v>
      </c>
      <c r="W60" s="103">
        <f t="shared" si="12"/>
        <v>45427</v>
      </c>
      <c r="X60" s="103">
        <f t="shared" si="13"/>
        <v>45452</v>
      </c>
      <c r="Y60" s="103">
        <f t="shared" si="14"/>
        <v>45492</v>
      </c>
      <c r="Z60" s="103">
        <f t="shared" si="15"/>
        <v>45517</v>
      </c>
      <c r="AA60" s="103">
        <f t="shared" si="16"/>
        <v>45542</v>
      </c>
      <c r="AB60" s="103" t="str">
        <f t="shared" si="17"/>
        <v>---</v>
      </c>
      <c r="AC60" s="103">
        <f t="shared" si="18"/>
        <v>45547</v>
      </c>
    </row>
    <row r="61" spans="1:31" ht="108">
      <c r="A61" s="90" t="s">
        <v>262</v>
      </c>
      <c r="B61" s="89" t="str">
        <f>IFERROR(VLOOKUP(A61,PAC!$A$2:$V$5011,2,0),"")</f>
        <v>Prorrogação do contrato nº 21/2019 (8557679) - prestação de serviços de Apoio Administrativo (Encarregado Geral, Auxiliar de Escritório, Recepcionista, Almoxarife, Assistente de Almoxarife, Copeiro e Ascensorista), conforme Anexo A do Edital de licitação Pregão nº 10/2019, na sede da Seção Judiciária do Pará e nas demais Subseções Judiciárias.</v>
      </c>
      <c r="C61" s="90" t="s">
        <v>1187</v>
      </c>
      <c r="D61" s="98">
        <f>IFERROR(VLOOKUP(A61,PAC!$A$2:$V$5011,16,0),"")</f>
        <v>45292</v>
      </c>
      <c r="E61" s="99" t="str">
        <f>VLOOKUP(A61,PAC!$A$2:$V$5011,17,0)</f>
        <v>30 DIAS</v>
      </c>
      <c r="F61" s="100">
        <f>IFERROR(VLOOKUP(A61,PAC!$A$2:$V$5011,14,0),"")</f>
        <v>2634674.7200000002</v>
      </c>
      <c r="G61" s="100" t="str">
        <f>IFERROR(VLOOKUP(A61,PAC!$A$2:$V$5011,19,0),"")</f>
        <v>PRORROGAÇÃO</v>
      </c>
      <c r="H61" s="111" t="s">
        <v>22</v>
      </c>
      <c r="I61" s="111" t="s">
        <v>1188</v>
      </c>
      <c r="J61" s="110">
        <f>SUMIF(PAC!$A$2:$A$5011,A61,PAC!$W$2:$W$5011)</f>
        <v>1</v>
      </c>
      <c r="K61" s="110" t="str">
        <f t="shared" si="23"/>
        <v>0</v>
      </c>
      <c r="L61" s="110" t="str">
        <f t="shared" si="24"/>
        <v>0</v>
      </c>
      <c r="M61" s="102" t="str">
        <f t="shared" si="2"/>
        <v>0</v>
      </c>
      <c r="N61" s="102" t="str">
        <f t="shared" si="25"/>
        <v>0</v>
      </c>
      <c r="O61" s="102" t="str">
        <f t="shared" si="31"/>
        <v>0</v>
      </c>
      <c r="P61" s="102" t="str">
        <f t="shared" si="26"/>
        <v>0</v>
      </c>
      <c r="Q61" s="102" t="str">
        <f t="shared" si="27"/>
        <v>0</v>
      </c>
      <c r="R61" s="102" t="str">
        <f t="shared" si="28"/>
        <v>0</v>
      </c>
      <c r="S61" s="102">
        <f t="shared" si="32"/>
        <v>60</v>
      </c>
      <c r="T61" s="102" t="str">
        <f t="shared" si="29"/>
        <v>0</v>
      </c>
      <c r="U61" s="102">
        <f t="shared" si="33"/>
        <v>18</v>
      </c>
      <c r="V61" s="102">
        <f t="shared" si="30"/>
        <v>78</v>
      </c>
      <c r="W61" s="103" t="str">
        <f t="shared" si="12"/>
        <v>---</v>
      </c>
      <c r="X61" s="103" t="str">
        <f t="shared" si="13"/>
        <v>---</v>
      </c>
      <c r="Y61" s="103" t="str">
        <f t="shared" si="14"/>
        <v>---</v>
      </c>
      <c r="Z61" s="103" t="str">
        <f t="shared" si="15"/>
        <v>---</v>
      </c>
      <c r="AA61" s="103" t="str">
        <f t="shared" si="16"/>
        <v>---</v>
      </c>
      <c r="AB61" s="103">
        <f t="shared" si="17"/>
        <v>45214</v>
      </c>
      <c r="AC61" s="103">
        <f t="shared" si="18"/>
        <v>45274</v>
      </c>
    </row>
    <row r="62" spans="1:31" ht="204">
      <c r="A62" s="90" t="s">
        <v>268</v>
      </c>
      <c r="B62" s="89" t="str">
        <f>IFERROR(VLOOKUP(A62,PAC!$A$2:$V$5011,2,0),"")</f>
        <v>Contratação de empresa para a prestação de serviços de OUTSOURCING DE IMPRESSÃO - LOCAÇÃO DE EQUIPAMENTOS MULTIFUNCIONAIS a fim de suprir as necessidades desta Seção Judiciária do Pará. O serviço inclui o fornecimento de máquinas multifuncionais para execução de: impressão, cópias, digitalização, bem como, acessórios, suprimentos, insumos/consumíveis (toner, cilindro) e assistência técnica no município atendido e serviços correlatos, inclusive fornecimento de peças, componentes (toner, cilindro, revelador etc.), e quaisquer outros elementos necessários à prestação dos serviços ora pretendido, exceto papel.</v>
      </c>
      <c r="C62" s="90" t="s">
        <v>1187</v>
      </c>
      <c r="D62" s="98">
        <f>IFERROR(VLOOKUP(A62,PAC!$A$2:$V$5011,16,0),"")</f>
        <v>45593</v>
      </c>
      <c r="E62" s="99" t="str">
        <f>VLOOKUP(A62,PAC!$A$2:$V$5011,17,0)</f>
        <v>90 DIAS</v>
      </c>
      <c r="F62" s="100">
        <f>IFERROR(VLOOKUP(A62,PAC!$A$2:$V$5011,14,0),"")</f>
        <v>27000</v>
      </c>
      <c r="G62" s="100" t="s">
        <v>310</v>
      </c>
      <c r="H62" s="111" t="s">
        <v>22</v>
      </c>
      <c r="I62" s="111" t="s">
        <v>1188</v>
      </c>
      <c r="J62" s="110">
        <f>SUMIF(PAC!$A$2:$A$5011,A62,PAC!$W$2:$W$5011)</f>
        <v>1</v>
      </c>
      <c r="K62" s="110">
        <f t="shared" si="23"/>
        <v>15</v>
      </c>
      <c r="L62" s="110">
        <f t="shared" si="24"/>
        <v>10</v>
      </c>
      <c r="M62" s="102">
        <f t="shared" si="2"/>
        <v>20</v>
      </c>
      <c r="N62" s="102">
        <f t="shared" si="25"/>
        <v>15</v>
      </c>
      <c r="O62" s="102">
        <f t="shared" si="31"/>
        <v>40</v>
      </c>
      <c r="P62" s="102" t="str">
        <f t="shared" si="26"/>
        <v>0</v>
      </c>
      <c r="Q62" s="102" t="str">
        <f t="shared" si="27"/>
        <v>0</v>
      </c>
      <c r="R62" s="102" t="str">
        <f t="shared" si="28"/>
        <v>0</v>
      </c>
      <c r="S62" s="102" t="str">
        <f t="shared" si="32"/>
        <v>0</v>
      </c>
      <c r="T62" s="102">
        <f t="shared" si="29"/>
        <v>3</v>
      </c>
      <c r="U62" s="102">
        <f t="shared" si="33"/>
        <v>18</v>
      </c>
      <c r="V62" s="102">
        <f t="shared" si="30"/>
        <v>121</v>
      </c>
      <c r="W62" s="103">
        <f t="shared" si="12"/>
        <v>45472</v>
      </c>
      <c r="X62" s="103">
        <f t="shared" si="13"/>
        <v>45497</v>
      </c>
      <c r="Y62" s="103">
        <f t="shared" si="14"/>
        <v>45517</v>
      </c>
      <c r="Z62" s="103">
        <f t="shared" si="15"/>
        <v>45532</v>
      </c>
      <c r="AA62" s="103">
        <f t="shared" si="16"/>
        <v>45572</v>
      </c>
      <c r="AB62" s="103" t="str">
        <f t="shared" si="17"/>
        <v>---</v>
      </c>
      <c r="AC62" s="103">
        <f t="shared" si="18"/>
        <v>45575</v>
      </c>
    </row>
    <row r="63" spans="1:31" ht="108">
      <c r="A63" s="90" t="s">
        <v>274</v>
      </c>
      <c r="B63" s="89" t="str">
        <f>IFERROR(VLOOKUP(A63,PAC!$A$2:$V$5011,2,0),"")</f>
        <v>Contratação de empresa para o abastecimento mensal do sistema de bombeamento Cloro Residual Livre (CRL) na rede de distribuição de água, em atendimento a Portaria de Consolidação n° 5, MS, haja vista que os relatórios de análise de qualidade da água utilizada neste Prédio Sede apontam para essa necessidade.</v>
      </c>
      <c r="C63" s="90" t="s">
        <v>1187</v>
      </c>
      <c r="D63" s="98">
        <f>IFERROR(VLOOKUP(A63,PAC!$A$2:$V$5011,16,0),"")</f>
        <v>45292</v>
      </c>
      <c r="E63" s="99" t="str">
        <f>VLOOKUP(A63,PAC!$A$2:$V$5011,17,0)</f>
        <v>90 DIAS</v>
      </c>
      <c r="F63" s="100">
        <f>IFERROR(VLOOKUP(A63,PAC!$A$2:$V$5011,14,0),"")</f>
        <v>12000</v>
      </c>
      <c r="G63" s="100" t="s">
        <v>310</v>
      </c>
      <c r="H63" s="111" t="s">
        <v>1180</v>
      </c>
      <c r="I63" s="111" t="s">
        <v>22</v>
      </c>
      <c r="J63" s="110">
        <f>SUMIF(PAC!$A$2:$A$5011,A63,PAC!$W$2:$W$5011)</f>
        <v>1</v>
      </c>
      <c r="K63" s="110">
        <f t="shared" si="23"/>
        <v>15</v>
      </c>
      <c r="L63" s="110">
        <f t="shared" si="24"/>
        <v>10</v>
      </c>
      <c r="M63" s="102">
        <f t="shared" si="2"/>
        <v>40</v>
      </c>
      <c r="N63" s="102">
        <f t="shared" si="25"/>
        <v>25</v>
      </c>
      <c r="O63" s="102">
        <f t="shared" si="31"/>
        <v>25</v>
      </c>
      <c r="P63" s="102" t="str">
        <f t="shared" si="26"/>
        <v>0</v>
      </c>
      <c r="Q63" s="102" t="str">
        <f t="shared" si="27"/>
        <v>0</v>
      </c>
      <c r="R63" s="102" t="str">
        <f t="shared" si="28"/>
        <v>0</v>
      </c>
      <c r="S63" s="102" t="str">
        <f t="shared" si="32"/>
        <v>0</v>
      </c>
      <c r="T63" s="102">
        <f t="shared" si="29"/>
        <v>5</v>
      </c>
      <c r="U63" s="102">
        <f t="shared" si="33"/>
        <v>18</v>
      </c>
      <c r="V63" s="102">
        <f t="shared" si="30"/>
        <v>138</v>
      </c>
      <c r="W63" s="103">
        <f t="shared" si="12"/>
        <v>45154</v>
      </c>
      <c r="X63" s="103">
        <f t="shared" si="13"/>
        <v>45179</v>
      </c>
      <c r="Y63" s="103">
        <f t="shared" si="14"/>
        <v>45219</v>
      </c>
      <c r="Z63" s="103">
        <f t="shared" si="15"/>
        <v>45244</v>
      </c>
      <c r="AA63" s="103">
        <f t="shared" si="16"/>
        <v>45269</v>
      </c>
      <c r="AB63" s="103" t="str">
        <f t="shared" si="17"/>
        <v>---</v>
      </c>
      <c r="AC63" s="103">
        <f t="shared" si="18"/>
        <v>45274</v>
      </c>
    </row>
    <row r="64" spans="1:31" ht="36">
      <c r="A64" s="90" t="s">
        <v>280</v>
      </c>
      <c r="B64" s="89" t="str">
        <f>IFERROR(VLOOKUP(A64,PAC!$A$2:$V$5011,2,0),"")</f>
        <v>Contratação de empresa especializada na instalação, manutenção de placas de identificação.</v>
      </c>
      <c r="C64" s="90" t="s">
        <v>1187</v>
      </c>
      <c r="D64" s="98">
        <f>IFERROR(VLOOKUP(A64,PAC!$A$2:$V$5011,16,0),"")</f>
        <v>45444</v>
      </c>
      <c r="E64" s="99" t="str">
        <f>VLOOKUP(A64,PAC!$A$2:$V$5011,17,0)</f>
        <v>30 DIAS</v>
      </c>
      <c r="F64" s="100">
        <f>IFERROR(VLOOKUP(A64,PAC!$A$2:$V$5011,14,0),"")</f>
        <v>30000</v>
      </c>
      <c r="G64" s="100" t="str">
        <f>IFERROR(VLOOKUP(A64,PAC!$A$2:$V$5011,19,0),"")</f>
        <v>DISPENSA</v>
      </c>
      <c r="H64" s="111" t="s">
        <v>1180</v>
      </c>
      <c r="I64" s="111" t="s">
        <v>22</v>
      </c>
      <c r="J64" s="110">
        <f>SUMIF(PAC!$A$2:$A$5011,A64,PAC!$W$2:$W$5011)</f>
        <v>1</v>
      </c>
      <c r="K64" s="110">
        <f t="shared" si="23"/>
        <v>15</v>
      </c>
      <c r="L64" s="110">
        <f t="shared" si="24"/>
        <v>10</v>
      </c>
      <c r="M64" s="102" t="str">
        <f t="shared" si="2"/>
        <v>0</v>
      </c>
      <c r="N64" s="102" t="str">
        <f t="shared" si="25"/>
        <v>0</v>
      </c>
      <c r="O64" s="102" t="str">
        <f t="shared" si="31"/>
        <v>0</v>
      </c>
      <c r="P64" s="102">
        <f t="shared" si="26"/>
        <v>35</v>
      </c>
      <c r="Q64" s="102">
        <f t="shared" si="27"/>
        <v>3</v>
      </c>
      <c r="R64" s="102">
        <f t="shared" si="28"/>
        <v>3</v>
      </c>
      <c r="S64" s="102" t="str">
        <f t="shared" si="32"/>
        <v>0</v>
      </c>
      <c r="T64" s="102">
        <f t="shared" si="29"/>
        <v>5</v>
      </c>
      <c r="U64" s="102">
        <f t="shared" si="33"/>
        <v>18</v>
      </c>
      <c r="V64" s="102">
        <f t="shared" si="30"/>
        <v>89</v>
      </c>
      <c r="W64" s="103">
        <f t="shared" si="12"/>
        <v>45355</v>
      </c>
      <c r="X64" s="103">
        <f t="shared" si="13"/>
        <v>45380</v>
      </c>
      <c r="Y64" s="103">
        <f t="shared" si="14"/>
        <v>45415</v>
      </c>
      <c r="Z64" s="103">
        <f t="shared" si="15"/>
        <v>45418</v>
      </c>
      <c r="AA64" s="103">
        <f t="shared" si="16"/>
        <v>45421</v>
      </c>
      <c r="AB64" s="103" t="str">
        <f t="shared" si="17"/>
        <v>---</v>
      </c>
      <c r="AC64" s="103">
        <f t="shared" si="18"/>
        <v>45426</v>
      </c>
    </row>
    <row r="65" spans="1:29" ht="60">
      <c r="A65" s="90" t="s">
        <v>287</v>
      </c>
      <c r="B65" s="89" t="str">
        <f>IFERROR(VLOOKUP(A65,PAC!$A$2:$V$5011,2,0),"")</f>
        <v>Aquisição de equipamentos de refrigeração de diversas potências para substituir equipamentos localizados em locais criticos, como CPD, Sala do No Break e Subestação elétrica.</v>
      </c>
      <c r="C65" s="90" t="s">
        <v>1187</v>
      </c>
      <c r="D65" s="98">
        <f>IFERROR(VLOOKUP(A65,PAC!$A$2:$V$5011,16,0),"")</f>
        <v>45480</v>
      </c>
      <c r="E65" s="99" t="str">
        <f>VLOOKUP(A65,PAC!$A$2:$V$5011,17,0)</f>
        <v>90 DIAS</v>
      </c>
      <c r="F65" s="100">
        <f>IFERROR(VLOOKUP(A65,PAC!$A$2:$V$5011,14,0),"")</f>
        <v>60000</v>
      </c>
      <c r="G65" s="100" t="str">
        <f>IFERROR(VLOOKUP(A65,PAC!$A$2:$V$5011,19,0),"")</f>
        <v>licitação</v>
      </c>
      <c r="H65" s="111" t="s">
        <v>22</v>
      </c>
      <c r="I65" s="111" t="s">
        <v>22</v>
      </c>
      <c r="J65" s="110">
        <f>SUMIF(PAC!$A$2:$A$5011,A65,PAC!$W$2:$W$5011)</f>
        <v>1</v>
      </c>
      <c r="K65" s="110">
        <f t="shared" si="23"/>
        <v>15</v>
      </c>
      <c r="L65" s="110">
        <f t="shared" si="24"/>
        <v>10</v>
      </c>
      <c r="M65" s="102">
        <f t="shared" si="2"/>
        <v>20</v>
      </c>
      <c r="N65" s="102">
        <f t="shared" si="25"/>
        <v>15</v>
      </c>
      <c r="O65" s="102">
        <f t="shared" si="31"/>
        <v>25</v>
      </c>
      <c r="P65" s="102" t="str">
        <f t="shared" si="26"/>
        <v>0</v>
      </c>
      <c r="Q65" s="102" t="str">
        <f t="shared" si="27"/>
        <v>0</v>
      </c>
      <c r="R65" s="102" t="str">
        <f t="shared" si="28"/>
        <v>0</v>
      </c>
      <c r="S65" s="102" t="str">
        <f t="shared" si="32"/>
        <v>0</v>
      </c>
      <c r="T65" s="102">
        <f t="shared" si="29"/>
        <v>3</v>
      </c>
      <c r="U65" s="102">
        <f t="shared" si="33"/>
        <v>18</v>
      </c>
      <c r="V65" s="102">
        <f t="shared" si="30"/>
        <v>106</v>
      </c>
      <c r="W65" s="103">
        <f t="shared" si="12"/>
        <v>45374</v>
      </c>
      <c r="X65" s="103">
        <f t="shared" si="13"/>
        <v>45399</v>
      </c>
      <c r="Y65" s="103">
        <f t="shared" si="14"/>
        <v>45419</v>
      </c>
      <c r="Z65" s="103">
        <f t="shared" si="15"/>
        <v>45434</v>
      </c>
      <c r="AA65" s="103">
        <f t="shared" si="16"/>
        <v>45459</v>
      </c>
      <c r="AB65" s="103" t="str">
        <f t="shared" si="17"/>
        <v>---</v>
      </c>
      <c r="AC65" s="103">
        <f t="shared" si="18"/>
        <v>45462</v>
      </c>
    </row>
    <row r="66" spans="1:29" ht="108">
      <c r="A66" s="90" t="s">
        <v>294</v>
      </c>
      <c r="B66" s="89" t="str">
        <f>IFERROR(VLOOKUP(A66,PAC!$A$2:$V$5011,2,0),"")</f>
        <v>Contratação de de empresa especializada no serviço de descontaminação e descarte de lâmpadas, que contêm mercúrio metálico, dos tipos fluorescentes (de qualquer tamanho e forma, inclusive as compactas), de vapor de mercúrio, de vapor de sódio, de vapor metálico, lâmpadas mista, halógenas e outros tipos de uso técnico especializado.</v>
      </c>
      <c r="C66" s="90" t="s">
        <v>1187</v>
      </c>
      <c r="D66" s="98">
        <f>IFERROR(VLOOKUP(A66,PAC!$A$2:$V$5011,16,0),"")</f>
        <v>45446</v>
      </c>
      <c r="E66" s="99" t="str">
        <f>VLOOKUP(A66,PAC!$A$2:$V$5011,17,0)</f>
        <v>90 DIAS</v>
      </c>
      <c r="F66" s="100">
        <f>IFERROR(VLOOKUP(A66,PAC!$A$2:$V$5011,14,0),"")</f>
        <v>7950</v>
      </c>
      <c r="G66" s="100" t="s">
        <v>310</v>
      </c>
      <c r="H66" s="111" t="s">
        <v>22</v>
      </c>
      <c r="I66" s="111" t="s">
        <v>22</v>
      </c>
      <c r="J66" s="110">
        <f>SUMIF(PAC!$A$2:$A$5011,A66,PAC!$W$2:$W$5011)</f>
        <v>1</v>
      </c>
      <c r="K66" s="110">
        <f t="shared" si="23"/>
        <v>15</v>
      </c>
      <c r="L66" s="110">
        <f t="shared" si="24"/>
        <v>10</v>
      </c>
      <c r="M66" s="102">
        <f t="shared" si="2"/>
        <v>20</v>
      </c>
      <c r="N66" s="102">
        <f t="shared" si="25"/>
        <v>15</v>
      </c>
      <c r="O66" s="102">
        <f t="shared" si="31"/>
        <v>25</v>
      </c>
      <c r="P66" s="102" t="str">
        <f t="shared" si="26"/>
        <v>0</v>
      </c>
      <c r="Q66" s="102" t="str">
        <f t="shared" si="27"/>
        <v>0</v>
      </c>
      <c r="R66" s="102" t="str">
        <f t="shared" si="28"/>
        <v>0</v>
      </c>
      <c r="S66" s="102" t="str">
        <f t="shared" si="32"/>
        <v>0</v>
      </c>
      <c r="T66" s="102">
        <f t="shared" si="29"/>
        <v>3</v>
      </c>
      <c r="U66" s="102">
        <f t="shared" si="33"/>
        <v>18</v>
      </c>
      <c r="V66" s="102">
        <f t="shared" si="30"/>
        <v>106</v>
      </c>
      <c r="W66" s="103">
        <f t="shared" si="12"/>
        <v>45340</v>
      </c>
      <c r="X66" s="103">
        <f t="shared" si="13"/>
        <v>45365</v>
      </c>
      <c r="Y66" s="103">
        <f t="shared" si="14"/>
        <v>45385</v>
      </c>
      <c r="Z66" s="103">
        <f t="shared" si="15"/>
        <v>45400</v>
      </c>
      <c r="AA66" s="103">
        <f t="shared" si="16"/>
        <v>45425</v>
      </c>
      <c r="AB66" s="103" t="str">
        <f t="shared" si="17"/>
        <v>---</v>
      </c>
      <c r="AC66" s="103">
        <f t="shared" si="18"/>
        <v>45428</v>
      </c>
    </row>
    <row r="67" spans="1:29" ht="96">
      <c r="A67" s="90" t="s">
        <v>300</v>
      </c>
      <c r="B67" s="89" t="str">
        <f>IFERROR(VLOOKUP(A67,PAC!$A$2:$V$5011,2,0),"")</f>
        <v>Contratação de de empresa empresa especializada, através do Sistema de Registro de Preços, para fornecimento e instalação de divisórias, paredes de gesso acartonado, forro mineral estruturado e outros materiais conexos  para adaptação de espaços na Sede da Seção Judiciária do Pará.</v>
      </c>
      <c r="C67" s="90" t="s">
        <v>1187</v>
      </c>
      <c r="D67" s="98">
        <f>IFERROR(VLOOKUP(A67,PAC!$A$2:$V$5011,16,0),"")</f>
        <v>45413</v>
      </c>
      <c r="E67" s="99" t="str">
        <f>VLOOKUP(A67,PAC!$A$2:$V$5011,17,0)</f>
        <v>90 DIAS</v>
      </c>
      <c r="F67" s="100">
        <f>IFERROR(VLOOKUP(A67,PAC!$A$2:$V$5011,14,0),"")</f>
        <v>150000</v>
      </c>
      <c r="G67" s="100" t="s">
        <v>310</v>
      </c>
      <c r="H67" s="111" t="s">
        <v>22</v>
      </c>
      <c r="I67" s="111" t="s">
        <v>22</v>
      </c>
      <c r="J67" s="110">
        <f>SUMIF(PAC!$A$2:$A$5011,A67,PAC!$W$2:$W$5011)</f>
        <v>1</v>
      </c>
      <c r="K67" s="110">
        <f t="shared" si="23"/>
        <v>15</v>
      </c>
      <c r="L67" s="110">
        <f t="shared" si="24"/>
        <v>10</v>
      </c>
      <c r="M67" s="102">
        <f t="shared" si="2"/>
        <v>20</v>
      </c>
      <c r="N67" s="102">
        <f t="shared" si="25"/>
        <v>15</v>
      </c>
      <c r="O67" s="102">
        <f t="shared" si="31"/>
        <v>25</v>
      </c>
      <c r="P67" s="102" t="str">
        <f t="shared" si="26"/>
        <v>0</v>
      </c>
      <c r="Q67" s="102" t="str">
        <f t="shared" si="27"/>
        <v>0</v>
      </c>
      <c r="R67" s="102" t="str">
        <f t="shared" si="28"/>
        <v>0</v>
      </c>
      <c r="S67" s="102" t="str">
        <f t="shared" si="32"/>
        <v>0</v>
      </c>
      <c r="T67" s="102">
        <f t="shared" si="29"/>
        <v>3</v>
      </c>
      <c r="U67" s="102">
        <f t="shared" si="33"/>
        <v>18</v>
      </c>
      <c r="V67" s="102">
        <f t="shared" si="30"/>
        <v>106</v>
      </c>
      <c r="W67" s="103">
        <f t="shared" si="12"/>
        <v>45307</v>
      </c>
      <c r="X67" s="103">
        <f t="shared" si="13"/>
        <v>45332</v>
      </c>
      <c r="Y67" s="103">
        <f t="shared" si="14"/>
        <v>45352</v>
      </c>
      <c r="Z67" s="103">
        <f t="shared" si="15"/>
        <v>45367</v>
      </c>
      <c r="AA67" s="103">
        <f t="shared" si="16"/>
        <v>45392</v>
      </c>
      <c r="AB67" s="103" t="str">
        <f t="shared" si="17"/>
        <v>---</v>
      </c>
      <c r="AC67" s="103">
        <f t="shared" si="18"/>
        <v>45395</v>
      </c>
    </row>
    <row r="68" spans="1:29" ht="96">
      <c r="A68" s="90" t="s">
        <v>306</v>
      </c>
      <c r="B68" s="113" t="str">
        <f>IFERROR(VLOOKUP(A68,PAC!$A$2:$V$5011,2,0),"")</f>
        <v>Contratação de de empresa empresa especializada no fornecimento de equipamentos e prestação de serviços com a finalidade de dar continuidade a modernização dos sistemas de áudio e vídeo do Auditório e da sala de treinamento da Sede da Seção Judiciária do Pará.</v>
      </c>
      <c r="C68" s="90" t="s">
        <v>1187</v>
      </c>
      <c r="D68" s="114">
        <f>IFERROR(VLOOKUP(A68,PAC!$A$2:$V$5011,16,0),"")</f>
        <v>45505</v>
      </c>
      <c r="E68" s="99" t="str">
        <f>VLOOKUP(A68,PAC!$A$2:$V$5011,17,0)</f>
        <v>90 DIAS</v>
      </c>
      <c r="F68" s="115">
        <f>IFERROR(VLOOKUP(A68,PAC!$A$2:$V$5011,14,0),"")</f>
        <v>45000</v>
      </c>
      <c r="G68" s="115" t="str">
        <f>IFERROR(VLOOKUP(A68,PAC!$A$2:$V$5011,19,0),"")</f>
        <v>LICITAÇÃO</v>
      </c>
      <c r="H68" s="109" t="s">
        <v>22</v>
      </c>
      <c r="I68" s="111" t="s">
        <v>22</v>
      </c>
      <c r="J68" s="110">
        <f>SUMIF(PAC!$A$2:$A$5011,A68,PAC!$W$2:$W$5011)</f>
        <v>1</v>
      </c>
      <c r="K68" s="110">
        <f t="shared" si="23"/>
        <v>15</v>
      </c>
      <c r="L68" s="110">
        <f t="shared" si="24"/>
        <v>10</v>
      </c>
      <c r="M68" s="102">
        <f t="shared" si="2"/>
        <v>20</v>
      </c>
      <c r="N68" s="102">
        <f t="shared" si="25"/>
        <v>15</v>
      </c>
      <c r="O68" s="102">
        <f t="shared" si="31"/>
        <v>25</v>
      </c>
      <c r="P68" s="102" t="str">
        <f t="shared" si="26"/>
        <v>0</v>
      </c>
      <c r="Q68" s="102" t="str">
        <f t="shared" si="27"/>
        <v>0</v>
      </c>
      <c r="R68" s="102" t="str">
        <f t="shared" si="28"/>
        <v>0</v>
      </c>
      <c r="S68" s="102" t="str">
        <f t="shared" si="32"/>
        <v>0</v>
      </c>
      <c r="T68" s="102">
        <f t="shared" si="29"/>
        <v>3</v>
      </c>
      <c r="U68" s="102">
        <f t="shared" si="33"/>
        <v>18</v>
      </c>
      <c r="V68" s="102">
        <f t="shared" si="30"/>
        <v>106</v>
      </c>
      <c r="W68" s="103">
        <f t="shared" si="12"/>
        <v>45399</v>
      </c>
      <c r="X68" s="103">
        <f t="shared" si="13"/>
        <v>45424</v>
      </c>
      <c r="Y68" s="103">
        <f t="shared" si="14"/>
        <v>45444</v>
      </c>
      <c r="Z68" s="103">
        <f t="shared" si="15"/>
        <v>45459</v>
      </c>
      <c r="AA68" s="103">
        <f t="shared" si="16"/>
        <v>45484</v>
      </c>
      <c r="AB68" s="103" t="str">
        <f t="shared" si="17"/>
        <v>---</v>
      </c>
      <c r="AC68" s="103">
        <f t="shared" si="18"/>
        <v>45487</v>
      </c>
    </row>
    <row r="69" spans="1:29" ht="96">
      <c r="A69" s="90" t="s">
        <v>311</v>
      </c>
      <c r="B69" s="89" t="str">
        <f>IFERROR(VLOOKUP(A69,PAC!$A$2:$V$5011,2,0),"")</f>
        <v>Contratação de de empresa empresa especializada no fornecimento de equipamentos e prestação de serviços com a finalidade de dar continuidade a modernização dos sistemas de áudio e vídeo do Auditório e da sala de treinamento da Sede da Seção Judiciária do Pará.</v>
      </c>
      <c r="C69" s="90" t="s">
        <v>1187</v>
      </c>
      <c r="D69" s="98">
        <f>IFERROR(VLOOKUP(A69,PAC!$A$2:$V$5011,16,0),"")</f>
        <v>45505</v>
      </c>
      <c r="E69" s="99" t="str">
        <f>VLOOKUP(A69,PAC!$A$2:$V$5011,17,0)</f>
        <v>90 DIAS</v>
      </c>
      <c r="F69" s="100">
        <f>IFERROR(VLOOKUP(A69,PAC!$A$2:$V$5011,14,0),"")</f>
        <v>12000</v>
      </c>
      <c r="G69" s="100" t="str">
        <f>IFERROR(VLOOKUP(A69,PAC!$A$2:$V$5011,19,0),"")</f>
        <v>LICITAÇÃO</v>
      </c>
      <c r="H69" s="111" t="s">
        <v>22</v>
      </c>
      <c r="I69" s="111" t="s">
        <v>22</v>
      </c>
      <c r="J69" s="110">
        <f>SUMIF(PAC!$A$2:$A$5011,A69,PAC!$W$2:$W$5011)</f>
        <v>1</v>
      </c>
      <c r="K69" s="110">
        <f t="shared" si="23"/>
        <v>15</v>
      </c>
      <c r="L69" s="102">
        <f t="shared" si="24"/>
        <v>10</v>
      </c>
      <c r="M69" s="102">
        <f t="shared" si="2"/>
        <v>20</v>
      </c>
      <c r="N69" s="102">
        <f t="shared" si="25"/>
        <v>15</v>
      </c>
      <c r="O69" s="102">
        <f t="shared" si="31"/>
        <v>25</v>
      </c>
      <c r="P69" s="102" t="str">
        <f t="shared" si="26"/>
        <v>0</v>
      </c>
      <c r="Q69" s="102" t="str">
        <f t="shared" si="27"/>
        <v>0</v>
      </c>
      <c r="R69" s="102" t="str">
        <f t="shared" si="28"/>
        <v>0</v>
      </c>
      <c r="S69" s="102" t="str">
        <f t="shared" si="32"/>
        <v>0</v>
      </c>
      <c r="T69" s="102">
        <f t="shared" si="29"/>
        <v>3</v>
      </c>
      <c r="U69" s="102">
        <f t="shared" si="33"/>
        <v>18</v>
      </c>
      <c r="V69" s="102">
        <f t="shared" si="30"/>
        <v>106</v>
      </c>
      <c r="W69" s="103">
        <f t="shared" si="12"/>
        <v>45399</v>
      </c>
      <c r="X69" s="103">
        <f t="shared" si="13"/>
        <v>45424</v>
      </c>
      <c r="Y69" s="103">
        <f t="shared" si="14"/>
        <v>45444</v>
      </c>
      <c r="Z69" s="103">
        <f t="shared" si="15"/>
        <v>45459</v>
      </c>
      <c r="AA69" s="103">
        <f t="shared" si="16"/>
        <v>45484</v>
      </c>
      <c r="AB69" s="103" t="str">
        <f t="shared" si="17"/>
        <v>---</v>
      </c>
      <c r="AC69" s="103">
        <f t="shared" si="18"/>
        <v>45487</v>
      </c>
    </row>
    <row r="70" spans="1:29" ht="48">
      <c r="A70" s="90" t="s">
        <v>313</v>
      </c>
      <c r="B70" s="89" t="str">
        <f>IFERROR(VLOOKUP(A70,PAC!$A$2:$V$5011,2,0),"")</f>
        <v>Contratação de serviços  especializado de jardinagem e paisagismo para o Edifício-Sede desta Seção Judiciária do Pará e prédios anexos.</v>
      </c>
      <c r="C70" s="90" t="s">
        <v>1187</v>
      </c>
      <c r="D70" s="98">
        <f>IFERROR(VLOOKUP(A70,PAC!$A$2:$V$5011,16,0),"")</f>
        <v>45383</v>
      </c>
      <c r="E70" s="99" t="str">
        <f>VLOOKUP(A70,PAC!$A$2:$V$5011,17,0)</f>
        <v>30 DIAS</v>
      </c>
      <c r="F70" s="100">
        <f>IFERROR(VLOOKUP(A70,PAC!$A$2:$V$5011,14,0),"")</f>
        <v>4600</v>
      </c>
      <c r="G70" s="100" t="str">
        <f>IFERROR(VLOOKUP(A70,PAC!$A$2:$V$5011,19,0),"")</f>
        <v>DISPENSA</v>
      </c>
      <c r="H70" s="111" t="s">
        <v>1180</v>
      </c>
      <c r="I70" s="111" t="s">
        <v>22</v>
      </c>
      <c r="J70" s="110">
        <f>SUMIF(PAC!$A$2:$A$5011,A70,PAC!$W$2:$W$5011)</f>
        <v>1</v>
      </c>
      <c r="K70" s="110">
        <f t="shared" ref="K70:K101" si="34">IF(OR(G70="dispensa",G70="inexigibilidade",G70="licitação"),15,"0")</f>
        <v>15</v>
      </c>
      <c r="L70" s="102">
        <f t="shared" ref="L70:L101" si="35">IF(OR(G70="dispensa",G70="inexigibilidade",G70="licitação"),10,"0")</f>
        <v>10</v>
      </c>
      <c r="M70" s="102" t="str">
        <f t="shared" ref="M70:M133" si="36">IF(AND(G70="Licitação"),IF(AND(H70=""),"0",IF(AND(H70="N"),20,IF(AND(H70="C"),40))),"0")</f>
        <v>0</v>
      </c>
      <c r="N70" s="102" t="str">
        <f t="shared" ref="N70:N101" si="37">IF(AND(G70="Licitação"),IF(AND(H70=""),"0",IF(AND(H70="N"),15,IF(AND(H70="C"),25))),"0")</f>
        <v>0</v>
      </c>
      <c r="O70" s="102" t="str">
        <f t="shared" si="31"/>
        <v>0</v>
      </c>
      <c r="P70" s="102">
        <f t="shared" ref="P70:P101" si="38">IF(OR(G70="dispensa",G70="inexigibilidade"),IF(AND(J70=0),0,IF(AND(J70&gt;0,J70&lt;11),35,IF(AND(J70&gt;10,J70&lt;21),45,IF(AND(J70&gt;20),60)))),"0")</f>
        <v>35</v>
      </c>
      <c r="Q70" s="102">
        <f t="shared" ref="Q70:Q101" si="39">IF(OR(G70="dispensa",G70="inexigibilidade"),3,"0")</f>
        <v>3</v>
      </c>
      <c r="R70" s="102">
        <f t="shared" ref="R70:R101" si="40">IF(OR(G70="dispensa",G70="inexigibilidade"),3,"0")</f>
        <v>3</v>
      </c>
      <c r="S70" s="102" t="str">
        <f t="shared" si="32"/>
        <v>0</v>
      </c>
      <c r="T70" s="102">
        <f t="shared" ref="T70:T101" si="41">IF(OR(G70="dispensa",G70="inexigibilidade",G70="licitação"),IF(AND(H70="C"),5,IF(AND(H70="N"),3,IF(AND(H70=""),"0"))),"0")</f>
        <v>5</v>
      </c>
      <c r="U70" s="102">
        <f t="shared" si="33"/>
        <v>18</v>
      </c>
      <c r="V70" s="102">
        <f t="shared" ref="V70:V101" si="42">SUM(K70:U70)</f>
        <v>89</v>
      </c>
      <c r="W70" s="103">
        <f t="shared" ref="W70:W133" si="43">IF(AND($G70="licitação"),$D70-$V70,IF(AND($G70="dispensa"),$D70-$V70,IF(AND($G70="inexigibilidade"),$D70-$V70,IF(AND($G70="renovação"),"---",IF(AND($G70="prorrogação"),"---",IF(AND($G70=""),"---"))))))</f>
        <v>45294</v>
      </c>
      <c r="X70" s="103">
        <f t="shared" ref="X70:X133" si="44">IF(AND($G70="licitação"),$W70+$K70+$L70,IF(AND($G70="dispensa"),$W70+$K70+$L70,IF(AND($G70="inexigibilidade"),$W70+$K70+$L70,IF(AND($G70="renovação"),"---",IF(AND($G70="prorrogação"),"---",IF(AND($G70=""),"---"))))))</f>
        <v>45319</v>
      </c>
      <c r="Y70" s="103">
        <f t="shared" ref="Y70:Y133" si="45">IF(AND($G70="licitação"),$X70+$M70,IF(AND($G70="dispensa"),$X70+$P70,IF(AND($G70="inexigibilidade"),$X70+$P70,IF(AND($G70="prorrogação"),"---",IF(AND($G70="renovação"),"---",IF(AND($G70=""),"---"))))))</f>
        <v>45354</v>
      </c>
      <c r="Z70" s="103">
        <f t="shared" ref="Z70:Z133" si="46">IF(AND($G70="licitação"),$Y70+$N70,IF(AND($G70="dispensa"),$Y70+$Q70,IF(AND($G70="inexigibilidade"),$Y70+$Q70,IF(AND($G70="prorrogação"),"---",IF(AND($G70="renovação"),"---",IF(AND($G70=""),"---"))))))</f>
        <v>45357</v>
      </c>
      <c r="AA70" s="103">
        <f t="shared" ref="AA70:AA133" si="47">IF(AND($G70="licitação"),$Z70+$O70,IF(AND($G70="dispensa"),$Z70+$R70,IF(AND($G70="inexigibilidade"),$Z70+$R70,IF(AND($G70="prorrogação"),"---",IF(AND($G70="renovação"),"---",IF(AND($G70=""),"---"))))))</f>
        <v>45360</v>
      </c>
      <c r="AB70" s="103" t="str">
        <f t="shared" ref="AB70:AB133" si="48">IF(AND($G70="licitação"),"---",IF(AND($G70="dispensa"),"---",IF(AND($G70="inexigibilidade"),"---",IF(AND($G70="renovação"),$D70-$V70,IF(AND($G70="prorrogação"),$D70-$V70,IF(AND($G70=""),"---"))))))</f>
        <v>---</v>
      </c>
      <c r="AC70" s="103">
        <f t="shared" ref="AC70:AC133" si="49">IF(AND($G70="licitação"),AA70+T70,IF(AND($G70="dispensa"),AA70+T70,IF(AND($G70="inexigibilidade"),AA70+T70,IF(AND($G70="renovação"),$AB70+$S70,IF(AND($G70="prorrogação"),$AB70+$S70,IF(AND($G70=""),"---"))))))</f>
        <v>45365</v>
      </c>
    </row>
    <row r="71" spans="1:29" ht="48">
      <c r="A71" s="90" t="s">
        <v>318</v>
      </c>
      <c r="B71" s="89" t="str">
        <f>IFERROR(VLOOKUP(A71,PAC!$A$2:$V$5011,2,0),"")</f>
        <v>SERVIÇO DE POSTAGEM DE CORREPONDÊNCIAS, COLETA, TRANSPORTE E ENTREGA DE CORRESPONDENCIA AGRUPADA NACIONAL .</v>
      </c>
      <c r="C71" s="90" t="s">
        <v>1187</v>
      </c>
      <c r="D71" s="98">
        <f>IFERROR(VLOOKUP(A71,PAC!$A$2:$V$5011,16,0),"")</f>
        <v>45292</v>
      </c>
      <c r="E71" s="99" t="str">
        <f>VLOOKUP(A71,PAC!$A$2:$V$5011,17,0)</f>
        <v>30 DIAS</v>
      </c>
      <c r="F71" s="100">
        <f>IFERROR(VLOOKUP(A71,PAC!$A$2:$V$5011,14,0),"")</f>
        <v>442000</v>
      </c>
      <c r="G71" s="100" t="str">
        <f>IFERROR(VLOOKUP(A71,PAC!$A$2:$V$5011,19,0),"")</f>
        <v>PRORROGAÇÃO</v>
      </c>
      <c r="H71" s="111" t="s">
        <v>1180</v>
      </c>
      <c r="I71" s="111" t="s">
        <v>22</v>
      </c>
      <c r="J71" s="110">
        <f>SUMIF(PAC!$A$2:$A$5011,A71,PAC!$W$2:$W$5011)</f>
        <v>1</v>
      </c>
      <c r="K71" s="110" t="str">
        <f t="shared" si="34"/>
        <v>0</v>
      </c>
      <c r="L71" s="102" t="str">
        <f t="shared" si="35"/>
        <v>0</v>
      </c>
      <c r="M71" s="102" t="str">
        <f t="shared" si="36"/>
        <v>0</v>
      </c>
      <c r="N71" s="102" t="str">
        <f t="shared" si="37"/>
        <v>0</v>
      </c>
      <c r="O71" s="102" t="str">
        <f t="shared" si="31"/>
        <v>0</v>
      </c>
      <c r="P71" s="102" t="str">
        <f t="shared" si="38"/>
        <v>0</v>
      </c>
      <c r="Q71" s="102" t="str">
        <f t="shared" si="39"/>
        <v>0</v>
      </c>
      <c r="R71" s="102" t="str">
        <f t="shared" si="40"/>
        <v>0</v>
      </c>
      <c r="S71" s="102">
        <f t="shared" si="32"/>
        <v>60</v>
      </c>
      <c r="T71" s="102" t="str">
        <f t="shared" si="41"/>
        <v>0</v>
      </c>
      <c r="U71" s="102">
        <f t="shared" si="33"/>
        <v>18</v>
      </c>
      <c r="V71" s="102">
        <f t="shared" si="42"/>
        <v>78</v>
      </c>
      <c r="W71" s="103" t="str">
        <f t="shared" si="43"/>
        <v>---</v>
      </c>
      <c r="X71" s="103" t="str">
        <f t="shared" si="44"/>
        <v>---</v>
      </c>
      <c r="Y71" s="103" t="str">
        <f t="shared" si="45"/>
        <v>---</v>
      </c>
      <c r="Z71" s="103" t="str">
        <f t="shared" si="46"/>
        <v>---</v>
      </c>
      <c r="AA71" s="103" t="str">
        <f t="shared" si="47"/>
        <v>---</v>
      </c>
      <c r="AB71" s="103">
        <f t="shared" si="48"/>
        <v>45214</v>
      </c>
      <c r="AC71" s="103">
        <f t="shared" si="49"/>
        <v>45274</v>
      </c>
    </row>
    <row r="72" spans="1:29" ht="60">
      <c r="A72" s="90" t="s">
        <v>322</v>
      </c>
      <c r="B72" s="89" t="str">
        <f>IFERROR(VLOOKUP(A72,PAC!$A$2:$V$5011,2,0),"")</f>
        <v>PRORROGAÇÃO DO CONTRATO Nº 12/2022 - PRESTAÇÃO DE SERVIÇO MÓVEL PESSOAL–SMP-VISANDO ATENDER AS NECESSIDADES DA SEÇÃO JUDICIÁRIA DO PARÁ - SEDE EM BELÉM  E DEMAIS SUBSEÇÕES JUDICIÁRIAS.</v>
      </c>
      <c r="C72" s="90" t="s">
        <v>1187</v>
      </c>
      <c r="D72" s="98">
        <f>IFERROR(VLOOKUP(A72,PAC!$A$2:$V$5011,16,0),"")</f>
        <v>45479</v>
      </c>
      <c r="E72" s="99" t="str">
        <f>VLOOKUP(A72,PAC!$A$2:$V$5011,17,0)</f>
        <v>30 DIAS</v>
      </c>
      <c r="F72" s="100">
        <f>IFERROR(VLOOKUP(A72,PAC!$A$2:$V$5011,14,0),"")</f>
        <v>7920</v>
      </c>
      <c r="G72" s="100" t="str">
        <f>IFERROR(VLOOKUP(A72,PAC!$A$2:$V$5011,19,0),"")</f>
        <v>PRORROGAÇÃO</v>
      </c>
      <c r="H72" s="111" t="s">
        <v>1180</v>
      </c>
      <c r="I72" s="111" t="s">
        <v>22</v>
      </c>
      <c r="J72" s="110">
        <f>SUMIF(PAC!$A$2:$A$5011,A72,PAC!$W$2:$W$5011)</f>
        <v>1</v>
      </c>
      <c r="K72" s="110" t="str">
        <f t="shared" si="34"/>
        <v>0</v>
      </c>
      <c r="L72" s="102" t="str">
        <f t="shared" si="35"/>
        <v>0</v>
      </c>
      <c r="M72" s="102" t="str">
        <f t="shared" si="36"/>
        <v>0</v>
      </c>
      <c r="N72" s="102" t="str">
        <f t="shared" si="37"/>
        <v>0</v>
      </c>
      <c r="O72" s="102" t="str">
        <f t="shared" si="31"/>
        <v>0</v>
      </c>
      <c r="P72" s="102" t="str">
        <f t="shared" si="38"/>
        <v>0</v>
      </c>
      <c r="Q72" s="102" t="str">
        <f t="shared" si="39"/>
        <v>0</v>
      </c>
      <c r="R72" s="102" t="str">
        <f t="shared" si="40"/>
        <v>0</v>
      </c>
      <c r="S72" s="102">
        <f t="shared" si="32"/>
        <v>60</v>
      </c>
      <c r="T72" s="102" t="str">
        <f t="shared" si="41"/>
        <v>0</v>
      </c>
      <c r="U72" s="102">
        <f t="shared" si="33"/>
        <v>18</v>
      </c>
      <c r="V72" s="102">
        <f t="shared" si="42"/>
        <v>78</v>
      </c>
      <c r="W72" s="103" t="str">
        <f t="shared" si="43"/>
        <v>---</v>
      </c>
      <c r="X72" s="103" t="str">
        <f t="shared" si="44"/>
        <v>---</v>
      </c>
      <c r="Y72" s="103" t="str">
        <f t="shared" si="45"/>
        <v>---</v>
      </c>
      <c r="Z72" s="103" t="str">
        <f t="shared" si="46"/>
        <v>---</v>
      </c>
      <c r="AA72" s="103" t="str">
        <f t="shared" si="47"/>
        <v>---</v>
      </c>
      <c r="AB72" s="103">
        <f t="shared" si="48"/>
        <v>45401</v>
      </c>
      <c r="AC72" s="103">
        <f t="shared" si="49"/>
        <v>45461</v>
      </c>
    </row>
    <row r="73" spans="1:29" ht="156">
      <c r="A73" s="90" t="s">
        <v>326</v>
      </c>
      <c r="B73" s="89" t="str">
        <f>IFERROR(VLOOKUP(A73,PAC!$A$2:$V$5011,2,0),"")</f>
        <v>PRORROGAÇÃO DO CONTRATO Nº 05/2021 (12401249) - PRESTAÇÃO DE SERVIÇO TELEFÔNICO FIXO COMUTADO - STFC (FIXO-FIXO E FIXO-MÓVEL LOCAL), POR MEIO DE ENTRONCAMENTO DIGITAL E1, COM DISPONIBILIZAÇÃO DE RAMAIS DDR, A SER EXECUTADO DE FORMA CONTÍNUA NA SEDE DA JUSTIÇA FEDERAL – SEÇÃO JUDICIÁRIA DO PARÁ EM BELÉM E NAS SUBSEÇÕES DE ALTAMIRA, REDENÇÃO E TUCURUÍ, INCLUÍNDO OS SERVIÇOS TELEFÔNICOS DE LONGA DISTÂNCIA NACIONAL (LDN) EM TODA A SEÇÃO JUDICIÁRIA DO PARÁ</v>
      </c>
      <c r="C73" s="90" t="s">
        <v>1187</v>
      </c>
      <c r="D73" s="98">
        <f>IFERROR(VLOOKUP(A73,PAC!$A$2:$V$5011,16,0),"")</f>
        <v>45350</v>
      </c>
      <c r="E73" s="99" t="str">
        <f>VLOOKUP(A73,PAC!$A$2:$V$5011,17,0)</f>
        <v>30 DIAS</v>
      </c>
      <c r="F73" s="100">
        <f>IFERROR(VLOOKUP(A73,PAC!$A$2:$V$5011,14,0),"")</f>
        <v>91281.43</v>
      </c>
      <c r="G73" s="100" t="str">
        <f>IFERROR(VLOOKUP(A73,PAC!$A$2:$V$5011,19,0),"")</f>
        <v>PRORROGAÇÃO</v>
      </c>
      <c r="H73" s="111" t="s">
        <v>22</v>
      </c>
      <c r="I73" s="111" t="s">
        <v>22</v>
      </c>
      <c r="J73" s="110">
        <f>SUMIF(PAC!$A$2:$A$5011,A73,PAC!$W$2:$W$5011)</f>
        <v>1</v>
      </c>
      <c r="K73" s="110" t="str">
        <f t="shared" si="34"/>
        <v>0</v>
      </c>
      <c r="L73" s="102" t="str">
        <f t="shared" si="35"/>
        <v>0</v>
      </c>
      <c r="M73" s="102" t="str">
        <f t="shared" si="36"/>
        <v>0</v>
      </c>
      <c r="N73" s="102" t="str">
        <f t="shared" si="37"/>
        <v>0</v>
      </c>
      <c r="O73" s="102" t="str">
        <f t="shared" si="31"/>
        <v>0</v>
      </c>
      <c r="P73" s="102" t="str">
        <f t="shared" si="38"/>
        <v>0</v>
      </c>
      <c r="Q73" s="102" t="str">
        <f t="shared" si="39"/>
        <v>0</v>
      </c>
      <c r="R73" s="102" t="str">
        <f t="shared" si="40"/>
        <v>0</v>
      </c>
      <c r="S73" s="102">
        <f t="shared" si="32"/>
        <v>60</v>
      </c>
      <c r="T73" s="102" t="str">
        <f t="shared" si="41"/>
        <v>0</v>
      </c>
      <c r="U73" s="102">
        <f t="shared" si="33"/>
        <v>18</v>
      </c>
      <c r="V73" s="102">
        <f t="shared" si="42"/>
        <v>78</v>
      </c>
      <c r="W73" s="103" t="str">
        <f t="shared" si="43"/>
        <v>---</v>
      </c>
      <c r="X73" s="103" t="str">
        <f t="shared" si="44"/>
        <v>---</v>
      </c>
      <c r="Y73" s="103" t="str">
        <f t="shared" si="45"/>
        <v>---</v>
      </c>
      <c r="Z73" s="103" t="str">
        <f t="shared" si="46"/>
        <v>---</v>
      </c>
      <c r="AA73" s="103" t="str">
        <f t="shared" si="47"/>
        <v>---</v>
      </c>
      <c r="AB73" s="103">
        <f t="shared" si="48"/>
        <v>45272</v>
      </c>
      <c r="AC73" s="103">
        <f t="shared" si="49"/>
        <v>45332</v>
      </c>
    </row>
    <row r="74" spans="1:29" ht="132">
      <c r="A74" s="90" t="s">
        <v>330</v>
      </c>
      <c r="B74" s="89" t="str">
        <f>IFERROR(VLOOKUP(A74,PAC!$A$2:$V$5011,2,0),"")</f>
        <v>PRORROGAÇÃO DO CONTRATO contrato nº 01/2022 (ID/SEI:14799994) - PRESTAÇÃO DE SERVIÇO TELEFÔNICO FIXO COMUTADO - STFC (FIXO-FIXO E FIXO-MÓVEL LOCAL), POR MEIO DE ENTRONCAMENTO DIGITAL E1, COM DISPONIBILIZAÇÃO DE RAMAIS DDR, A SER EXECUTADO DE FORMA CONTÍNUA NA SEDE DAS SUBSEÇÕES DE MARABÁ, SANTARÉM E ITAITUBA, QUE CELEBRA A UNIÃO, POR INTERMÉDIO DA JUSTIÇA FEDERAL – SEÇÃO JUDICIÁRIA DO PARÁ.</v>
      </c>
      <c r="C74" s="90" t="s">
        <v>1189</v>
      </c>
      <c r="D74" s="98">
        <f>IFERROR(VLOOKUP(A74,PAC!$A$2:$V$5011,16,0),"")</f>
        <v>45305</v>
      </c>
      <c r="E74" s="99" t="str">
        <f>VLOOKUP(A74,PAC!$A$2:$V$5011,17,0)</f>
        <v>30 DIAS</v>
      </c>
      <c r="F74" s="100">
        <f>IFERROR(VLOOKUP(A74,PAC!$A$2:$V$5011,14,0),"")</f>
        <v>46629</v>
      </c>
      <c r="G74" s="100" t="str">
        <f>IFERROR(VLOOKUP(A74,PAC!$A$2:$V$5011,19,0),"")</f>
        <v>PRORROGAÇÃO</v>
      </c>
      <c r="H74" s="111" t="s">
        <v>22</v>
      </c>
      <c r="I74" s="111" t="s">
        <v>22</v>
      </c>
      <c r="J74" s="110">
        <f>SUMIF(PAC!$A$2:$A$5011,A74,PAC!$W$2:$W$5011)</f>
        <v>1</v>
      </c>
      <c r="K74" s="110" t="str">
        <f t="shared" si="34"/>
        <v>0</v>
      </c>
      <c r="L74" s="102" t="str">
        <f t="shared" si="35"/>
        <v>0</v>
      </c>
      <c r="M74" s="102" t="str">
        <f t="shared" si="36"/>
        <v>0</v>
      </c>
      <c r="N74" s="102" t="str">
        <f t="shared" si="37"/>
        <v>0</v>
      </c>
      <c r="O74" s="102" t="str">
        <f t="shared" si="31"/>
        <v>0</v>
      </c>
      <c r="P74" s="102" t="str">
        <f t="shared" si="38"/>
        <v>0</v>
      </c>
      <c r="Q74" s="102" t="str">
        <f t="shared" si="39"/>
        <v>0</v>
      </c>
      <c r="R74" s="102" t="str">
        <f t="shared" si="40"/>
        <v>0</v>
      </c>
      <c r="S74" s="102">
        <f t="shared" si="32"/>
        <v>60</v>
      </c>
      <c r="T74" s="102" t="str">
        <f t="shared" si="41"/>
        <v>0</v>
      </c>
      <c r="U74" s="102">
        <f t="shared" si="33"/>
        <v>18</v>
      </c>
      <c r="V74" s="102">
        <f t="shared" si="42"/>
        <v>78</v>
      </c>
      <c r="W74" s="103" t="str">
        <f t="shared" si="43"/>
        <v>---</v>
      </c>
      <c r="X74" s="103" t="str">
        <f t="shared" si="44"/>
        <v>---</v>
      </c>
      <c r="Y74" s="103" t="str">
        <f t="shared" si="45"/>
        <v>---</v>
      </c>
      <c r="Z74" s="103" t="str">
        <f t="shared" si="46"/>
        <v>---</v>
      </c>
      <c r="AA74" s="103" t="str">
        <f t="shared" si="47"/>
        <v>---</v>
      </c>
      <c r="AB74" s="103">
        <f t="shared" si="48"/>
        <v>45227</v>
      </c>
      <c r="AC74" s="103">
        <f t="shared" si="49"/>
        <v>45287</v>
      </c>
    </row>
    <row r="75" spans="1:29" ht="120">
      <c r="A75" s="90" t="s">
        <v>335</v>
      </c>
      <c r="B75" s="89" t="str">
        <f>IFERROR(VLOOKUP(A75,PAC!$A$2:$V$5011,2,0),"")</f>
        <v>PRORROGAÇÃO DO CONTRATO DE PRESTAÇÃO DE SERVIÇO TELEFÔNICO FIXO COMUTADO - STFC (FIXO-FIXO E FIXO-MÓVEL LOCAL), POR MEIO DE ENTRONCAMENTO DIGITAL E1, COM DISPONIBILIZAÇÃO DE RAMAIS DDR, A SER EXECUTADO DE FORMA CONTÍNUA NA SEDE DAS SUBSEÇÕES DE CASTANHAL E PARAGOMINAS, QUE CELEBRA A UNIÃO, POR INTERMÉDIO DA JUSTIÇA FEDERAL – SEÇÃO JUDICIÁRIA DO PARÁ.</v>
      </c>
      <c r="C75" s="90" t="s">
        <v>1190</v>
      </c>
      <c r="D75" s="98">
        <f>IFERROR(VLOOKUP(A75,PAC!$A$2:$V$5011,16,0),"")</f>
        <v>45589</v>
      </c>
      <c r="E75" s="99" t="str">
        <f>VLOOKUP(A75,PAC!$A$2:$V$5011,17,0)</f>
        <v>30 DIAS</v>
      </c>
      <c r="F75" s="100">
        <f>IFERROR(VLOOKUP(A75,PAC!$A$2:$V$5011,14,0),"")</f>
        <v>29885.59</v>
      </c>
      <c r="G75" s="100" t="str">
        <f>IFERROR(VLOOKUP(A75,PAC!$A$2:$V$5011,19,0),"")</f>
        <v>PRORROGAÇÃO</v>
      </c>
      <c r="H75" s="111" t="s">
        <v>22</v>
      </c>
      <c r="I75" s="111" t="s">
        <v>22</v>
      </c>
      <c r="J75" s="110">
        <f>SUMIF(PAC!$A$2:$A$5011,A75,PAC!$W$2:$W$5011)</f>
        <v>1</v>
      </c>
      <c r="K75" s="110" t="str">
        <f t="shared" si="34"/>
        <v>0</v>
      </c>
      <c r="L75" s="102" t="str">
        <f t="shared" si="35"/>
        <v>0</v>
      </c>
      <c r="M75" s="102" t="str">
        <f t="shared" si="36"/>
        <v>0</v>
      </c>
      <c r="N75" s="102" t="str">
        <f t="shared" si="37"/>
        <v>0</v>
      </c>
      <c r="O75" s="102" t="str">
        <f t="shared" si="31"/>
        <v>0</v>
      </c>
      <c r="P75" s="102" t="str">
        <f t="shared" si="38"/>
        <v>0</v>
      </c>
      <c r="Q75" s="102" t="str">
        <f t="shared" si="39"/>
        <v>0</v>
      </c>
      <c r="R75" s="102" t="str">
        <f t="shared" si="40"/>
        <v>0</v>
      </c>
      <c r="S75" s="102">
        <f t="shared" si="32"/>
        <v>60</v>
      </c>
      <c r="T75" s="102" t="str">
        <f t="shared" si="41"/>
        <v>0</v>
      </c>
      <c r="U75" s="102">
        <f t="shared" si="33"/>
        <v>18</v>
      </c>
      <c r="V75" s="102">
        <f t="shared" si="42"/>
        <v>78</v>
      </c>
      <c r="W75" s="103" t="str">
        <f t="shared" si="43"/>
        <v>---</v>
      </c>
      <c r="X75" s="103" t="str">
        <f t="shared" si="44"/>
        <v>---</v>
      </c>
      <c r="Y75" s="103" t="str">
        <f t="shared" si="45"/>
        <v>---</v>
      </c>
      <c r="Z75" s="103" t="str">
        <f t="shared" si="46"/>
        <v>---</v>
      </c>
      <c r="AA75" s="103" t="str">
        <f t="shared" si="47"/>
        <v>---</v>
      </c>
      <c r="AB75" s="103">
        <f t="shared" si="48"/>
        <v>45511</v>
      </c>
      <c r="AC75" s="103">
        <f t="shared" si="49"/>
        <v>45571</v>
      </c>
    </row>
    <row r="76" spans="1:29" ht="96">
      <c r="A76" s="90" t="s">
        <v>339</v>
      </c>
      <c r="B76" s="89" t="str">
        <f>IFERROR(VLOOKUP(A76,PAC!$A$2:$V$5011,2,0),"")</f>
        <v>Prorrogação do contrato nº 22/2022 (16595170) - Contratação de empresa especializada para prestação de serviços de mensageria motorizada, com fornecimento de material e equipamentos, na sede da Seção Judiciária do Pará, conforme Anexo I do Edital de licitação do Pregão Eletrônico nº 14/2022.</v>
      </c>
      <c r="C76" s="90" t="s">
        <v>1191</v>
      </c>
      <c r="D76" s="98">
        <f>IFERROR(VLOOKUP(A76,PAC!$A$2:$V$5011,16,0),"")</f>
        <v>45561</v>
      </c>
      <c r="E76" s="99" t="str">
        <f>VLOOKUP(A76,PAC!$A$2:$V$5011,17,0)</f>
        <v>30 DIAS</v>
      </c>
      <c r="F76" s="100">
        <f>IFERROR(VLOOKUP(A76,PAC!$A$2:$V$5011,14,0),"")</f>
        <v>80400</v>
      </c>
      <c r="G76" s="100" t="str">
        <f>IFERROR(VLOOKUP(A76,PAC!$A$2:$V$5011,19,0),"")</f>
        <v>PRORROGAÇÃO</v>
      </c>
      <c r="H76" s="111" t="s">
        <v>22</v>
      </c>
      <c r="I76" s="111" t="s">
        <v>22</v>
      </c>
      <c r="J76" s="110">
        <f>SUMIF(PAC!$A$2:$A$5011,A76,PAC!$W$2:$W$5011)</f>
        <v>1</v>
      </c>
      <c r="K76" s="110" t="str">
        <f t="shared" si="34"/>
        <v>0</v>
      </c>
      <c r="L76" s="102" t="str">
        <f t="shared" si="35"/>
        <v>0</v>
      </c>
      <c r="M76" s="102" t="str">
        <f t="shared" si="36"/>
        <v>0</v>
      </c>
      <c r="N76" s="102" t="str">
        <f t="shared" si="37"/>
        <v>0</v>
      </c>
      <c r="O76" s="102" t="str">
        <f t="shared" si="31"/>
        <v>0</v>
      </c>
      <c r="P76" s="102" t="str">
        <f t="shared" si="38"/>
        <v>0</v>
      </c>
      <c r="Q76" s="102" t="str">
        <f t="shared" si="39"/>
        <v>0</v>
      </c>
      <c r="R76" s="102" t="str">
        <f t="shared" si="40"/>
        <v>0</v>
      </c>
      <c r="S76" s="102">
        <f t="shared" si="32"/>
        <v>60</v>
      </c>
      <c r="T76" s="102" t="str">
        <f t="shared" si="41"/>
        <v>0</v>
      </c>
      <c r="U76" s="102">
        <f t="shared" si="33"/>
        <v>18</v>
      </c>
      <c r="V76" s="102">
        <f t="shared" si="42"/>
        <v>78</v>
      </c>
      <c r="W76" s="103" t="str">
        <f t="shared" si="43"/>
        <v>---</v>
      </c>
      <c r="X76" s="103" t="str">
        <f t="shared" si="44"/>
        <v>---</v>
      </c>
      <c r="Y76" s="103" t="str">
        <f t="shared" si="45"/>
        <v>---</v>
      </c>
      <c r="Z76" s="103" t="str">
        <f t="shared" si="46"/>
        <v>---</v>
      </c>
      <c r="AA76" s="103" t="str">
        <f t="shared" si="47"/>
        <v>---</v>
      </c>
      <c r="AB76" s="103">
        <f t="shared" si="48"/>
        <v>45483</v>
      </c>
      <c r="AC76" s="103">
        <f t="shared" si="49"/>
        <v>45543</v>
      </c>
    </row>
    <row r="77" spans="1:29" ht="84">
      <c r="A77" s="90" t="s">
        <v>343</v>
      </c>
      <c r="B77" s="89" t="str">
        <f>IFERROR(VLOOKUP(A77,PAC!$A$2:$V$5011,2,0),"")</f>
        <v>Contratação de empresa para a prestação de serviços de Apoio Administrativo (Encarregado Geral, Auxiliar de Escritório, Recepcionista, Almoxarife, Assistente de Almoxarife, Copeiro e Ascensorista), na sede da Seção Judiciária do Pará e nas Subseções Judiciárias.</v>
      </c>
      <c r="C77" s="90" t="s">
        <v>1192</v>
      </c>
      <c r="D77" s="98">
        <f>IFERROR(VLOOKUP(A77,PAC!$A$2:$V$5011,16,0),"")</f>
        <v>45514</v>
      </c>
      <c r="E77" s="99" t="str">
        <f>VLOOKUP(A77,PAC!$A$2:$V$5011,17,0)</f>
        <v>90 DIAS</v>
      </c>
      <c r="F77" s="100">
        <f>IFERROR(VLOOKUP(A77,PAC!$A$2:$V$5011,14,0),"")</f>
        <v>2696379.24</v>
      </c>
      <c r="G77" s="100" t="str">
        <f>IFERROR(VLOOKUP(A77,PAC!$A$2:$V$5011,19,0),"")</f>
        <v>LICITAÇÃO</v>
      </c>
      <c r="H77" s="111" t="s">
        <v>22</v>
      </c>
      <c r="I77" s="111" t="s">
        <v>22</v>
      </c>
      <c r="J77" s="110">
        <f>SUMIF(PAC!$A$2:$A$5011,A77,PAC!$W$2:$W$5011)</f>
        <v>1</v>
      </c>
      <c r="K77" s="110">
        <f t="shared" si="34"/>
        <v>15</v>
      </c>
      <c r="L77" s="102">
        <f t="shared" si="35"/>
        <v>10</v>
      </c>
      <c r="M77" s="102">
        <f t="shared" si="36"/>
        <v>20</v>
      </c>
      <c r="N77" s="102">
        <f t="shared" si="37"/>
        <v>15</v>
      </c>
      <c r="O77" s="102">
        <f t="shared" si="31"/>
        <v>25</v>
      </c>
      <c r="P77" s="102" t="str">
        <f t="shared" si="38"/>
        <v>0</v>
      </c>
      <c r="Q77" s="102" t="str">
        <f t="shared" si="39"/>
        <v>0</v>
      </c>
      <c r="R77" s="102" t="str">
        <f t="shared" si="40"/>
        <v>0</v>
      </c>
      <c r="S77" s="102" t="str">
        <f t="shared" si="32"/>
        <v>0</v>
      </c>
      <c r="T77" s="102">
        <f t="shared" si="41"/>
        <v>3</v>
      </c>
      <c r="U77" s="102">
        <f t="shared" si="33"/>
        <v>18</v>
      </c>
      <c r="V77" s="102">
        <f t="shared" si="42"/>
        <v>106</v>
      </c>
      <c r="W77" s="103">
        <f t="shared" si="43"/>
        <v>45408</v>
      </c>
      <c r="X77" s="103">
        <f t="shared" si="44"/>
        <v>45433</v>
      </c>
      <c r="Y77" s="103">
        <f t="shared" si="45"/>
        <v>45453</v>
      </c>
      <c r="Z77" s="103">
        <f t="shared" si="46"/>
        <v>45468</v>
      </c>
      <c r="AA77" s="103">
        <f t="shared" si="47"/>
        <v>45493</v>
      </c>
      <c r="AB77" s="103" t="str">
        <f t="shared" si="48"/>
        <v>---</v>
      </c>
      <c r="AC77" s="103">
        <f t="shared" si="49"/>
        <v>45496</v>
      </c>
    </row>
    <row r="78" spans="1:29" ht="24">
      <c r="A78" s="88" t="s">
        <v>345</v>
      </c>
      <c r="B78" s="89" t="str">
        <f>IFERROR(VLOOKUP(A78,PAC!$A$2:$V$5011,2,0),"")</f>
        <v>Reforma “retrofit” da fachada do edifício sede SJPA</v>
      </c>
      <c r="C78" s="90" t="s">
        <v>1193</v>
      </c>
      <c r="D78" s="98">
        <f>IFERROR(VLOOKUP(A78,PAC!$A$2:$V$5011,16,0),"")</f>
        <v>45440</v>
      </c>
      <c r="E78" s="99" t="str">
        <f>VLOOKUP(A78,PAC!$A$2:$V$5011,17,0)</f>
        <v>90 DIAS</v>
      </c>
      <c r="F78" s="100">
        <f>IFERROR(VLOOKUP(A78,PAC!$A$2:$V$5011,14,0),"")</f>
        <v>7185082.7699999996</v>
      </c>
      <c r="G78" s="100" t="str">
        <f>IFERROR(VLOOKUP(A78,PAC!$A$2:$V$5011,19,0),"")</f>
        <v>LICITAÇÃO</v>
      </c>
      <c r="H78" s="111" t="s">
        <v>22</v>
      </c>
      <c r="I78" s="111" t="s">
        <v>22</v>
      </c>
      <c r="J78" s="110">
        <f>SUMIF(PAC!$A$2:$A$5011,A78,PAC!$W$2:$W$5011)</f>
        <v>1</v>
      </c>
      <c r="K78" s="110">
        <f t="shared" si="34"/>
        <v>15</v>
      </c>
      <c r="L78" s="102">
        <f t="shared" si="35"/>
        <v>10</v>
      </c>
      <c r="M78" s="102">
        <f t="shared" si="36"/>
        <v>20</v>
      </c>
      <c r="N78" s="102">
        <f t="shared" si="37"/>
        <v>15</v>
      </c>
      <c r="O78" s="102">
        <f t="shared" si="31"/>
        <v>25</v>
      </c>
      <c r="P78" s="102" t="str">
        <f t="shared" si="38"/>
        <v>0</v>
      </c>
      <c r="Q78" s="102" t="str">
        <f t="shared" si="39"/>
        <v>0</v>
      </c>
      <c r="R78" s="102" t="str">
        <f t="shared" si="40"/>
        <v>0</v>
      </c>
      <c r="S78" s="102" t="str">
        <f t="shared" si="32"/>
        <v>0</v>
      </c>
      <c r="T78" s="102">
        <f t="shared" si="41"/>
        <v>3</v>
      </c>
      <c r="U78" s="102">
        <f t="shared" si="33"/>
        <v>18</v>
      </c>
      <c r="V78" s="102">
        <f t="shared" si="42"/>
        <v>106</v>
      </c>
      <c r="W78" s="103">
        <f t="shared" si="43"/>
        <v>45334</v>
      </c>
      <c r="X78" s="103">
        <f t="shared" si="44"/>
        <v>45359</v>
      </c>
      <c r="Y78" s="103">
        <f t="shared" si="45"/>
        <v>45379</v>
      </c>
      <c r="Z78" s="103">
        <f t="shared" si="46"/>
        <v>45394</v>
      </c>
      <c r="AA78" s="103">
        <f t="shared" si="47"/>
        <v>45419</v>
      </c>
      <c r="AB78" s="103" t="str">
        <f t="shared" si="48"/>
        <v>---</v>
      </c>
      <c r="AC78" s="103">
        <f t="shared" si="49"/>
        <v>45422</v>
      </c>
    </row>
    <row r="79" spans="1:29" ht="24">
      <c r="A79" s="88" t="s">
        <v>350</v>
      </c>
      <c r="B79" s="89" t="str">
        <f>IFERROR(VLOOKUP(A79,PAC!$A$2:$V$5011,2,0),"")</f>
        <v>Manutenção predial preventiva e corretiva do edifício sede SJPA e anexos.</v>
      </c>
      <c r="C79" s="90" t="s">
        <v>1193</v>
      </c>
      <c r="D79" s="98">
        <f>IFERROR(VLOOKUP(A79,PAC!$A$2:$V$5011,16,0),"")</f>
        <v>45292</v>
      </c>
      <c r="E79" s="99" t="str">
        <f>VLOOKUP(A79,PAC!$A$2:$V$5011,17,0)</f>
        <v>30 DIAS</v>
      </c>
      <c r="F79" s="100">
        <f>IFERROR(VLOOKUP(A79,PAC!$A$2:$V$5011,14,0),"")</f>
        <v>430050.96</v>
      </c>
      <c r="G79" s="100" t="str">
        <f>IFERROR(VLOOKUP(A79,PAC!$A$2:$V$5011,19,0),"")</f>
        <v>PRORROGAÇÃO</v>
      </c>
      <c r="H79" s="111" t="s">
        <v>22</v>
      </c>
      <c r="I79" s="111" t="s">
        <v>22</v>
      </c>
      <c r="J79" s="110">
        <f>SUMIF(PAC!$A$2:$A$5011,A79,PAC!$W$2:$W$5011)</f>
        <v>1</v>
      </c>
      <c r="K79" s="110" t="str">
        <f t="shared" si="34"/>
        <v>0</v>
      </c>
      <c r="L79" s="102" t="str">
        <f t="shared" si="35"/>
        <v>0</v>
      </c>
      <c r="M79" s="102" t="str">
        <f t="shared" si="36"/>
        <v>0</v>
      </c>
      <c r="N79" s="102" t="str">
        <f t="shared" si="37"/>
        <v>0</v>
      </c>
      <c r="O79" s="102" t="str">
        <f t="shared" si="31"/>
        <v>0</v>
      </c>
      <c r="P79" s="102" t="str">
        <f t="shared" si="38"/>
        <v>0</v>
      </c>
      <c r="Q79" s="102" t="str">
        <f t="shared" si="39"/>
        <v>0</v>
      </c>
      <c r="R79" s="102" t="str">
        <f t="shared" si="40"/>
        <v>0</v>
      </c>
      <c r="S79" s="102">
        <f t="shared" si="32"/>
        <v>60</v>
      </c>
      <c r="T79" s="102" t="str">
        <f t="shared" si="41"/>
        <v>0</v>
      </c>
      <c r="U79" s="102">
        <f t="shared" si="33"/>
        <v>18</v>
      </c>
      <c r="V79" s="102">
        <f t="shared" si="42"/>
        <v>78</v>
      </c>
      <c r="W79" s="103" t="str">
        <f t="shared" si="43"/>
        <v>---</v>
      </c>
      <c r="X79" s="103" t="str">
        <f t="shared" si="44"/>
        <v>---</v>
      </c>
      <c r="Y79" s="103" t="str">
        <f t="shared" si="45"/>
        <v>---</v>
      </c>
      <c r="Z79" s="103" t="str">
        <f t="shared" si="46"/>
        <v>---</v>
      </c>
      <c r="AA79" s="103" t="str">
        <f t="shared" si="47"/>
        <v>---</v>
      </c>
      <c r="AB79" s="103">
        <f t="shared" si="48"/>
        <v>45214</v>
      </c>
      <c r="AC79" s="103">
        <f t="shared" si="49"/>
        <v>45274</v>
      </c>
    </row>
    <row r="80" spans="1:29" ht="24">
      <c r="A80" s="88" t="s">
        <v>356</v>
      </c>
      <c r="B80" s="89" t="str">
        <f>IFERROR(VLOOKUP(A80,PAC!$A$2:$V$5011,2,0),"")</f>
        <v>Execução de pontos de rede lógica do edifício sede SJPA.</v>
      </c>
      <c r="C80" s="90" t="s">
        <v>1193</v>
      </c>
      <c r="D80" s="98">
        <f>IFERROR(VLOOKUP(A80,PAC!$A$2:$V$5011,16,0),"")</f>
        <v>45440</v>
      </c>
      <c r="E80" s="99" t="str">
        <f>VLOOKUP(A80,PAC!$A$2:$V$5011,17,0)</f>
        <v>90 DIAS</v>
      </c>
      <c r="F80" s="100">
        <f>IFERROR(VLOOKUP(A80,PAC!$A$2:$V$5011,14,0),"")</f>
        <v>684000</v>
      </c>
      <c r="G80" s="100" t="s">
        <v>310</v>
      </c>
      <c r="H80" s="111" t="s">
        <v>1180</v>
      </c>
      <c r="I80" s="111" t="s">
        <v>22</v>
      </c>
      <c r="J80" s="110">
        <f>SUMIF(PAC!$A$2:$A$5011,A80,PAC!$W$2:$W$5011)</f>
        <v>1</v>
      </c>
      <c r="K80" s="110">
        <f t="shared" si="34"/>
        <v>15</v>
      </c>
      <c r="L80" s="102">
        <f t="shared" si="35"/>
        <v>10</v>
      </c>
      <c r="M80" s="102">
        <f t="shared" si="36"/>
        <v>40</v>
      </c>
      <c r="N80" s="102">
        <f t="shared" si="37"/>
        <v>25</v>
      </c>
      <c r="O80" s="102">
        <f t="shared" si="31"/>
        <v>25</v>
      </c>
      <c r="P80" s="102" t="str">
        <f t="shared" si="38"/>
        <v>0</v>
      </c>
      <c r="Q80" s="102" t="str">
        <f t="shared" si="39"/>
        <v>0</v>
      </c>
      <c r="R80" s="102" t="str">
        <f t="shared" si="40"/>
        <v>0</v>
      </c>
      <c r="S80" s="102" t="str">
        <f t="shared" si="32"/>
        <v>0</v>
      </c>
      <c r="T80" s="102">
        <f t="shared" si="41"/>
        <v>5</v>
      </c>
      <c r="U80" s="102">
        <f t="shared" si="33"/>
        <v>18</v>
      </c>
      <c r="V80" s="102">
        <f t="shared" si="42"/>
        <v>138</v>
      </c>
      <c r="W80" s="103">
        <f t="shared" si="43"/>
        <v>45302</v>
      </c>
      <c r="X80" s="103">
        <f t="shared" si="44"/>
        <v>45327</v>
      </c>
      <c r="Y80" s="103">
        <f t="shared" si="45"/>
        <v>45367</v>
      </c>
      <c r="Z80" s="103">
        <f t="shared" si="46"/>
        <v>45392</v>
      </c>
      <c r="AA80" s="103">
        <f t="shared" si="47"/>
        <v>45417</v>
      </c>
      <c r="AB80" s="103" t="str">
        <f t="shared" si="48"/>
        <v>---</v>
      </c>
      <c r="AC80" s="103">
        <f t="shared" si="49"/>
        <v>45422</v>
      </c>
    </row>
    <row r="81" spans="1:29" ht="24">
      <c r="A81" s="88" t="s">
        <v>364</v>
      </c>
      <c r="B81" s="89" t="str">
        <f>IFERROR(VLOOKUP(A81,PAC!$A$2:$V$5011,2,0),"")</f>
        <v>Aquisição de equipamentos para cabeamento estruturado</v>
      </c>
      <c r="C81" s="90" t="s">
        <v>1193</v>
      </c>
      <c r="D81" s="98">
        <f>IFERROR(VLOOKUP(A81,PAC!$A$2:$V$5011,16,0),"")</f>
        <v>45657</v>
      </c>
      <c r="E81" s="99" t="str">
        <f>VLOOKUP(A81,PAC!$A$2:$V$5011,17,0)</f>
        <v>90 DIAS</v>
      </c>
      <c r="F81" s="100">
        <f>IFERROR(VLOOKUP(A81,PAC!$A$2:$V$5011,14,0),"")</f>
        <v>250000</v>
      </c>
      <c r="G81" s="100" t="str">
        <f>IFERROR(VLOOKUP(A81,PAC!$A$2:$V$5011,19,0),"")</f>
        <v>LICITAÇÃO</v>
      </c>
      <c r="H81" s="111" t="s">
        <v>1180</v>
      </c>
      <c r="I81" s="111" t="s">
        <v>22</v>
      </c>
      <c r="J81" s="110">
        <f>SUMIF(PAC!$A$2:$A$5011,A81,PAC!$W$2:$W$5011)</f>
        <v>1</v>
      </c>
      <c r="K81" s="110">
        <f t="shared" si="34"/>
        <v>15</v>
      </c>
      <c r="L81" s="102">
        <f t="shared" si="35"/>
        <v>10</v>
      </c>
      <c r="M81" s="102">
        <f t="shared" si="36"/>
        <v>40</v>
      </c>
      <c r="N81" s="102">
        <f t="shared" si="37"/>
        <v>25</v>
      </c>
      <c r="O81" s="102">
        <f t="shared" si="31"/>
        <v>25</v>
      </c>
      <c r="P81" s="102" t="str">
        <f t="shared" si="38"/>
        <v>0</v>
      </c>
      <c r="Q81" s="102" t="str">
        <f t="shared" si="39"/>
        <v>0</v>
      </c>
      <c r="R81" s="102" t="str">
        <f t="shared" si="40"/>
        <v>0</v>
      </c>
      <c r="S81" s="102" t="str">
        <f t="shared" si="32"/>
        <v>0</v>
      </c>
      <c r="T81" s="102">
        <f t="shared" si="41"/>
        <v>5</v>
      </c>
      <c r="U81" s="102">
        <f t="shared" si="33"/>
        <v>18</v>
      </c>
      <c r="V81" s="102">
        <f t="shared" si="42"/>
        <v>138</v>
      </c>
      <c r="W81" s="103">
        <f t="shared" si="43"/>
        <v>45519</v>
      </c>
      <c r="X81" s="103">
        <f t="shared" si="44"/>
        <v>45544</v>
      </c>
      <c r="Y81" s="103">
        <f t="shared" si="45"/>
        <v>45584</v>
      </c>
      <c r="Z81" s="103">
        <f t="shared" si="46"/>
        <v>45609</v>
      </c>
      <c r="AA81" s="103">
        <f t="shared" si="47"/>
        <v>45634</v>
      </c>
      <c r="AB81" s="103" t="str">
        <f t="shared" si="48"/>
        <v>---</v>
      </c>
      <c r="AC81" s="103">
        <f t="shared" si="49"/>
        <v>45639</v>
      </c>
    </row>
    <row r="82" spans="1:29" ht="36">
      <c r="A82" s="88" t="s">
        <v>370</v>
      </c>
      <c r="B82" s="89" t="str">
        <f>IFERROR(VLOOKUP(A82,PAC!$A$2:$V$5011,2,0),"")</f>
        <v>Contratação de serviço para levantamento e compatibilização dos projetos completos em plataforma BIM da SJPA</v>
      </c>
      <c r="C82" s="90" t="s">
        <v>1193</v>
      </c>
      <c r="D82" s="98">
        <f>IFERROR(VLOOKUP(A82,PAC!$A$2:$V$5011,16,0),"")</f>
        <v>45442</v>
      </c>
      <c r="E82" s="99" t="str">
        <f>VLOOKUP(A82,PAC!$A$2:$V$5011,17,0)</f>
        <v>90 DIAS</v>
      </c>
      <c r="F82" s="100">
        <f>IFERROR(VLOOKUP(A82,PAC!$A$2:$V$5011,14,0),"")</f>
        <v>250000</v>
      </c>
      <c r="G82" s="100" t="str">
        <f>IFERROR(VLOOKUP(A82,PAC!$A$2:$V$5011,19,0),"")</f>
        <v>LICITAÇÃO</v>
      </c>
      <c r="H82" s="111" t="s">
        <v>1180</v>
      </c>
      <c r="I82" s="111" t="s">
        <v>22</v>
      </c>
      <c r="J82" s="110">
        <f>SUMIF(PAC!$A$2:$A$5011,A82,PAC!$W$2:$W$5011)</f>
        <v>1</v>
      </c>
      <c r="K82" s="110">
        <f t="shared" si="34"/>
        <v>15</v>
      </c>
      <c r="L82" s="102">
        <f t="shared" si="35"/>
        <v>10</v>
      </c>
      <c r="M82" s="102">
        <f t="shared" si="36"/>
        <v>40</v>
      </c>
      <c r="N82" s="102">
        <f t="shared" si="37"/>
        <v>25</v>
      </c>
      <c r="O82" s="102">
        <f t="shared" si="31"/>
        <v>25</v>
      </c>
      <c r="P82" s="102" t="str">
        <f t="shared" si="38"/>
        <v>0</v>
      </c>
      <c r="Q82" s="102" t="str">
        <f t="shared" si="39"/>
        <v>0</v>
      </c>
      <c r="R82" s="102" t="str">
        <f t="shared" si="40"/>
        <v>0</v>
      </c>
      <c r="S82" s="102" t="str">
        <f t="shared" si="32"/>
        <v>0</v>
      </c>
      <c r="T82" s="102">
        <f t="shared" si="41"/>
        <v>5</v>
      </c>
      <c r="U82" s="102">
        <f t="shared" si="33"/>
        <v>18</v>
      </c>
      <c r="V82" s="102">
        <f t="shared" si="42"/>
        <v>138</v>
      </c>
      <c r="W82" s="103">
        <f t="shared" si="43"/>
        <v>45304</v>
      </c>
      <c r="X82" s="103">
        <f t="shared" si="44"/>
        <v>45329</v>
      </c>
      <c r="Y82" s="103">
        <f t="shared" si="45"/>
        <v>45369</v>
      </c>
      <c r="Z82" s="103">
        <f t="shared" si="46"/>
        <v>45394</v>
      </c>
      <c r="AA82" s="103">
        <f t="shared" si="47"/>
        <v>45419</v>
      </c>
      <c r="AB82" s="103" t="str">
        <f t="shared" si="48"/>
        <v>---</v>
      </c>
      <c r="AC82" s="103">
        <f t="shared" si="49"/>
        <v>45424</v>
      </c>
    </row>
    <row r="83" spans="1:29" ht="24">
      <c r="A83" s="88" t="s">
        <v>376</v>
      </c>
      <c r="B83" s="89" t="str">
        <f>IFERROR(VLOOKUP(A83,PAC!$A$2:$V$5011,2,0),"")</f>
        <v>Aquisição de licença anual de softwares de orçamentos de obras.</v>
      </c>
      <c r="C83" s="90" t="s">
        <v>1193</v>
      </c>
      <c r="D83" s="98">
        <f>IFERROR(VLOOKUP(A83,PAC!$A$2:$V$5011,16,0),"")</f>
        <v>45636</v>
      </c>
      <c r="E83" s="99" t="str">
        <f>VLOOKUP(A83,PAC!$A$2:$V$5011,17,0)</f>
        <v>30 DIAS</v>
      </c>
      <c r="F83" s="100">
        <f>IFERROR(VLOOKUP(A83,PAC!$A$2:$V$5011,14,0),"")</f>
        <v>25000</v>
      </c>
      <c r="G83" s="100" t="str">
        <f>IFERROR(VLOOKUP(A83,PAC!$A$2:$V$5011,19,0),"")</f>
        <v>DISPENSA</v>
      </c>
      <c r="H83" s="111" t="s">
        <v>1180</v>
      </c>
      <c r="I83" s="111" t="s">
        <v>22</v>
      </c>
      <c r="J83" s="110">
        <f>SUMIF(PAC!$A$2:$A$5011,A83,PAC!$W$2:$W$5011)</f>
        <v>1</v>
      </c>
      <c r="K83" s="110">
        <f t="shared" si="34"/>
        <v>15</v>
      </c>
      <c r="L83" s="102">
        <f t="shared" si="35"/>
        <v>10</v>
      </c>
      <c r="M83" s="102" t="str">
        <f t="shared" si="36"/>
        <v>0</v>
      </c>
      <c r="N83" s="102" t="str">
        <f t="shared" si="37"/>
        <v>0</v>
      </c>
      <c r="O83" s="102" t="str">
        <f t="shared" si="31"/>
        <v>0</v>
      </c>
      <c r="P83" s="102">
        <f t="shared" si="38"/>
        <v>35</v>
      </c>
      <c r="Q83" s="102">
        <f t="shared" si="39"/>
        <v>3</v>
      </c>
      <c r="R83" s="102">
        <f t="shared" si="40"/>
        <v>3</v>
      </c>
      <c r="S83" s="102" t="str">
        <f t="shared" si="32"/>
        <v>0</v>
      </c>
      <c r="T83" s="102">
        <f t="shared" si="41"/>
        <v>5</v>
      </c>
      <c r="U83" s="102">
        <f t="shared" si="33"/>
        <v>18</v>
      </c>
      <c r="V83" s="102">
        <f t="shared" si="42"/>
        <v>89</v>
      </c>
      <c r="W83" s="103">
        <f t="shared" si="43"/>
        <v>45547</v>
      </c>
      <c r="X83" s="103">
        <f t="shared" si="44"/>
        <v>45572</v>
      </c>
      <c r="Y83" s="103">
        <f t="shared" si="45"/>
        <v>45607</v>
      </c>
      <c r="Z83" s="103">
        <f t="shared" si="46"/>
        <v>45610</v>
      </c>
      <c r="AA83" s="103">
        <f t="shared" si="47"/>
        <v>45613</v>
      </c>
      <c r="AB83" s="103" t="str">
        <f t="shared" si="48"/>
        <v>---</v>
      </c>
      <c r="AC83" s="103">
        <f t="shared" si="49"/>
        <v>45618</v>
      </c>
    </row>
    <row r="84" spans="1:29" ht="36">
      <c r="A84" s="88" t="s">
        <v>384</v>
      </c>
      <c r="B84" s="89" t="str">
        <f>IFERROR(VLOOKUP(A84,PAC!$A$2:$V$5011,2,0),"")</f>
        <v>Contratação de manutenção preventiva duas vezes por ano dos Grupos Geradores das Subseções.</v>
      </c>
      <c r="C84" s="90" t="s">
        <v>1193</v>
      </c>
      <c r="D84" s="98">
        <f>IFERROR(VLOOKUP(A84,PAC!$A$2:$V$5011,16,0),"")</f>
        <v>45636</v>
      </c>
      <c r="E84" s="99" t="str">
        <f>VLOOKUP(A84,PAC!$A$2:$V$5011,17,0)</f>
        <v>90 DIAS</v>
      </c>
      <c r="F84" s="100">
        <f>IFERROR(VLOOKUP(A84,PAC!$A$2:$V$5011,14,0),"")</f>
        <v>70000</v>
      </c>
      <c r="G84" s="100" t="str">
        <f>IFERROR(VLOOKUP(A84,PAC!$A$2:$V$5011,19,0),"")</f>
        <v>LICITAÇÃO</v>
      </c>
      <c r="H84" s="111" t="s">
        <v>22</v>
      </c>
      <c r="I84" s="111" t="s">
        <v>22</v>
      </c>
      <c r="J84" s="110">
        <f>SUMIF(PAC!$A$2:$A$5011,A84,PAC!$W$2:$W$5011)</f>
        <v>1</v>
      </c>
      <c r="K84" s="110">
        <f t="shared" si="34"/>
        <v>15</v>
      </c>
      <c r="L84" s="102">
        <f t="shared" si="35"/>
        <v>10</v>
      </c>
      <c r="M84" s="102">
        <f t="shared" si="36"/>
        <v>20</v>
      </c>
      <c r="N84" s="102">
        <f t="shared" si="37"/>
        <v>15</v>
      </c>
      <c r="O84" s="102">
        <f t="shared" si="31"/>
        <v>25</v>
      </c>
      <c r="P84" s="102" t="str">
        <f t="shared" si="38"/>
        <v>0</v>
      </c>
      <c r="Q84" s="102" t="str">
        <f t="shared" si="39"/>
        <v>0</v>
      </c>
      <c r="R84" s="102" t="str">
        <f t="shared" si="40"/>
        <v>0</v>
      </c>
      <c r="S84" s="102" t="str">
        <f t="shared" si="32"/>
        <v>0</v>
      </c>
      <c r="T84" s="102">
        <f t="shared" si="41"/>
        <v>3</v>
      </c>
      <c r="U84" s="102">
        <f t="shared" si="33"/>
        <v>18</v>
      </c>
      <c r="V84" s="102">
        <f t="shared" si="42"/>
        <v>106</v>
      </c>
      <c r="W84" s="103">
        <f t="shared" si="43"/>
        <v>45530</v>
      </c>
      <c r="X84" s="103">
        <f t="shared" si="44"/>
        <v>45555</v>
      </c>
      <c r="Y84" s="103">
        <f t="shared" si="45"/>
        <v>45575</v>
      </c>
      <c r="Z84" s="103">
        <f t="shared" si="46"/>
        <v>45590</v>
      </c>
      <c r="AA84" s="103">
        <f t="shared" si="47"/>
        <v>45615</v>
      </c>
      <c r="AB84" s="103" t="str">
        <f t="shared" si="48"/>
        <v>---</v>
      </c>
      <c r="AC84" s="103">
        <f t="shared" si="49"/>
        <v>45618</v>
      </c>
    </row>
    <row r="85" spans="1:29" ht="24">
      <c r="A85" s="88" t="s">
        <v>390</v>
      </c>
      <c r="B85" s="89" t="str">
        <f>IFERROR(VLOOKUP(A85,PAC!$A$2:$V$5011,2,0),"")</f>
        <v>Contratação de serviços para Execução da 2ª etapa da reforma da SSJ Altamira</v>
      </c>
      <c r="C85" s="90" t="s">
        <v>1193</v>
      </c>
      <c r="D85" s="98">
        <f>IFERROR(VLOOKUP(A85,PAC!$A$2:$V$5011,16,0),"")</f>
        <v>45636</v>
      </c>
      <c r="E85" s="99" t="str">
        <f>VLOOKUP(A85,PAC!$A$2:$V$5011,17,0)</f>
        <v>90 DIAS</v>
      </c>
      <c r="F85" s="100">
        <f>IFERROR(VLOOKUP(A85,PAC!$A$2:$V$5011,14,0),"")</f>
        <v>500000</v>
      </c>
      <c r="G85" s="100" t="str">
        <f>IFERROR(VLOOKUP(A85,PAC!$A$2:$V$5011,19,0),"")</f>
        <v>LICITAÇÃO</v>
      </c>
      <c r="H85" s="111" t="s">
        <v>22</v>
      </c>
      <c r="I85" s="111" t="s">
        <v>22</v>
      </c>
      <c r="J85" s="110">
        <f>SUMIF(PAC!$A$2:$A$5011,A85,PAC!$W$2:$W$5011)</f>
        <v>1</v>
      </c>
      <c r="K85" s="110">
        <f t="shared" si="34"/>
        <v>15</v>
      </c>
      <c r="L85" s="102">
        <f t="shared" si="35"/>
        <v>10</v>
      </c>
      <c r="M85" s="102">
        <f t="shared" si="36"/>
        <v>20</v>
      </c>
      <c r="N85" s="102">
        <f t="shared" si="37"/>
        <v>15</v>
      </c>
      <c r="O85" s="102">
        <f t="shared" si="31"/>
        <v>25</v>
      </c>
      <c r="P85" s="102" t="str">
        <f t="shared" si="38"/>
        <v>0</v>
      </c>
      <c r="Q85" s="102" t="str">
        <f t="shared" si="39"/>
        <v>0</v>
      </c>
      <c r="R85" s="102" t="str">
        <f t="shared" si="40"/>
        <v>0</v>
      </c>
      <c r="S85" s="102" t="str">
        <f t="shared" si="32"/>
        <v>0</v>
      </c>
      <c r="T85" s="102">
        <f t="shared" si="41"/>
        <v>3</v>
      </c>
      <c r="U85" s="102">
        <f t="shared" si="33"/>
        <v>18</v>
      </c>
      <c r="V85" s="102">
        <f t="shared" si="42"/>
        <v>106</v>
      </c>
      <c r="W85" s="103">
        <f t="shared" si="43"/>
        <v>45530</v>
      </c>
      <c r="X85" s="103">
        <f t="shared" si="44"/>
        <v>45555</v>
      </c>
      <c r="Y85" s="103">
        <f t="shared" si="45"/>
        <v>45575</v>
      </c>
      <c r="Z85" s="103">
        <f t="shared" si="46"/>
        <v>45590</v>
      </c>
      <c r="AA85" s="103">
        <f t="shared" si="47"/>
        <v>45615</v>
      </c>
      <c r="AB85" s="103" t="str">
        <f t="shared" si="48"/>
        <v>---</v>
      </c>
      <c r="AC85" s="103">
        <f t="shared" si="49"/>
        <v>45618</v>
      </c>
    </row>
    <row r="86" spans="1:29" ht="60">
      <c r="A86" s="88" t="s">
        <v>394</v>
      </c>
      <c r="B86" s="89" t="str">
        <f>IFERROR(VLOOKUP(A86,PAC!$A$2:$V$5011,2,0),"")</f>
        <v>Recuperação e reforma do estacionamento do edifício sede SJPA; Recuperação e reforma da passarela de acesso ao edifício sede SJPA. Pintura de parte da fachada e muros do prédio sede da SJPA.</v>
      </c>
      <c r="C86" s="90" t="s">
        <v>1194</v>
      </c>
      <c r="D86" s="98">
        <f>IFERROR(VLOOKUP(A86,PAC!$A$2:$V$5011,16,0),"")</f>
        <v>45646</v>
      </c>
      <c r="E86" s="99" t="str">
        <f>VLOOKUP(A86,PAC!$A$2:$V$5011,17,0)</f>
        <v>90 DIAS</v>
      </c>
      <c r="F86" s="100">
        <f>IFERROR(VLOOKUP(A86,PAC!$A$2:$V$5011,14,0),"")</f>
        <v>191400</v>
      </c>
      <c r="G86" s="100" t="str">
        <f>IFERROR(VLOOKUP(A86,PAC!$A$2:$V$5011,19,0),"")</f>
        <v>LICITAÇÃO</v>
      </c>
      <c r="H86" s="111" t="s">
        <v>22</v>
      </c>
      <c r="I86" s="111" t="s">
        <v>22</v>
      </c>
      <c r="J86" s="110">
        <f>SUMIF(PAC!$A$2:$A$5011,A86,PAC!$W$2:$W$5011)</f>
        <v>1</v>
      </c>
      <c r="K86" s="110">
        <f t="shared" si="34"/>
        <v>15</v>
      </c>
      <c r="L86" s="102">
        <f t="shared" si="35"/>
        <v>10</v>
      </c>
      <c r="M86" s="102">
        <f t="shared" si="36"/>
        <v>20</v>
      </c>
      <c r="N86" s="102">
        <f t="shared" si="37"/>
        <v>15</v>
      </c>
      <c r="O86" s="102">
        <f t="shared" si="31"/>
        <v>25</v>
      </c>
      <c r="P86" s="102" t="str">
        <f t="shared" si="38"/>
        <v>0</v>
      </c>
      <c r="Q86" s="102" t="str">
        <f t="shared" si="39"/>
        <v>0</v>
      </c>
      <c r="R86" s="102" t="str">
        <f t="shared" si="40"/>
        <v>0</v>
      </c>
      <c r="S86" s="102" t="str">
        <f t="shared" si="32"/>
        <v>0</v>
      </c>
      <c r="T86" s="102">
        <f t="shared" si="41"/>
        <v>3</v>
      </c>
      <c r="U86" s="102">
        <f t="shared" si="33"/>
        <v>18</v>
      </c>
      <c r="V86" s="102">
        <f t="shared" si="42"/>
        <v>106</v>
      </c>
      <c r="W86" s="103">
        <f t="shared" si="43"/>
        <v>45540</v>
      </c>
      <c r="X86" s="103">
        <f t="shared" si="44"/>
        <v>45565</v>
      </c>
      <c r="Y86" s="103">
        <f t="shared" si="45"/>
        <v>45585</v>
      </c>
      <c r="Z86" s="103">
        <f t="shared" si="46"/>
        <v>45600</v>
      </c>
      <c r="AA86" s="103">
        <f t="shared" si="47"/>
        <v>45625</v>
      </c>
      <c r="AB86" s="103" t="str">
        <f t="shared" si="48"/>
        <v>---</v>
      </c>
      <c r="AC86" s="103">
        <f t="shared" si="49"/>
        <v>45628</v>
      </c>
    </row>
    <row r="87" spans="1:29" ht="24">
      <c r="A87" s="88" t="s">
        <v>400</v>
      </c>
      <c r="B87" s="89" t="str">
        <f>IFERROR(VLOOKUP(A87,PAC!$A$2:$V$5011,2,0),"")</f>
        <v>Pintura interna das paredes de vedação da SEDE BLM.</v>
      </c>
      <c r="C87" s="90" t="s">
        <v>1195</v>
      </c>
      <c r="D87" s="98">
        <f>IFERROR(VLOOKUP(A87,PAC!$A$2:$V$5011,16,0),"")</f>
        <v>45440</v>
      </c>
      <c r="E87" s="99" t="str">
        <f>VLOOKUP(A87,PAC!$A$2:$V$5011,17,0)</f>
        <v>90 DIAS</v>
      </c>
      <c r="F87" s="100">
        <f>IFERROR(VLOOKUP(A87,PAC!$A$2:$V$5011,14,0),"")</f>
        <v>255894.7</v>
      </c>
      <c r="G87" s="100" t="str">
        <f>IFERROR(VLOOKUP(A87,PAC!$A$2:$V$5011,19,0),"")</f>
        <v>LICITAÇÃO</v>
      </c>
      <c r="H87" s="111" t="s">
        <v>22</v>
      </c>
      <c r="I87" s="111" t="s">
        <v>22</v>
      </c>
      <c r="J87" s="110">
        <f>SUMIF(PAC!$A$2:$A$5011,A87,PAC!$W$2:$W$5011)</f>
        <v>1</v>
      </c>
      <c r="K87" s="110">
        <f t="shared" si="34"/>
        <v>15</v>
      </c>
      <c r="L87" s="102">
        <f t="shared" si="35"/>
        <v>10</v>
      </c>
      <c r="M87" s="102">
        <f t="shared" si="36"/>
        <v>20</v>
      </c>
      <c r="N87" s="102">
        <f t="shared" si="37"/>
        <v>15</v>
      </c>
      <c r="O87" s="102">
        <f t="shared" ref="O87:O121" si="50">IF(AND(G87="Licitação"),IF(AND(I87=""),"0",IF(AND(I87="N"),25,IF(AND(I87="S"),40))),"0")</f>
        <v>25</v>
      </c>
      <c r="P87" s="102" t="str">
        <f t="shared" si="38"/>
        <v>0</v>
      </c>
      <c r="Q87" s="102" t="str">
        <f t="shared" si="39"/>
        <v>0</v>
      </c>
      <c r="R87" s="102" t="str">
        <f t="shared" si="40"/>
        <v>0</v>
      </c>
      <c r="S87" s="102" t="str">
        <f t="shared" ref="S87:S121" si="51">IF(OR(G87="prorrogação",G87="renovação"),60,"0")</f>
        <v>0</v>
      </c>
      <c r="T87" s="102">
        <f t="shared" si="41"/>
        <v>3</v>
      </c>
      <c r="U87" s="102">
        <f t="shared" ref="U87:U121" si="52">IF(D87&gt;44549,18,"0")</f>
        <v>18</v>
      </c>
      <c r="V87" s="102">
        <f t="shared" si="42"/>
        <v>106</v>
      </c>
      <c r="W87" s="103">
        <f t="shared" si="43"/>
        <v>45334</v>
      </c>
      <c r="X87" s="103">
        <f t="shared" si="44"/>
        <v>45359</v>
      </c>
      <c r="Y87" s="103">
        <f t="shared" si="45"/>
        <v>45379</v>
      </c>
      <c r="Z87" s="103">
        <f t="shared" si="46"/>
        <v>45394</v>
      </c>
      <c r="AA87" s="103">
        <f t="shared" si="47"/>
        <v>45419</v>
      </c>
      <c r="AB87" s="103" t="str">
        <f t="shared" si="48"/>
        <v>---</v>
      </c>
      <c r="AC87" s="103">
        <f t="shared" si="49"/>
        <v>45422</v>
      </c>
    </row>
    <row r="88" spans="1:29" ht="36">
      <c r="A88" s="88" t="s">
        <v>406</v>
      </c>
      <c r="B88" s="89" t="str">
        <f>IFERROR(VLOOKUP(A88,PAC!$A$2:$V$5011,2,0),"")</f>
        <v>Contratação de fornecimento e instalação de uma USCA - Unidade de Supervisão de Corrente Alternada.</v>
      </c>
      <c r="C88" s="90" t="s">
        <v>1196</v>
      </c>
      <c r="D88" s="98">
        <f>IFERROR(VLOOKUP(A88,PAC!$A$2:$V$5011,16,0),"")</f>
        <v>45636</v>
      </c>
      <c r="E88" s="99" t="str">
        <f>VLOOKUP(A88,PAC!$A$2:$V$5011,17,0)</f>
        <v>90 DIAS</v>
      </c>
      <c r="F88" s="100">
        <f>IFERROR(VLOOKUP(A88,PAC!$A$2:$V$5011,14,0),"")</f>
        <v>150000</v>
      </c>
      <c r="G88" s="100" t="str">
        <f>IFERROR(VLOOKUP(A88,PAC!$A$2:$V$5011,19,0),"")</f>
        <v>LICITAÇÃO</v>
      </c>
      <c r="H88" s="111" t="s">
        <v>22</v>
      </c>
      <c r="I88" s="111" t="s">
        <v>22</v>
      </c>
      <c r="J88" s="110">
        <f>SUMIF(PAC!$A$2:$A$5011,A88,PAC!$W$2:$W$5011)</f>
        <v>1</v>
      </c>
      <c r="K88" s="110">
        <f t="shared" si="34"/>
        <v>15</v>
      </c>
      <c r="L88" s="102">
        <f t="shared" si="35"/>
        <v>10</v>
      </c>
      <c r="M88" s="102">
        <f t="shared" si="36"/>
        <v>20</v>
      </c>
      <c r="N88" s="102">
        <f t="shared" si="37"/>
        <v>15</v>
      </c>
      <c r="O88" s="102">
        <f t="shared" si="50"/>
        <v>25</v>
      </c>
      <c r="P88" s="102" t="str">
        <f t="shared" si="38"/>
        <v>0</v>
      </c>
      <c r="Q88" s="102" t="str">
        <f t="shared" si="39"/>
        <v>0</v>
      </c>
      <c r="R88" s="102" t="str">
        <f t="shared" si="40"/>
        <v>0</v>
      </c>
      <c r="S88" s="102" t="str">
        <f t="shared" si="51"/>
        <v>0</v>
      </c>
      <c r="T88" s="102">
        <f t="shared" si="41"/>
        <v>3</v>
      </c>
      <c r="U88" s="102">
        <f t="shared" si="52"/>
        <v>18</v>
      </c>
      <c r="V88" s="102">
        <f t="shared" si="42"/>
        <v>106</v>
      </c>
      <c r="W88" s="103">
        <f t="shared" si="43"/>
        <v>45530</v>
      </c>
      <c r="X88" s="103">
        <f t="shared" si="44"/>
        <v>45555</v>
      </c>
      <c r="Y88" s="103">
        <f t="shared" si="45"/>
        <v>45575</v>
      </c>
      <c r="Z88" s="103">
        <f t="shared" si="46"/>
        <v>45590</v>
      </c>
      <c r="AA88" s="103">
        <f t="shared" si="47"/>
        <v>45615</v>
      </c>
      <c r="AB88" s="103" t="str">
        <f t="shared" si="48"/>
        <v>---</v>
      </c>
      <c r="AC88" s="103">
        <f t="shared" si="49"/>
        <v>45618</v>
      </c>
    </row>
    <row r="89" spans="1:29" ht="36">
      <c r="A89" s="88" t="s">
        <v>411</v>
      </c>
      <c r="B89" s="89" t="str">
        <f>IFERROR(VLOOKUP(A89,PAC!$A$2:$V$5011,2,0),"")</f>
        <v>Reforma do calçamento de acesso à SSJ de Santarém, incluindo passarela de acesso ao edifício sede SJPA.</v>
      </c>
      <c r="C89" s="90" t="s">
        <v>1197</v>
      </c>
      <c r="D89" s="98">
        <f>IFERROR(VLOOKUP(A89,PAC!$A$2:$V$5011,16,0),"")</f>
        <v>45646</v>
      </c>
      <c r="E89" s="99" t="str">
        <f>VLOOKUP(A89,PAC!$A$2:$V$5011,17,0)</f>
        <v>90 DIAS</v>
      </c>
      <c r="F89" s="100">
        <f>IFERROR(VLOOKUP(A89,PAC!$A$2:$V$5011,14,0),"")</f>
        <v>125400</v>
      </c>
      <c r="G89" s="100" t="str">
        <f>IFERROR(VLOOKUP(A89,PAC!$A$2:$V$5011,19,0),"")</f>
        <v>LICITAÇÃO</v>
      </c>
      <c r="H89" s="111" t="s">
        <v>22</v>
      </c>
      <c r="I89" s="111" t="s">
        <v>22</v>
      </c>
      <c r="J89" s="110">
        <f>SUMIF(PAC!$A$2:$A$5011,A89,PAC!$W$2:$W$5011)</f>
        <v>1</v>
      </c>
      <c r="K89" s="110">
        <f t="shared" si="34"/>
        <v>15</v>
      </c>
      <c r="L89" s="102">
        <f t="shared" si="35"/>
        <v>10</v>
      </c>
      <c r="M89" s="102">
        <f t="shared" si="36"/>
        <v>20</v>
      </c>
      <c r="N89" s="102">
        <f t="shared" si="37"/>
        <v>15</v>
      </c>
      <c r="O89" s="102">
        <f t="shared" si="50"/>
        <v>25</v>
      </c>
      <c r="P89" s="102" t="str">
        <f t="shared" si="38"/>
        <v>0</v>
      </c>
      <c r="Q89" s="102" t="str">
        <f t="shared" si="39"/>
        <v>0</v>
      </c>
      <c r="R89" s="102" t="str">
        <f t="shared" si="40"/>
        <v>0</v>
      </c>
      <c r="S89" s="102" t="str">
        <f t="shared" si="51"/>
        <v>0</v>
      </c>
      <c r="T89" s="102">
        <f t="shared" si="41"/>
        <v>3</v>
      </c>
      <c r="U89" s="102">
        <f t="shared" si="52"/>
        <v>18</v>
      </c>
      <c r="V89" s="102">
        <f t="shared" si="42"/>
        <v>106</v>
      </c>
      <c r="W89" s="103">
        <f t="shared" si="43"/>
        <v>45540</v>
      </c>
      <c r="X89" s="103">
        <f t="shared" si="44"/>
        <v>45565</v>
      </c>
      <c r="Y89" s="103">
        <f t="shared" si="45"/>
        <v>45585</v>
      </c>
      <c r="Z89" s="103">
        <f t="shared" si="46"/>
        <v>45600</v>
      </c>
      <c r="AA89" s="103">
        <f t="shared" si="47"/>
        <v>45625</v>
      </c>
      <c r="AB89" s="103" t="str">
        <f t="shared" si="48"/>
        <v>---</v>
      </c>
      <c r="AC89" s="103">
        <f t="shared" si="49"/>
        <v>45628</v>
      </c>
    </row>
    <row r="90" spans="1:29" ht="132">
      <c r="A90" s="88" t="s">
        <v>413</v>
      </c>
      <c r="B90" s="89" t="str">
        <f>IFERROR(VLOOKUP(A90,PAC!$A$2:$V$5011,2,0),"")</f>
        <v>Inspeção e Manutenção Preventiva do Sistema de Reforço Estrutural do Prédio Sede BLM, compreendendo: Inspeção dos elementos de protensão, verificando integridade e condição de desgaste dos elementos, a fim de garantir que estão devidamente fixados na estrutura e realização de reparos simples elementos danificados ou desgastados, bem como ajustes de tensão para manter a estabilidade e segurança da estrutura.</v>
      </c>
      <c r="C90" s="90" t="s">
        <v>1198</v>
      </c>
      <c r="D90" s="98">
        <f>IFERROR(VLOOKUP(A90,PAC!$A$2:$V$5011,16,0),"")</f>
        <v>45440</v>
      </c>
      <c r="E90" s="99" t="str">
        <f>VLOOKUP(A90,PAC!$A$2:$V$5011,17,0)</f>
        <v>90 DIAS</v>
      </c>
      <c r="F90" s="100">
        <f>IFERROR(VLOOKUP(A90,PAC!$A$2:$V$5011,14,0),"")</f>
        <v>135000</v>
      </c>
      <c r="G90" s="100" t="str">
        <f>IFERROR(VLOOKUP(A90,PAC!$A$2:$V$5011,19,0),"")</f>
        <v>LICITAÇÃO</v>
      </c>
      <c r="H90" s="111" t="s">
        <v>22</v>
      </c>
      <c r="I90" s="111" t="s">
        <v>22</v>
      </c>
      <c r="J90" s="110">
        <f>SUMIF(PAC!$A$2:$A$5011,A90,PAC!$W$2:$W$5011)</f>
        <v>1</v>
      </c>
      <c r="K90" s="110">
        <f t="shared" si="34"/>
        <v>15</v>
      </c>
      <c r="L90" s="102">
        <f t="shared" si="35"/>
        <v>10</v>
      </c>
      <c r="M90" s="102">
        <f t="shared" si="36"/>
        <v>20</v>
      </c>
      <c r="N90" s="102">
        <f t="shared" si="37"/>
        <v>15</v>
      </c>
      <c r="O90" s="102">
        <f t="shared" si="50"/>
        <v>25</v>
      </c>
      <c r="P90" s="102" t="str">
        <f t="shared" si="38"/>
        <v>0</v>
      </c>
      <c r="Q90" s="102" t="str">
        <f t="shared" si="39"/>
        <v>0</v>
      </c>
      <c r="R90" s="102" t="str">
        <f t="shared" si="40"/>
        <v>0</v>
      </c>
      <c r="S90" s="102" t="str">
        <f t="shared" si="51"/>
        <v>0</v>
      </c>
      <c r="T90" s="102">
        <f t="shared" si="41"/>
        <v>3</v>
      </c>
      <c r="U90" s="102">
        <f t="shared" si="52"/>
        <v>18</v>
      </c>
      <c r="V90" s="102">
        <f t="shared" si="42"/>
        <v>106</v>
      </c>
      <c r="W90" s="103">
        <f t="shared" si="43"/>
        <v>45334</v>
      </c>
      <c r="X90" s="103">
        <f t="shared" si="44"/>
        <v>45359</v>
      </c>
      <c r="Y90" s="103">
        <f t="shared" si="45"/>
        <v>45379</v>
      </c>
      <c r="Z90" s="103">
        <f t="shared" si="46"/>
        <v>45394</v>
      </c>
      <c r="AA90" s="103">
        <f t="shared" si="47"/>
        <v>45419</v>
      </c>
      <c r="AB90" s="103" t="str">
        <f t="shared" si="48"/>
        <v>---</v>
      </c>
      <c r="AC90" s="103">
        <f t="shared" si="49"/>
        <v>45422</v>
      </c>
    </row>
    <row r="91" spans="1:29" ht="24">
      <c r="A91" s="88" t="s">
        <v>417</v>
      </c>
      <c r="B91" s="89" t="str">
        <f>IFERROR(VLOOKUP(A91,PAC!$A$2:$V$5011,2,0),"")</f>
        <v>Impermeabilização de coberturas em laje da Sede BLM.</v>
      </c>
      <c r="C91" s="90" t="s">
        <v>1199</v>
      </c>
      <c r="D91" s="98">
        <f>IFERROR(VLOOKUP(A91,PAC!$A$2:$V$5011,16,0),"")</f>
        <v>45636</v>
      </c>
      <c r="E91" s="99" t="str">
        <f>VLOOKUP(A91,PAC!$A$2:$V$5011,17,0)</f>
        <v>90 DIAS</v>
      </c>
      <c r="F91" s="100">
        <f>IFERROR(VLOOKUP(A91,PAC!$A$2:$V$5011,14,0),"")</f>
        <v>356048.9</v>
      </c>
      <c r="G91" s="100" t="str">
        <f>IFERROR(VLOOKUP(A91,PAC!$A$2:$V$5011,19,0),"")</f>
        <v>LICITAÇÃO</v>
      </c>
      <c r="H91" s="111" t="s">
        <v>22</v>
      </c>
      <c r="I91" s="111" t="s">
        <v>22</v>
      </c>
      <c r="J91" s="110">
        <f>SUMIF(PAC!$A$2:$A$5011,A91,PAC!$W$2:$W$5011)</f>
        <v>1</v>
      </c>
      <c r="K91" s="110">
        <f t="shared" si="34"/>
        <v>15</v>
      </c>
      <c r="L91" s="102">
        <f t="shared" si="35"/>
        <v>10</v>
      </c>
      <c r="M91" s="102">
        <f t="shared" si="36"/>
        <v>20</v>
      </c>
      <c r="N91" s="102">
        <f t="shared" si="37"/>
        <v>15</v>
      </c>
      <c r="O91" s="102">
        <f t="shared" si="50"/>
        <v>25</v>
      </c>
      <c r="P91" s="102" t="str">
        <f t="shared" si="38"/>
        <v>0</v>
      </c>
      <c r="Q91" s="102" t="str">
        <f t="shared" si="39"/>
        <v>0</v>
      </c>
      <c r="R91" s="102" t="str">
        <f t="shared" si="40"/>
        <v>0</v>
      </c>
      <c r="S91" s="102" t="str">
        <f t="shared" si="51"/>
        <v>0</v>
      </c>
      <c r="T91" s="102">
        <f t="shared" si="41"/>
        <v>3</v>
      </c>
      <c r="U91" s="102">
        <f t="shared" si="52"/>
        <v>18</v>
      </c>
      <c r="V91" s="102">
        <f t="shared" si="42"/>
        <v>106</v>
      </c>
      <c r="W91" s="103">
        <f t="shared" si="43"/>
        <v>45530</v>
      </c>
      <c r="X91" s="103">
        <f t="shared" si="44"/>
        <v>45555</v>
      </c>
      <c r="Y91" s="103">
        <f t="shared" si="45"/>
        <v>45575</v>
      </c>
      <c r="Z91" s="103">
        <f t="shared" si="46"/>
        <v>45590</v>
      </c>
      <c r="AA91" s="103">
        <f t="shared" si="47"/>
        <v>45615</v>
      </c>
      <c r="AB91" s="103" t="str">
        <f t="shared" si="48"/>
        <v>---</v>
      </c>
      <c r="AC91" s="103">
        <f t="shared" si="49"/>
        <v>45618</v>
      </c>
    </row>
    <row r="92" spans="1:29" ht="36">
      <c r="A92" s="88" t="s">
        <v>421</v>
      </c>
      <c r="B92" s="89" t="str">
        <f>IFERROR(VLOOKUP(A92,PAC!$A$2:$V$5011,2,0),"")</f>
        <v>Reforma do prédio do anexo I, localizado na Travessa Mauriti, nº 2810 Bairro Marco, Belém /PA.</v>
      </c>
      <c r="C92" s="90" t="s">
        <v>1200</v>
      </c>
      <c r="D92" s="98">
        <f>IFERROR(VLOOKUP(A92,PAC!$A$2:$V$5011,16,0),"")</f>
        <v>45440</v>
      </c>
      <c r="E92" s="99" t="str">
        <f>VLOOKUP(A92,PAC!$A$2:$V$5011,17,0)</f>
        <v>90 DIAS</v>
      </c>
      <c r="F92" s="100">
        <f>IFERROR(VLOOKUP(A92,PAC!$A$2:$V$5011,14,0),"")</f>
        <v>580000</v>
      </c>
      <c r="G92" s="100" t="str">
        <f>IFERROR(VLOOKUP(A92,PAC!$A$2:$V$5011,19,0),"")</f>
        <v>LICITAÇÃO</v>
      </c>
      <c r="H92" s="111" t="s">
        <v>22</v>
      </c>
      <c r="I92" s="111" t="s">
        <v>22</v>
      </c>
      <c r="J92" s="110">
        <f>SUMIF(PAC!$A$2:$A$5011,A92,PAC!$W$2:$W$5011)</f>
        <v>1</v>
      </c>
      <c r="K92" s="110">
        <f t="shared" si="34"/>
        <v>15</v>
      </c>
      <c r="L92" s="102">
        <f t="shared" si="35"/>
        <v>10</v>
      </c>
      <c r="M92" s="102">
        <f t="shared" si="36"/>
        <v>20</v>
      </c>
      <c r="N92" s="102">
        <f t="shared" si="37"/>
        <v>15</v>
      </c>
      <c r="O92" s="102">
        <f t="shared" si="50"/>
        <v>25</v>
      </c>
      <c r="P92" s="102" t="str">
        <f t="shared" si="38"/>
        <v>0</v>
      </c>
      <c r="Q92" s="102" t="str">
        <f t="shared" si="39"/>
        <v>0</v>
      </c>
      <c r="R92" s="102" t="str">
        <f t="shared" si="40"/>
        <v>0</v>
      </c>
      <c r="S92" s="102" t="str">
        <f t="shared" si="51"/>
        <v>0</v>
      </c>
      <c r="T92" s="102">
        <f t="shared" si="41"/>
        <v>3</v>
      </c>
      <c r="U92" s="102">
        <f t="shared" si="52"/>
        <v>18</v>
      </c>
      <c r="V92" s="102">
        <f t="shared" si="42"/>
        <v>106</v>
      </c>
      <c r="W92" s="103">
        <f t="shared" si="43"/>
        <v>45334</v>
      </c>
      <c r="X92" s="103">
        <f t="shared" si="44"/>
        <v>45359</v>
      </c>
      <c r="Y92" s="103">
        <f t="shared" si="45"/>
        <v>45379</v>
      </c>
      <c r="Z92" s="103">
        <f t="shared" si="46"/>
        <v>45394</v>
      </c>
      <c r="AA92" s="103">
        <f t="shared" si="47"/>
        <v>45419</v>
      </c>
      <c r="AB92" s="103" t="str">
        <f t="shared" si="48"/>
        <v>---</v>
      </c>
      <c r="AC92" s="103">
        <f t="shared" si="49"/>
        <v>45422</v>
      </c>
    </row>
    <row r="93" spans="1:29" ht="48">
      <c r="A93" s="88" t="s">
        <v>431</v>
      </c>
      <c r="B93" s="89" t="str">
        <f>IFERROR(VLOOKUP(A93,PAC!$A$2:$V$5011,2,0),"")</f>
        <v>Serviços de Suporte Técnico de TI para atender demanda da Capital e das oito Subseções vinculadas a esta Seção Judiciária.</v>
      </c>
      <c r="C93" s="90" t="s">
        <v>1201</v>
      </c>
      <c r="D93" s="98">
        <f>IFERROR(VLOOKUP(A93,PAC!$A$2:$V$5011,16,0),"")</f>
        <v>45292</v>
      </c>
      <c r="E93" s="99" t="str">
        <f>VLOOKUP(A93,PAC!$A$2:$V$5011,17,0)</f>
        <v>90 DIAS</v>
      </c>
      <c r="F93" s="100">
        <f>IFERROR(VLOOKUP(A93,PAC!$A$2:$V$5011,14,0),"")</f>
        <v>728760</v>
      </c>
      <c r="G93" s="100" t="s">
        <v>310</v>
      </c>
      <c r="H93" s="111" t="s">
        <v>1180</v>
      </c>
      <c r="I93" s="111" t="s">
        <v>22</v>
      </c>
      <c r="J93" s="110">
        <f>SUMIF(PAC!$A$2:$A$5011,A93,PAC!$W$2:$W$5011)</f>
        <v>1</v>
      </c>
      <c r="K93" s="110">
        <f t="shared" si="34"/>
        <v>15</v>
      </c>
      <c r="L93" s="102">
        <f t="shared" si="35"/>
        <v>10</v>
      </c>
      <c r="M93" s="102">
        <f t="shared" si="36"/>
        <v>40</v>
      </c>
      <c r="N93" s="102">
        <f t="shared" si="37"/>
        <v>25</v>
      </c>
      <c r="O93" s="102">
        <f t="shared" si="50"/>
        <v>25</v>
      </c>
      <c r="P93" s="102" t="str">
        <f t="shared" si="38"/>
        <v>0</v>
      </c>
      <c r="Q93" s="102" t="str">
        <f t="shared" si="39"/>
        <v>0</v>
      </c>
      <c r="R93" s="102" t="str">
        <f t="shared" si="40"/>
        <v>0</v>
      </c>
      <c r="S93" s="102" t="str">
        <f t="shared" si="51"/>
        <v>0</v>
      </c>
      <c r="T93" s="102">
        <f t="shared" si="41"/>
        <v>5</v>
      </c>
      <c r="U93" s="102">
        <f t="shared" si="52"/>
        <v>18</v>
      </c>
      <c r="V93" s="102">
        <f t="shared" si="42"/>
        <v>138</v>
      </c>
      <c r="W93" s="103">
        <f t="shared" si="43"/>
        <v>45154</v>
      </c>
      <c r="X93" s="103">
        <f t="shared" si="44"/>
        <v>45179</v>
      </c>
      <c r="Y93" s="103">
        <f t="shared" si="45"/>
        <v>45219</v>
      </c>
      <c r="Z93" s="103">
        <f t="shared" si="46"/>
        <v>45244</v>
      </c>
      <c r="AA93" s="103">
        <f t="shared" si="47"/>
        <v>45269</v>
      </c>
      <c r="AB93" s="103" t="str">
        <f t="shared" si="48"/>
        <v>---</v>
      </c>
      <c r="AC93" s="103">
        <f t="shared" si="49"/>
        <v>45274</v>
      </c>
    </row>
    <row r="94" spans="1:29" ht="36">
      <c r="A94" s="88" t="s">
        <v>438</v>
      </c>
      <c r="B94" s="89" t="str">
        <f>IFERROR(VLOOKUP(A94,PAC!$A$2:$V$5011,2,0),"")</f>
        <v>Links de telecomunicações entre a Sede em Belém e as oito Subseções vinculadas a esta Seção Judiciária.</v>
      </c>
      <c r="C94" s="90" t="s">
        <v>1201</v>
      </c>
      <c r="D94" s="98">
        <f>IFERROR(VLOOKUP(A94,PAC!$A$2:$V$5011,16,0),"")</f>
        <v>45292</v>
      </c>
      <c r="E94" s="99" t="str">
        <f>VLOOKUP(A94,PAC!$A$2:$V$5011,17,0)</f>
        <v>90 DIAS</v>
      </c>
      <c r="F94" s="100">
        <f>IFERROR(VLOOKUP(A94,PAC!$A$2:$V$5011,14,0),"")</f>
        <v>330385.01</v>
      </c>
      <c r="G94" s="100" t="s">
        <v>310</v>
      </c>
      <c r="H94" s="111" t="s">
        <v>1180</v>
      </c>
      <c r="I94" s="111" t="s">
        <v>22</v>
      </c>
      <c r="J94" s="110">
        <f>SUMIF(PAC!$A$2:$A$5011,A94,PAC!$W$2:$W$5011)</f>
        <v>1</v>
      </c>
      <c r="K94" s="110">
        <f t="shared" si="34"/>
        <v>15</v>
      </c>
      <c r="L94" s="102">
        <f t="shared" si="35"/>
        <v>10</v>
      </c>
      <c r="M94" s="102">
        <f t="shared" si="36"/>
        <v>40</v>
      </c>
      <c r="N94" s="102">
        <f t="shared" si="37"/>
        <v>25</v>
      </c>
      <c r="O94" s="102">
        <f t="shared" si="50"/>
        <v>25</v>
      </c>
      <c r="P94" s="102" t="str">
        <f t="shared" si="38"/>
        <v>0</v>
      </c>
      <c r="Q94" s="102" t="str">
        <f t="shared" si="39"/>
        <v>0</v>
      </c>
      <c r="R94" s="102" t="str">
        <f t="shared" si="40"/>
        <v>0</v>
      </c>
      <c r="S94" s="102" t="str">
        <f t="shared" si="51"/>
        <v>0</v>
      </c>
      <c r="T94" s="102">
        <f t="shared" si="41"/>
        <v>5</v>
      </c>
      <c r="U94" s="102">
        <f t="shared" si="52"/>
        <v>18</v>
      </c>
      <c r="V94" s="102">
        <f t="shared" si="42"/>
        <v>138</v>
      </c>
      <c r="W94" s="103">
        <f t="shared" si="43"/>
        <v>45154</v>
      </c>
      <c r="X94" s="103">
        <f t="shared" si="44"/>
        <v>45179</v>
      </c>
      <c r="Y94" s="103">
        <f t="shared" si="45"/>
        <v>45219</v>
      </c>
      <c r="Z94" s="103">
        <f t="shared" si="46"/>
        <v>45244</v>
      </c>
      <c r="AA94" s="103">
        <f t="shared" si="47"/>
        <v>45269</v>
      </c>
      <c r="AB94" s="103" t="str">
        <f t="shared" si="48"/>
        <v>---</v>
      </c>
      <c r="AC94" s="103">
        <f t="shared" si="49"/>
        <v>45274</v>
      </c>
    </row>
    <row r="95" spans="1:29" ht="48">
      <c r="A95" s="88" t="s">
        <v>444</v>
      </c>
      <c r="B95" s="89" t="str">
        <f>IFERROR(VLOOKUP(A95,PAC!$A$2:$V$5011,2,0),"")</f>
        <v>Link de Internet Corporativa para atender a demanda desta Sede em Belém e de forma compartilhada com as oito subseções judiciárias.</v>
      </c>
      <c r="C95" s="90" t="s">
        <v>1201</v>
      </c>
      <c r="D95" s="98">
        <f>IFERROR(VLOOKUP(A95,PAC!$A$2:$V$5011,16,0),"")</f>
        <v>45292</v>
      </c>
      <c r="E95" s="99" t="str">
        <f>VLOOKUP(A95,PAC!$A$2:$V$5011,17,0)</f>
        <v>90 DIAS</v>
      </c>
      <c r="F95" s="100">
        <f>IFERROR(VLOOKUP(A95,PAC!$A$2:$V$5011,14,0),"")</f>
        <v>72748.08</v>
      </c>
      <c r="G95" s="100" t="s">
        <v>310</v>
      </c>
      <c r="H95" s="111" t="s">
        <v>1180</v>
      </c>
      <c r="I95" s="111" t="s">
        <v>22</v>
      </c>
      <c r="J95" s="110">
        <f>SUMIF(PAC!$A$2:$A$5011,A95,PAC!$W$2:$W$5011)</f>
        <v>1</v>
      </c>
      <c r="K95" s="110">
        <f t="shared" si="34"/>
        <v>15</v>
      </c>
      <c r="L95" s="102">
        <f t="shared" si="35"/>
        <v>10</v>
      </c>
      <c r="M95" s="102">
        <f t="shared" si="36"/>
        <v>40</v>
      </c>
      <c r="N95" s="102">
        <f t="shared" si="37"/>
        <v>25</v>
      </c>
      <c r="O95" s="102">
        <f t="shared" si="50"/>
        <v>25</v>
      </c>
      <c r="P95" s="102" t="str">
        <f t="shared" si="38"/>
        <v>0</v>
      </c>
      <c r="Q95" s="102" t="str">
        <f t="shared" si="39"/>
        <v>0</v>
      </c>
      <c r="R95" s="102" t="str">
        <f t="shared" si="40"/>
        <v>0</v>
      </c>
      <c r="S95" s="102" t="str">
        <f t="shared" si="51"/>
        <v>0</v>
      </c>
      <c r="T95" s="102">
        <f t="shared" si="41"/>
        <v>5</v>
      </c>
      <c r="U95" s="102">
        <f t="shared" si="52"/>
        <v>18</v>
      </c>
      <c r="V95" s="102">
        <f t="shared" si="42"/>
        <v>138</v>
      </c>
      <c r="W95" s="103">
        <f t="shared" si="43"/>
        <v>45154</v>
      </c>
      <c r="X95" s="103">
        <f t="shared" si="44"/>
        <v>45179</v>
      </c>
      <c r="Y95" s="103">
        <f t="shared" si="45"/>
        <v>45219</v>
      </c>
      <c r="Z95" s="103">
        <f t="shared" si="46"/>
        <v>45244</v>
      </c>
      <c r="AA95" s="103">
        <f t="shared" si="47"/>
        <v>45269</v>
      </c>
      <c r="AB95" s="103" t="str">
        <f t="shared" si="48"/>
        <v>---</v>
      </c>
      <c r="AC95" s="103">
        <f t="shared" si="49"/>
        <v>45274</v>
      </c>
    </row>
    <row r="96" spans="1:29" ht="60">
      <c r="A96" s="88" t="s">
        <v>449</v>
      </c>
      <c r="B96" s="89" t="str">
        <f>IFERROR(VLOOKUP(A96,PAC!$A$2:$V$5011,2,0),"")</f>
        <v>Aquisição de equipamentos do tipo applicance para serem usados como firewall e implementarem, utilizando os links de internet desta capital e subseções, rede do tipo SDWAN.</v>
      </c>
      <c r="C96" s="90" t="s">
        <v>1201</v>
      </c>
      <c r="D96" s="98">
        <f>IFERROR(VLOOKUP(A96,PAC!$A$2:$V$5011,16,0),"")</f>
        <v>45292</v>
      </c>
      <c r="E96" s="99" t="str">
        <f>VLOOKUP(A96,PAC!$A$2:$V$5011,17,0)</f>
        <v>90 DIAS</v>
      </c>
      <c r="F96" s="100">
        <f>IFERROR(VLOOKUP(A96,PAC!$A$2:$V$5011,14,0),"")</f>
        <v>11188.5</v>
      </c>
      <c r="G96" s="100" t="str">
        <f>IFERROR(VLOOKUP(A96,PAC!$A$2:$V$5011,19,0),"")</f>
        <v>LICITAÇÃO</v>
      </c>
      <c r="H96" s="111" t="s">
        <v>1180</v>
      </c>
      <c r="I96" s="111" t="s">
        <v>22</v>
      </c>
      <c r="J96" s="110">
        <f>SUMIF(PAC!$A$2:$A$5011,A96,PAC!$W$2:$W$5011)</f>
        <v>1</v>
      </c>
      <c r="K96" s="110">
        <f t="shared" si="34"/>
        <v>15</v>
      </c>
      <c r="L96" s="102">
        <f t="shared" si="35"/>
        <v>10</v>
      </c>
      <c r="M96" s="102">
        <f t="shared" si="36"/>
        <v>40</v>
      </c>
      <c r="N96" s="102">
        <f t="shared" si="37"/>
        <v>25</v>
      </c>
      <c r="O96" s="102">
        <f t="shared" si="50"/>
        <v>25</v>
      </c>
      <c r="P96" s="102" t="str">
        <f t="shared" si="38"/>
        <v>0</v>
      </c>
      <c r="Q96" s="102" t="str">
        <f t="shared" si="39"/>
        <v>0</v>
      </c>
      <c r="R96" s="102" t="str">
        <f t="shared" si="40"/>
        <v>0</v>
      </c>
      <c r="S96" s="102" t="str">
        <f t="shared" si="51"/>
        <v>0</v>
      </c>
      <c r="T96" s="102">
        <f t="shared" si="41"/>
        <v>5</v>
      </c>
      <c r="U96" s="102">
        <f t="shared" si="52"/>
        <v>18</v>
      </c>
      <c r="V96" s="102">
        <f t="shared" si="42"/>
        <v>138</v>
      </c>
      <c r="W96" s="103">
        <f t="shared" si="43"/>
        <v>45154</v>
      </c>
      <c r="X96" s="103">
        <f t="shared" si="44"/>
        <v>45179</v>
      </c>
      <c r="Y96" s="103">
        <f t="shared" si="45"/>
        <v>45219</v>
      </c>
      <c r="Z96" s="103">
        <f t="shared" si="46"/>
        <v>45244</v>
      </c>
      <c r="AA96" s="103">
        <f t="shared" si="47"/>
        <v>45269</v>
      </c>
      <c r="AB96" s="103" t="str">
        <f t="shared" si="48"/>
        <v>---</v>
      </c>
      <c r="AC96" s="103">
        <f t="shared" si="49"/>
        <v>45274</v>
      </c>
    </row>
    <row r="97" spans="1:29" ht="60">
      <c r="A97" s="88" t="s">
        <v>455</v>
      </c>
      <c r="B97" s="89" t="str">
        <f>IFERROR(VLOOKUP(A97,PAC!$A$2:$V$5011,2,0),"")</f>
        <v>Aquisição de equipamentos do tipo applicance para serem usados como firewall e implementarem, utilizando os links de internet desta capital e subseções, rede do tipo SDWAN.</v>
      </c>
      <c r="C97" s="90" t="s">
        <v>1201</v>
      </c>
      <c r="D97" s="98">
        <f>IFERROR(VLOOKUP(A97,PAC!$A$2:$V$5011,16,0),"")</f>
        <v>45292</v>
      </c>
      <c r="E97" s="99" t="str">
        <f>VLOOKUP(A97,PAC!$A$2:$V$5011,17,0)</f>
        <v>90 DIAS</v>
      </c>
      <c r="F97" s="100">
        <f>IFERROR(VLOOKUP(A97,PAC!$A$2:$V$5011,14,0),"")</f>
        <v>58839.28</v>
      </c>
      <c r="G97" s="100" t="str">
        <f>IFERROR(VLOOKUP(A97,PAC!$A$2:$V$5011,19,0),"")</f>
        <v>LICITAÇÃO</v>
      </c>
      <c r="H97" s="111" t="s">
        <v>1180</v>
      </c>
      <c r="I97" s="111" t="s">
        <v>22</v>
      </c>
      <c r="J97" s="110">
        <f>SUMIF(PAC!$A$2:$A$5011,A97,PAC!$W$2:$W$5011)</f>
        <v>1</v>
      </c>
      <c r="K97" s="110">
        <f t="shared" si="34"/>
        <v>15</v>
      </c>
      <c r="L97" s="102">
        <f t="shared" si="35"/>
        <v>10</v>
      </c>
      <c r="M97" s="102">
        <f t="shared" si="36"/>
        <v>40</v>
      </c>
      <c r="N97" s="102">
        <f t="shared" si="37"/>
        <v>25</v>
      </c>
      <c r="O97" s="102">
        <f t="shared" si="50"/>
        <v>25</v>
      </c>
      <c r="P97" s="102" t="str">
        <f t="shared" si="38"/>
        <v>0</v>
      </c>
      <c r="Q97" s="102" t="str">
        <f t="shared" si="39"/>
        <v>0</v>
      </c>
      <c r="R97" s="102" t="str">
        <f t="shared" si="40"/>
        <v>0</v>
      </c>
      <c r="S97" s="102" t="str">
        <f t="shared" si="51"/>
        <v>0</v>
      </c>
      <c r="T97" s="102">
        <f t="shared" si="41"/>
        <v>5</v>
      </c>
      <c r="U97" s="102">
        <f t="shared" si="52"/>
        <v>18</v>
      </c>
      <c r="V97" s="102">
        <f t="shared" si="42"/>
        <v>138</v>
      </c>
      <c r="W97" s="103">
        <f t="shared" si="43"/>
        <v>45154</v>
      </c>
      <c r="X97" s="103">
        <f t="shared" si="44"/>
        <v>45179</v>
      </c>
      <c r="Y97" s="103">
        <f t="shared" si="45"/>
        <v>45219</v>
      </c>
      <c r="Z97" s="103">
        <f t="shared" si="46"/>
        <v>45244</v>
      </c>
      <c r="AA97" s="103">
        <f t="shared" si="47"/>
        <v>45269</v>
      </c>
      <c r="AB97" s="103" t="str">
        <f t="shared" si="48"/>
        <v>---</v>
      </c>
      <c r="AC97" s="103">
        <f t="shared" si="49"/>
        <v>45274</v>
      </c>
    </row>
    <row r="98" spans="1:29" ht="60">
      <c r="A98" s="88" t="s">
        <v>458</v>
      </c>
      <c r="B98" s="89" t="str">
        <f>IFERROR(VLOOKUP(A98,PAC!$A$2:$V$5011,2,0),"")</f>
        <v>Contratação de empresa especializada na prestação de serviços de locação de equipamentos IMPRESSORAS e MULTIFUNCIONAIS MONOCROMÁTICAS, IMPRESSORAS POLICROMÁTICAS e SCANNER</v>
      </c>
      <c r="C98" s="90" t="s">
        <v>1201</v>
      </c>
      <c r="D98" s="98">
        <f>IFERROR(VLOOKUP(A98,PAC!$A$2:$V$5011,16,0),"")</f>
        <v>45292</v>
      </c>
      <c r="E98" s="99" t="str">
        <f>VLOOKUP(A98,PAC!$A$2:$V$5011,17,0)</f>
        <v>90 DIAS</v>
      </c>
      <c r="F98" s="100">
        <f>IFERROR(VLOOKUP(A98,PAC!$A$2:$V$5011,14,0),"")</f>
        <v>507300</v>
      </c>
      <c r="G98" s="100" t="str">
        <f>IFERROR(VLOOKUP(A98,PAC!$A$2:$V$5011,19,0),"")</f>
        <v>LICITAÇÃO</v>
      </c>
      <c r="H98" s="111" t="s">
        <v>1180</v>
      </c>
      <c r="I98" s="111" t="s">
        <v>22</v>
      </c>
      <c r="J98" s="110">
        <f>SUMIF(PAC!$A$2:$A$5011,A98,PAC!$W$2:$W$5011)</f>
        <v>1</v>
      </c>
      <c r="K98" s="110">
        <f t="shared" si="34"/>
        <v>15</v>
      </c>
      <c r="L98" s="102">
        <f t="shared" si="35"/>
        <v>10</v>
      </c>
      <c r="M98" s="102">
        <f t="shared" si="36"/>
        <v>40</v>
      </c>
      <c r="N98" s="102">
        <f t="shared" si="37"/>
        <v>25</v>
      </c>
      <c r="O98" s="102">
        <f t="shared" si="50"/>
        <v>25</v>
      </c>
      <c r="P98" s="102" t="str">
        <f t="shared" si="38"/>
        <v>0</v>
      </c>
      <c r="Q98" s="102" t="str">
        <f t="shared" si="39"/>
        <v>0</v>
      </c>
      <c r="R98" s="102" t="str">
        <f t="shared" si="40"/>
        <v>0</v>
      </c>
      <c r="S98" s="102" t="str">
        <f t="shared" si="51"/>
        <v>0</v>
      </c>
      <c r="T98" s="102">
        <f t="shared" si="41"/>
        <v>5</v>
      </c>
      <c r="U98" s="102">
        <f t="shared" si="52"/>
        <v>18</v>
      </c>
      <c r="V98" s="102">
        <f t="shared" si="42"/>
        <v>138</v>
      </c>
      <c r="W98" s="103">
        <f t="shared" si="43"/>
        <v>45154</v>
      </c>
      <c r="X98" s="103">
        <f t="shared" si="44"/>
        <v>45179</v>
      </c>
      <c r="Y98" s="103">
        <f t="shared" si="45"/>
        <v>45219</v>
      </c>
      <c r="Z98" s="103">
        <f t="shared" si="46"/>
        <v>45244</v>
      </c>
      <c r="AA98" s="103">
        <f t="shared" si="47"/>
        <v>45269</v>
      </c>
      <c r="AB98" s="103" t="str">
        <f t="shared" si="48"/>
        <v>---</v>
      </c>
      <c r="AC98" s="103">
        <f t="shared" si="49"/>
        <v>45274</v>
      </c>
    </row>
    <row r="99" spans="1:29" ht="48">
      <c r="A99" s="88" t="s">
        <v>465</v>
      </c>
      <c r="B99" s="89" t="str">
        <f>IFERROR(VLOOKUP(A99,PAC!$A$2:$V$5011,2,0),"")</f>
        <v>Link de Internet Corporativa para atender a demanda das 08 (oito) Subseções judiciárias vinculadas à Seção Judiciária do Pará.</v>
      </c>
      <c r="C99" s="90" t="s">
        <v>1201</v>
      </c>
      <c r="D99" s="98">
        <f>IFERROR(VLOOKUP(A99,PAC!$A$2:$V$5011,16,0),"")</f>
        <v>45292</v>
      </c>
      <c r="E99" s="99" t="str">
        <f>VLOOKUP(A99,PAC!$A$2:$V$5011,17,0)</f>
        <v>90 DIAS</v>
      </c>
      <c r="F99" s="100">
        <f>IFERROR(VLOOKUP(A99,PAC!$A$2:$V$5011,14,0),"")</f>
        <v>506880</v>
      </c>
      <c r="G99" s="100" t="str">
        <f>IFERROR(VLOOKUP(A99,PAC!$A$2:$V$5011,19,0),"")</f>
        <v>LICITAÇÃO</v>
      </c>
      <c r="H99" s="111" t="s">
        <v>1180</v>
      </c>
      <c r="I99" s="111" t="s">
        <v>22</v>
      </c>
      <c r="J99" s="110">
        <f>SUMIF(PAC!$A$2:$A$5011,A99,PAC!$W$2:$W$5011)</f>
        <v>1</v>
      </c>
      <c r="K99" s="110">
        <f t="shared" si="34"/>
        <v>15</v>
      </c>
      <c r="L99" s="102">
        <f t="shared" si="35"/>
        <v>10</v>
      </c>
      <c r="M99" s="102">
        <f t="shared" si="36"/>
        <v>40</v>
      </c>
      <c r="N99" s="102">
        <f t="shared" si="37"/>
        <v>25</v>
      </c>
      <c r="O99" s="102">
        <f t="shared" si="50"/>
        <v>25</v>
      </c>
      <c r="P99" s="102" t="str">
        <f t="shared" si="38"/>
        <v>0</v>
      </c>
      <c r="Q99" s="102" t="str">
        <f t="shared" si="39"/>
        <v>0</v>
      </c>
      <c r="R99" s="102" t="str">
        <f t="shared" si="40"/>
        <v>0</v>
      </c>
      <c r="S99" s="102" t="str">
        <f t="shared" si="51"/>
        <v>0</v>
      </c>
      <c r="T99" s="102">
        <f t="shared" si="41"/>
        <v>5</v>
      </c>
      <c r="U99" s="102">
        <f t="shared" si="52"/>
        <v>18</v>
      </c>
      <c r="V99" s="102">
        <f t="shared" si="42"/>
        <v>138</v>
      </c>
      <c r="W99" s="103">
        <f t="shared" si="43"/>
        <v>45154</v>
      </c>
      <c r="X99" s="103">
        <f t="shared" si="44"/>
        <v>45179</v>
      </c>
      <c r="Y99" s="103">
        <f t="shared" si="45"/>
        <v>45219</v>
      </c>
      <c r="Z99" s="103">
        <f t="shared" si="46"/>
        <v>45244</v>
      </c>
      <c r="AA99" s="103">
        <f t="shared" si="47"/>
        <v>45269</v>
      </c>
      <c r="AB99" s="103" t="str">
        <f t="shared" si="48"/>
        <v>---</v>
      </c>
      <c r="AC99" s="103">
        <f t="shared" si="49"/>
        <v>45274</v>
      </c>
    </row>
    <row r="100" spans="1:29" ht="60">
      <c r="A100" s="88" t="s">
        <v>471</v>
      </c>
      <c r="B100" s="89" t="str">
        <f>IFERROR(VLOOKUP(A100,PAC!$A$2:$V$5011,2,0),"")</f>
        <v>Link de Internet Banda Larga Corporativa para atender a demanda do prédio localizado na Travessa Mauriti, onde se encontra o arquivo da Seção Judiciária do Pará</v>
      </c>
      <c r="C100" s="90" t="s">
        <v>1202</v>
      </c>
      <c r="D100" s="98">
        <f>IFERROR(VLOOKUP(A100,PAC!$A$2:$V$5011,16,0),"")</f>
        <v>45292</v>
      </c>
      <c r="E100" s="99" t="str">
        <f>VLOOKUP(A100,PAC!$A$2:$V$5011,17,0)</f>
        <v>30 DIAS</v>
      </c>
      <c r="F100" s="100">
        <f>IFERROR(VLOOKUP(A100,PAC!$A$2:$V$5011,14,0),"")</f>
        <v>4620</v>
      </c>
      <c r="G100" s="100" t="str">
        <f>IFERROR(VLOOKUP(A100,PAC!$A$2:$V$5011,19,0),"")</f>
        <v>PRORROGAÇÃO</v>
      </c>
      <c r="H100" s="111" t="s">
        <v>1180</v>
      </c>
      <c r="I100" s="111" t="s">
        <v>22</v>
      </c>
      <c r="J100" s="110">
        <f>SUMIF(PAC!$A$2:$A$5011,A100,PAC!$W$2:$W$5011)</f>
        <v>1</v>
      </c>
      <c r="K100" s="110" t="str">
        <f t="shared" si="34"/>
        <v>0</v>
      </c>
      <c r="L100" s="102" t="str">
        <f t="shared" si="35"/>
        <v>0</v>
      </c>
      <c r="M100" s="102" t="str">
        <f t="shared" si="36"/>
        <v>0</v>
      </c>
      <c r="N100" s="102" t="str">
        <f t="shared" si="37"/>
        <v>0</v>
      </c>
      <c r="O100" s="102" t="str">
        <f t="shared" si="50"/>
        <v>0</v>
      </c>
      <c r="P100" s="102" t="str">
        <f t="shared" si="38"/>
        <v>0</v>
      </c>
      <c r="Q100" s="102" t="str">
        <f t="shared" si="39"/>
        <v>0</v>
      </c>
      <c r="R100" s="102" t="str">
        <f t="shared" si="40"/>
        <v>0</v>
      </c>
      <c r="S100" s="102">
        <f t="shared" si="51"/>
        <v>60</v>
      </c>
      <c r="T100" s="102" t="str">
        <f t="shared" si="41"/>
        <v>0</v>
      </c>
      <c r="U100" s="102">
        <f t="shared" si="52"/>
        <v>18</v>
      </c>
      <c r="V100" s="102">
        <f t="shared" si="42"/>
        <v>78</v>
      </c>
      <c r="W100" s="103" t="str">
        <f t="shared" si="43"/>
        <v>---</v>
      </c>
      <c r="X100" s="103" t="str">
        <f t="shared" si="44"/>
        <v>---</v>
      </c>
      <c r="Y100" s="103" t="str">
        <f t="shared" si="45"/>
        <v>---</v>
      </c>
      <c r="Z100" s="103" t="str">
        <f t="shared" si="46"/>
        <v>---</v>
      </c>
      <c r="AA100" s="103" t="str">
        <f t="shared" si="47"/>
        <v>---</v>
      </c>
      <c r="AB100" s="103">
        <f t="shared" si="48"/>
        <v>45214</v>
      </c>
      <c r="AC100" s="103">
        <f t="shared" si="49"/>
        <v>45274</v>
      </c>
    </row>
    <row r="101" spans="1:29" ht="36">
      <c r="A101" s="88" t="s">
        <v>487</v>
      </c>
      <c r="B101" s="89" t="str">
        <f>IFERROR(VLOOKUP(A101,PAC!$A$2:$V$5011,2,0),"")</f>
        <v>Aquisição de equipamentos para os consultórios da Central de Perícias da Seccional.</v>
      </c>
      <c r="C101" s="90" t="s">
        <v>1203</v>
      </c>
      <c r="D101" s="98">
        <f>IFERROR(VLOOKUP(A101,PAC!$A$2:$V$5011,16,0),"")</f>
        <v>45298</v>
      </c>
      <c r="E101" s="99" t="str">
        <f>VLOOKUP(A101,PAC!$A$2:$V$5011,17,0)</f>
        <v>30 DIAS</v>
      </c>
      <c r="F101" s="100">
        <f>IFERROR(VLOOKUP(A101,PAC!$A$2:$V$5011,14,0),"")</f>
        <v>0</v>
      </c>
      <c r="G101" s="100" t="str">
        <f>IFERROR(VLOOKUP(A101,PAC!$A$2:$V$5011,19,0),"")</f>
        <v>DISPENSA</v>
      </c>
      <c r="H101" s="111" t="s">
        <v>22</v>
      </c>
      <c r="I101" s="111" t="s">
        <v>22</v>
      </c>
      <c r="J101" s="110">
        <f>SUMIF(PAC!$A$2:$A$5011,A101,PAC!$W$2:$W$5011)</f>
        <v>1</v>
      </c>
      <c r="K101" s="110">
        <f t="shared" si="34"/>
        <v>15</v>
      </c>
      <c r="L101" s="102">
        <f t="shared" si="35"/>
        <v>10</v>
      </c>
      <c r="M101" s="102" t="str">
        <f t="shared" si="36"/>
        <v>0</v>
      </c>
      <c r="N101" s="102" t="str">
        <f t="shared" si="37"/>
        <v>0</v>
      </c>
      <c r="O101" s="102" t="str">
        <f t="shared" si="50"/>
        <v>0</v>
      </c>
      <c r="P101" s="102">
        <f t="shared" si="38"/>
        <v>35</v>
      </c>
      <c r="Q101" s="102">
        <f t="shared" si="39"/>
        <v>3</v>
      </c>
      <c r="R101" s="102">
        <f t="shared" si="40"/>
        <v>3</v>
      </c>
      <c r="S101" s="102" t="str">
        <f t="shared" si="51"/>
        <v>0</v>
      </c>
      <c r="T101" s="102">
        <f t="shared" si="41"/>
        <v>3</v>
      </c>
      <c r="U101" s="102">
        <f t="shared" si="52"/>
        <v>18</v>
      </c>
      <c r="V101" s="102">
        <f t="shared" si="42"/>
        <v>87</v>
      </c>
      <c r="W101" s="103">
        <f t="shared" si="43"/>
        <v>45211</v>
      </c>
      <c r="X101" s="103">
        <f t="shared" si="44"/>
        <v>45236</v>
      </c>
      <c r="Y101" s="103">
        <f t="shared" si="45"/>
        <v>45271</v>
      </c>
      <c r="Z101" s="103">
        <f t="shared" si="46"/>
        <v>45274</v>
      </c>
      <c r="AA101" s="103">
        <f t="shared" si="47"/>
        <v>45277</v>
      </c>
      <c r="AB101" s="103" t="str">
        <f t="shared" si="48"/>
        <v>---</v>
      </c>
      <c r="AC101" s="103">
        <f t="shared" si="49"/>
        <v>45280</v>
      </c>
    </row>
    <row r="102" spans="1:29" ht="60">
      <c r="A102" s="88" t="s">
        <v>492</v>
      </c>
      <c r="B102" s="89" t="str">
        <f>IFERROR(VLOOKUP(A102,PAC!$A$2:$V$5011,2,0),"")</f>
        <v>Aquisição de scanners portáteis e Notebooks Ultrabooks para o Setor de atermação (Setate), com prestação de serviço de assistência técnica “on-site” e garantia de 48 (quarenta e oito) meses.</v>
      </c>
      <c r="C102" s="90" t="s">
        <v>1203</v>
      </c>
      <c r="D102" s="98">
        <f>IFERROR(VLOOKUP(A102,PAC!$A$2:$V$5011,16,0),"")</f>
        <v>45298</v>
      </c>
      <c r="E102" s="99" t="str">
        <f>VLOOKUP(A102,PAC!$A$2:$V$5011,17,0)</f>
        <v>90 DIAS</v>
      </c>
      <c r="F102" s="100">
        <f>IFERROR(VLOOKUP(A102,PAC!$A$2:$V$5011,14,0),"")</f>
        <v>0</v>
      </c>
      <c r="G102" s="100" t="s">
        <v>310</v>
      </c>
      <c r="H102" s="111" t="s">
        <v>1180</v>
      </c>
      <c r="I102" s="111" t="s">
        <v>22</v>
      </c>
      <c r="J102" s="110">
        <f>SUMIF(PAC!$A$2:$A$5011,A102,PAC!$W$2:$W$5011)</f>
        <v>1</v>
      </c>
      <c r="K102" s="110">
        <f t="shared" ref="K102:K133" si="53">IF(OR(G102="dispensa",G102="inexigibilidade",G102="licitação"),15,"0")</f>
        <v>15</v>
      </c>
      <c r="L102" s="102">
        <f t="shared" ref="L102:L121" si="54">IF(OR(G102="dispensa",G102="inexigibilidade",G102="licitação"),10,"0")</f>
        <v>10</v>
      </c>
      <c r="M102" s="102">
        <f t="shared" si="36"/>
        <v>40</v>
      </c>
      <c r="N102" s="102">
        <f t="shared" ref="N102:N121" si="55">IF(AND(G102="Licitação"),IF(AND(H102=""),"0",IF(AND(H102="N"),15,IF(AND(H102="C"),25))),"0")</f>
        <v>25</v>
      </c>
      <c r="O102" s="102">
        <f t="shared" si="50"/>
        <v>25</v>
      </c>
      <c r="P102" s="102" t="str">
        <f t="shared" ref="P102:P133" si="56">IF(OR(G102="dispensa",G102="inexigibilidade"),IF(AND(J102=0),0,IF(AND(J102&gt;0,J102&lt;11),35,IF(AND(J102&gt;10,J102&lt;21),45,IF(AND(J102&gt;20),60)))),"0")</f>
        <v>0</v>
      </c>
      <c r="Q102" s="102" t="str">
        <f t="shared" ref="Q102:Q133" si="57">IF(OR(G102="dispensa",G102="inexigibilidade"),3,"0")</f>
        <v>0</v>
      </c>
      <c r="R102" s="102" t="str">
        <f t="shared" ref="R102:R133" si="58">IF(OR(G102="dispensa",G102="inexigibilidade"),3,"0")</f>
        <v>0</v>
      </c>
      <c r="S102" s="102" t="str">
        <f t="shared" si="51"/>
        <v>0</v>
      </c>
      <c r="T102" s="102">
        <f t="shared" ref="T102:T121" si="59">IF(OR(G102="dispensa",G102="inexigibilidade",G102="licitação"),IF(AND(H102="C"),5,IF(AND(H102="N"),3,IF(AND(H102=""),"0"))),"0")</f>
        <v>5</v>
      </c>
      <c r="U102" s="102">
        <f t="shared" si="52"/>
        <v>18</v>
      </c>
      <c r="V102" s="102">
        <f t="shared" ref="V102:V133" si="60">SUM(K102:U102)</f>
        <v>138</v>
      </c>
      <c r="W102" s="103">
        <f t="shared" si="43"/>
        <v>45160</v>
      </c>
      <c r="X102" s="103">
        <f t="shared" si="44"/>
        <v>45185</v>
      </c>
      <c r="Y102" s="103">
        <f t="shared" si="45"/>
        <v>45225</v>
      </c>
      <c r="Z102" s="103">
        <f t="shared" si="46"/>
        <v>45250</v>
      </c>
      <c r="AA102" s="103">
        <f t="shared" si="47"/>
        <v>45275</v>
      </c>
      <c r="AB102" s="103" t="str">
        <f t="shared" si="48"/>
        <v>---</v>
      </c>
      <c r="AC102" s="103">
        <f t="shared" si="49"/>
        <v>45280</v>
      </c>
    </row>
    <row r="103" spans="1:29" ht="60">
      <c r="A103" s="88" t="s">
        <v>498</v>
      </c>
      <c r="B103" s="89" t="str">
        <f>IFERROR(VLOOKUP(A103,PAC!$A$2:$V$5011,2,0),"")</f>
        <v>Aquisição de scanners portáteis e Notebooks Ultrabooks para o Setor de atermação (Setate), com prestação de serviço de assistência técnica “on-site” e garantia de 48 (quarenta e oito) meses.</v>
      </c>
      <c r="C103" s="90" t="s">
        <v>1203</v>
      </c>
      <c r="D103" s="98">
        <f>IFERROR(VLOOKUP(A103,PAC!$A$2:$V$5011,16,0),"")</f>
        <v>45298</v>
      </c>
      <c r="E103" s="99" t="str">
        <f>VLOOKUP(A103,PAC!$A$2:$V$5011,17,0)</f>
        <v>90 DIAS</v>
      </c>
      <c r="F103" s="100">
        <f>IFERROR(VLOOKUP(A103,PAC!$A$2:$V$5011,14,0),"")</f>
        <v>0</v>
      </c>
      <c r="G103" s="100" t="s">
        <v>310</v>
      </c>
      <c r="H103" s="111" t="s">
        <v>1180</v>
      </c>
      <c r="I103" s="111" t="s">
        <v>22</v>
      </c>
      <c r="J103" s="110">
        <f>SUMIF(PAC!$A$2:$A$5011,A103,PAC!$W$2:$W$5011)</f>
        <v>1</v>
      </c>
      <c r="K103" s="110">
        <f t="shared" si="53"/>
        <v>15</v>
      </c>
      <c r="L103" s="102">
        <f t="shared" si="54"/>
        <v>10</v>
      </c>
      <c r="M103" s="102">
        <f t="shared" si="36"/>
        <v>40</v>
      </c>
      <c r="N103" s="102">
        <f t="shared" si="55"/>
        <v>25</v>
      </c>
      <c r="O103" s="102">
        <f t="shared" si="50"/>
        <v>25</v>
      </c>
      <c r="P103" s="102" t="str">
        <f t="shared" si="56"/>
        <v>0</v>
      </c>
      <c r="Q103" s="102" t="str">
        <f t="shared" si="57"/>
        <v>0</v>
      </c>
      <c r="R103" s="102" t="str">
        <f t="shared" si="58"/>
        <v>0</v>
      </c>
      <c r="S103" s="102" t="str">
        <f t="shared" si="51"/>
        <v>0</v>
      </c>
      <c r="T103" s="102">
        <f t="shared" si="59"/>
        <v>5</v>
      </c>
      <c r="U103" s="102">
        <f t="shared" si="52"/>
        <v>18</v>
      </c>
      <c r="V103" s="102">
        <f t="shared" si="60"/>
        <v>138</v>
      </c>
      <c r="W103" s="103">
        <f t="shared" si="43"/>
        <v>45160</v>
      </c>
      <c r="X103" s="103">
        <f t="shared" si="44"/>
        <v>45185</v>
      </c>
      <c r="Y103" s="103">
        <f t="shared" si="45"/>
        <v>45225</v>
      </c>
      <c r="Z103" s="103">
        <f t="shared" si="46"/>
        <v>45250</v>
      </c>
      <c r="AA103" s="103">
        <f t="shared" si="47"/>
        <v>45275</v>
      </c>
      <c r="AB103" s="103" t="str">
        <f t="shared" si="48"/>
        <v>---</v>
      </c>
      <c r="AC103" s="103">
        <f t="shared" si="49"/>
        <v>45280</v>
      </c>
    </row>
    <row r="104" spans="1:29" ht="60">
      <c r="A104" s="88" t="s">
        <v>500</v>
      </c>
      <c r="B104" s="89" t="str">
        <f>IFERROR(VLOOKUP(A104,PAC!$A$2:$V$5011,2,0),"")</f>
        <v>Aquisição de scanners portáteis e Notebooks Ultrabooks para o Setor de atermação (Setate), com prestação de serviço de assistência técnica “on-site” e garantia de 48 (quarenta e oito) meses.</v>
      </c>
      <c r="C104" s="90" t="s">
        <v>1203</v>
      </c>
      <c r="D104" s="98">
        <f>IFERROR(VLOOKUP(A104,PAC!$A$2:$V$5011,16,0),"")</f>
        <v>45298</v>
      </c>
      <c r="E104" s="99" t="str">
        <f>VLOOKUP(A104,PAC!$A$2:$V$5011,17,0)</f>
        <v>90 DIAS</v>
      </c>
      <c r="F104" s="100">
        <f>IFERROR(VLOOKUP(A104,PAC!$A$2:$V$5011,14,0),"")</f>
        <v>0</v>
      </c>
      <c r="G104" s="100" t="s">
        <v>310</v>
      </c>
      <c r="H104" s="111" t="s">
        <v>1180</v>
      </c>
      <c r="I104" s="111" t="s">
        <v>22</v>
      </c>
      <c r="J104" s="110">
        <f>SUMIF(PAC!$A$2:$A$5011,A104,PAC!$W$2:$W$5011)</f>
        <v>1</v>
      </c>
      <c r="K104" s="110">
        <f t="shared" si="53"/>
        <v>15</v>
      </c>
      <c r="L104" s="102">
        <f t="shared" si="54"/>
        <v>10</v>
      </c>
      <c r="M104" s="102">
        <f t="shared" si="36"/>
        <v>40</v>
      </c>
      <c r="N104" s="102">
        <f t="shared" si="55"/>
        <v>25</v>
      </c>
      <c r="O104" s="102">
        <f t="shared" si="50"/>
        <v>25</v>
      </c>
      <c r="P104" s="102" t="str">
        <f t="shared" si="56"/>
        <v>0</v>
      </c>
      <c r="Q104" s="102" t="str">
        <f t="shared" si="57"/>
        <v>0</v>
      </c>
      <c r="R104" s="102" t="str">
        <f t="shared" si="58"/>
        <v>0</v>
      </c>
      <c r="S104" s="102" t="str">
        <f t="shared" si="51"/>
        <v>0</v>
      </c>
      <c r="T104" s="102">
        <f t="shared" si="59"/>
        <v>5</v>
      </c>
      <c r="U104" s="102">
        <f t="shared" si="52"/>
        <v>18</v>
      </c>
      <c r="V104" s="102">
        <f t="shared" si="60"/>
        <v>138</v>
      </c>
      <c r="W104" s="103">
        <f t="shared" si="43"/>
        <v>45160</v>
      </c>
      <c r="X104" s="103">
        <f t="shared" si="44"/>
        <v>45185</v>
      </c>
      <c r="Y104" s="103">
        <f t="shared" si="45"/>
        <v>45225</v>
      </c>
      <c r="Z104" s="103">
        <f t="shared" si="46"/>
        <v>45250</v>
      </c>
      <c r="AA104" s="103">
        <f t="shared" si="47"/>
        <v>45275</v>
      </c>
      <c r="AB104" s="103" t="str">
        <f t="shared" si="48"/>
        <v>---</v>
      </c>
      <c r="AC104" s="103">
        <f t="shared" si="49"/>
        <v>45280</v>
      </c>
    </row>
    <row r="105" spans="1:29" ht="36">
      <c r="A105" s="88" t="s">
        <v>502</v>
      </c>
      <c r="B105" s="89" t="str">
        <f>IFERROR(VLOOKUP(A105,PAC!$A$2:$V$5011,2,0),"")</f>
        <v>Aquisição de equipamentos para os consultórios da Central de Perícias da Seccional.</v>
      </c>
      <c r="C105" s="90" t="s">
        <v>1203</v>
      </c>
      <c r="D105" s="98">
        <f>IFERROR(VLOOKUP(A105,PAC!$A$2:$V$5011,16,0),"")</f>
        <v>45322</v>
      </c>
      <c r="E105" s="99" t="str">
        <f>VLOOKUP(A105,PAC!$A$2:$V$5011,17,0)</f>
        <v>30 DIAS</v>
      </c>
      <c r="F105" s="100">
        <f>IFERROR(VLOOKUP(A105,PAC!$A$2:$V$5011,14,0),"")</f>
        <v>0</v>
      </c>
      <c r="G105" s="100" t="str">
        <f>IFERROR(VLOOKUP(A105,PAC!$A$2:$V$5011,19,0),"")</f>
        <v>DISPENSA</v>
      </c>
      <c r="H105" s="111" t="s">
        <v>1180</v>
      </c>
      <c r="I105" s="111" t="s">
        <v>22</v>
      </c>
      <c r="J105" s="110">
        <f>SUMIF(PAC!$A$2:$A$5011,A105,PAC!$W$2:$W$5011)</f>
        <v>1</v>
      </c>
      <c r="K105" s="110">
        <f t="shared" si="53"/>
        <v>15</v>
      </c>
      <c r="L105" s="102">
        <f t="shared" si="54"/>
        <v>10</v>
      </c>
      <c r="M105" s="102" t="str">
        <f t="shared" si="36"/>
        <v>0</v>
      </c>
      <c r="N105" s="102" t="str">
        <f t="shared" si="55"/>
        <v>0</v>
      </c>
      <c r="O105" s="102" t="str">
        <f t="shared" si="50"/>
        <v>0</v>
      </c>
      <c r="P105" s="102">
        <f t="shared" si="56"/>
        <v>35</v>
      </c>
      <c r="Q105" s="102">
        <f t="shared" si="57"/>
        <v>3</v>
      </c>
      <c r="R105" s="102">
        <f t="shared" si="58"/>
        <v>3</v>
      </c>
      <c r="S105" s="102" t="str">
        <f t="shared" si="51"/>
        <v>0</v>
      </c>
      <c r="T105" s="102">
        <f t="shared" si="59"/>
        <v>5</v>
      </c>
      <c r="U105" s="102">
        <f t="shared" si="52"/>
        <v>18</v>
      </c>
      <c r="V105" s="102">
        <f t="shared" si="60"/>
        <v>89</v>
      </c>
      <c r="W105" s="103">
        <f t="shared" si="43"/>
        <v>45233</v>
      </c>
      <c r="X105" s="103">
        <f t="shared" si="44"/>
        <v>45258</v>
      </c>
      <c r="Y105" s="103">
        <f t="shared" si="45"/>
        <v>45293</v>
      </c>
      <c r="Z105" s="103">
        <f t="shared" si="46"/>
        <v>45296</v>
      </c>
      <c r="AA105" s="103">
        <f t="shared" si="47"/>
        <v>45299</v>
      </c>
      <c r="AB105" s="103" t="str">
        <f t="shared" si="48"/>
        <v>---</v>
      </c>
      <c r="AC105" s="103">
        <f t="shared" si="49"/>
        <v>45304</v>
      </c>
    </row>
    <row r="106" spans="1:29" ht="84">
      <c r="A106" s="88" t="s">
        <v>475</v>
      </c>
      <c r="B106" s="89" t="str">
        <f>IFERROR(VLOOKUP(A106,PAC!$A$2:$V$5011,2,0),"")</f>
        <v>contratação de empresa para prestação de serviços especializados na área saúde, compreendendo médico, odontólogo e auxiliar de saúde bucal – ASB, cujo posto de trabalho será na Sede da Justiça Federal de 1º Grau, localizada na Rua Domingos Marreiros, 598 - Umarizal - Belém/PA,</v>
      </c>
      <c r="C106" s="90" t="s">
        <v>1204</v>
      </c>
      <c r="D106" s="98">
        <f>IFERROR(VLOOKUP(A106,PAC!$A$2:$V$5011,16,0),"")</f>
        <v>45298</v>
      </c>
      <c r="E106" s="99" t="str">
        <f>VLOOKUP(A106,PAC!$A$2:$V$5011,17,0)</f>
        <v>90 DIAS</v>
      </c>
      <c r="F106" s="100">
        <f>IFERROR(VLOOKUP(A106,PAC!$A$2:$V$5011,14,0),"")</f>
        <v>438943.92</v>
      </c>
      <c r="G106" s="100" t="str">
        <f>IFERROR(VLOOKUP(A106,PAC!$A$2:$V$5011,19,0),"")</f>
        <v>PRORROGAÇÃO</v>
      </c>
      <c r="H106" s="111" t="s">
        <v>1180</v>
      </c>
      <c r="I106" s="111" t="s">
        <v>22</v>
      </c>
      <c r="J106" s="110">
        <f>SUMIF(PAC!$A$2:$A$5011,A106,PAC!$W$2:$W$5011)</f>
        <v>1</v>
      </c>
      <c r="K106" s="110" t="str">
        <f t="shared" si="53"/>
        <v>0</v>
      </c>
      <c r="L106" s="102" t="str">
        <f t="shared" si="54"/>
        <v>0</v>
      </c>
      <c r="M106" s="102" t="str">
        <f t="shared" si="36"/>
        <v>0</v>
      </c>
      <c r="N106" s="102" t="str">
        <f t="shared" si="55"/>
        <v>0</v>
      </c>
      <c r="O106" s="102" t="str">
        <f t="shared" si="50"/>
        <v>0</v>
      </c>
      <c r="P106" s="102" t="str">
        <f t="shared" si="56"/>
        <v>0</v>
      </c>
      <c r="Q106" s="102" t="str">
        <f t="shared" si="57"/>
        <v>0</v>
      </c>
      <c r="R106" s="102" t="str">
        <f t="shared" si="58"/>
        <v>0</v>
      </c>
      <c r="S106" s="102">
        <f t="shared" si="51"/>
        <v>60</v>
      </c>
      <c r="T106" s="102" t="str">
        <f t="shared" si="59"/>
        <v>0</v>
      </c>
      <c r="U106" s="102">
        <f t="shared" si="52"/>
        <v>18</v>
      </c>
      <c r="V106" s="102">
        <f t="shared" si="60"/>
        <v>78</v>
      </c>
      <c r="W106" s="103" t="str">
        <f t="shared" si="43"/>
        <v>---</v>
      </c>
      <c r="X106" s="103" t="str">
        <f t="shared" si="44"/>
        <v>---</v>
      </c>
      <c r="Y106" s="103" t="str">
        <f t="shared" si="45"/>
        <v>---</v>
      </c>
      <c r="Z106" s="103" t="str">
        <f t="shared" si="46"/>
        <v>---</v>
      </c>
      <c r="AA106" s="103" t="str">
        <f t="shared" si="47"/>
        <v>---</v>
      </c>
      <c r="AB106" s="103">
        <f t="shared" si="48"/>
        <v>45220</v>
      </c>
      <c r="AC106" s="103">
        <f t="shared" si="49"/>
        <v>45280</v>
      </c>
    </row>
    <row r="107" spans="1:29" ht="48">
      <c r="A107" s="88" t="s">
        <v>481</v>
      </c>
      <c r="B107" s="89" t="str">
        <f>IFERROR(VLOOKUP(A107,PAC!$A$2:$V$5011,2,0),"")</f>
        <v>Aquisição de materiais e medicamentos para utilização nos consultórios médico e odontológico de atendimento interno da Seccional, vinculados ao NUBES.</v>
      </c>
      <c r="C107" s="90" t="s">
        <v>1205</v>
      </c>
      <c r="D107" s="98">
        <f>IFERROR(VLOOKUP(A107,PAC!$A$2:$V$5011,16,0),"")</f>
        <v>45565</v>
      </c>
      <c r="E107" s="99" t="str">
        <f>VLOOKUP(A107,PAC!$A$2:$V$5011,17,0)</f>
        <v>30 DIAS</v>
      </c>
      <c r="F107" s="100">
        <f>IFERROR(VLOOKUP(A107,PAC!$A$2:$V$5011,14,0),"")</f>
        <v>0</v>
      </c>
      <c r="G107" s="100" t="str">
        <f>IFERROR(VLOOKUP(A107,PAC!$A$2:$V$5011,19,0),"")</f>
        <v>DISPENSA</v>
      </c>
      <c r="H107" s="111" t="s">
        <v>1180</v>
      </c>
      <c r="I107" s="111" t="s">
        <v>22</v>
      </c>
      <c r="J107" s="110">
        <f>SUMIF(PAC!$A$2:$A$5011,A107,PAC!$W$2:$W$5011)</f>
        <v>1</v>
      </c>
      <c r="K107" s="110">
        <f t="shared" si="53"/>
        <v>15</v>
      </c>
      <c r="L107" s="102">
        <f t="shared" si="54"/>
        <v>10</v>
      </c>
      <c r="M107" s="102" t="str">
        <f t="shared" si="36"/>
        <v>0</v>
      </c>
      <c r="N107" s="102" t="str">
        <f t="shared" si="55"/>
        <v>0</v>
      </c>
      <c r="O107" s="102" t="str">
        <f t="shared" si="50"/>
        <v>0</v>
      </c>
      <c r="P107" s="102">
        <f t="shared" si="56"/>
        <v>35</v>
      </c>
      <c r="Q107" s="102">
        <f t="shared" si="57"/>
        <v>3</v>
      </c>
      <c r="R107" s="102">
        <f t="shared" si="58"/>
        <v>3</v>
      </c>
      <c r="S107" s="102" t="str">
        <f t="shared" si="51"/>
        <v>0</v>
      </c>
      <c r="T107" s="102">
        <f t="shared" si="59"/>
        <v>5</v>
      </c>
      <c r="U107" s="102">
        <f t="shared" si="52"/>
        <v>18</v>
      </c>
      <c r="V107" s="102">
        <f t="shared" si="60"/>
        <v>89</v>
      </c>
      <c r="W107" s="103">
        <f t="shared" si="43"/>
        <v>45476</v>
      </c>
      <c r="X107" s="103">
        <f t="shared" si="44"/>
        <v>45501</v>
      </c>
      <c r="Y107" s="103">
        <f t="shared" si="45"/>
        <v>45536</v>
      </c>
      <c r="Z107" s="103">
        <f t="shared" si="46"/>
        <v>45539</v>
      </c>
      <c r="AA107" s="103">
        <f t="shared" si="47"/>
        <v>45542</v>
      </c>
      <c r="AB107" s="103" t="str">
        <f t="shared" si="48"/>
        <v>---</v>
      </c>
      <c r="AC107" s="103">
        <f t="shared" si="49"/>
        <v>45547</v>
      </c>
    </row>
    <row r="108" spans="1:29" ht="24">
      <c r="A108" s="88" t="s">
        <v>505</v>
      </c>
      <c r="B108" s="89" t="str">
        <f>IFERROR(VLOOKUP(A108,PAC!$A$2:$V$5011,2,0),"")</f>
        <v>Fornecimento de energia elétrica na sede da Subseção Judiciária de altamira.</v>
      </c>
      <c r="C108" s="90" t="s">
        <v>1206</v>
      </c>
      <c r="D108" s="98">
        <f>IFERROR(VLOOKUP(A108,PAC!$A$2:$V$5011,16,0),"")</f>
        <v>45292</v>
      </c>
      <c r="E108" s="99" t="str">
        <f>VLOOKUP(A108,PAC!$A$2:$V$5011,17,0)</f>
        <v>15 DIAS</v>
      </c>
      <c r="F108" s="100">
        <f>IFERROR(VLOOKUP(A108,PAC!$A$2:$V$5011,14,0),"")</f>
        <v>21000</v>
      </c>
      <c r="G108" s="100" t="str">
        <f>IFERROR(VLOOKUP(A108,PAC!$A$2:$V$5011,19,0),"")</f>
        <v>INEXIGIBILIDADE</v>
      </c>
      <c r="H108" s="111" t="s">
        <v>1180</v>
      </c>
      <c r="I108" s="111" t="s">
        <v>22</v>
      </c>
      <c r="J108" s="110">
        <f>SUMIF(PAC!$A$2:$A$5011,A108,PAC!$W$2:$W$5011)</f>
        <v>1</v>
      </c>
      <c r="K108" s="110">
        <f t="shared" si="53"/>
        <v>15</v>
      </c>
      <c r="L108" s="102">
        <f t="shared" si="54"/>
        <v>10</v>
      </c>
      <c r="M108" s="102" t="str">
        <f t="shared" si="36"/>
        <v>0</v>
      </c>
      <c r="N108" s="102" t="str">
        <f t="shared" si="55"/>
        <v>0</v>
      </c>
      <c r="O108" s="102" t="str">
        <f t="shared" si="50"/>
        <v>0</v>
      </c>
      <c r="P108" s="102">
        <f t="shared" si="56"/>
        <v>35</v>
      </c>
      <c r="Q108" s="102">
        <f t="shared" si="57"/>
        <v>3</v>
      </c>
      <c r="R108" s="102">
        <f t="shared" si="58"/>
        <v>3</v>
      </c>
      <c r="S108" s="102" t="str">
        <f t="shared" si="51"/>
        <v>0</v>
      </c>
      <c r="T108" s="102">
        <f t="shared" si="59"/>
        <v>5</v>
      </c>
      <c r="U108" s="102">
        <f t="shared" si="52"/>
        <v>18</v>
      </c>
      <c r="V108" s="102">
        <f t="shared" si="60"/>
        <v>89</v>
      </c>
      <c r="W108" s="103">
        <f t="shared" si="43"/>
        <v>45203</v>
      </c>
      <c r="X108" s="103">
        <f t="shared" si="44"/>
        <v>45228</v>
      </c>
      <c r="Y108" s="103">
        <f t="shared" si="45"/>
        <v>45263</v>
      </c>
      <c r="Z108" s="103">
        <f t="shared" si="46"/>
        <v>45266</v>
      </c>
      <c r="AA108" s="103">
        <f t="shared" si="47"/>
        <v>45269</v>
      </c>
      <c r="AB108" s="103" t="str">
        <f t="shared" si="48"/>
        <v>---</v>
      </c>
      <c r="AC108" s="103">
        <f t="shared" si="49"/>
        <v>45274</v>
      </c>
    </row>
    <row r="109" spans="1:29" ht="60">
      <c r="A109" s="88" t="s">
        <v>508</v>
      </c>
      <c r="B109" s="89" t="str">
        <f>IFERROR(VLOOKUP(A109,PAC!$A$2:$V$5011,2,0),"")</f>
        <v>serviços de operação e manutenção preventiva e corretiva, com fornecimento de peças se for o caso, para o sistema de climatização do Prédio Sede da Subseção Judiciária do Altamira</v>
      </c>
      <c r="C109" s="90" t="s">
        <v>1206</v>
      </c>
      <c r="D109" s="98">
        <f>IFERROR(VLOOKUP(A109,PAC!$A$2:$V$5011,16,0),"")</f>
        <v>45402</v>
      </c>
      <c r="E109" s="99" t="str">
        <f>VLOOKUP(A109,PAC!$A$2:$V$5011,17,0)</f>
        <v>30 dIAS</v>
      </c>
      <c r="F109" s="100">
        <f>IFERROR(VLOOKUP(A109,PAC!$A$2:$V$5011,14,0),"")</f>
        <v>10935</v>
      </c>
      <c r="G109" s="100" t="str">
        <f>IFERROR(VLOOKUP(A109,PAC!$A$2:$V$5011,19,0),"")</f>
        <v>DISPENSA</v>
      </c>
      <c r="H109" s="111" t="s">
        <v>1180</v>
      </c>
      <c r="I109" s="111" t="s">
        <v>22</v>
      </c>
      <c r="J109" s="110">
        <f>SUMIF(PAC!$A$2:$A$5011,A109,PAC!$W$2:$W$5011)</f>
        <v>1</v>
      </c>
      <c r="K109" s="110">
        <f t="shared" si="53"/>
        <v>15</v>
      </c>
      <c r="L109" s="102">
        <f t="shared" si="54"/>
        <v>10</v>
      </c>
      <c r="M109" s="102" t="str">
        <f t="shared" si="36"/>
        <v>0</v>
      </c>
      <c r="N109" s="102" t="str">
        <f t="shared" si="55"/>
        <v>0</v>
      </c>
      <c r="O109" s="102" t="str">
        <f t="shared" si="50"/>
        <v>0</v>
      </c>
      <c r="P109" s="102">
        <f t="shared" si="56"/>
        <v>35</v>
      </c>
      <c r="Q109" s="102">
        <f t="shared" si="57"/>
        <v>3</v>
      </c>
      <c r="R109" s="102">
        <f t="shared" si="58"/>
        <v>3</v>
      </c>
      <c r="S109" s="102" t="str">
        <f t="shared" si="51"/>
        <v>0</v>
      </c>
      <c r="T109" s="102">
        <f t="shared" si="59"/>
        <v>5</v>
      </c>
      <c r="U109" s="102">
        <f t="shared" si="52"/>
        <v>18</v>
      </c>
      <c r="V109" s="102">
        <f t="shared" si="60"/>
        <v>89</v>
      </c>
      <c r="W109" s="103">
        <f t="shared" si="43"/>
        <v>45313</v>
      </c>
      <c r="X109" s="103">
        <f t="shared" si="44"/>
        <v>45338</v>
      </c>
      <c r="Y109" s="103">
        <f t="shared" si="45"/>
        <v>45373</v>
      </c>
      <c r="Z109" s="103">
        <f t="shared" si="46"/>
        <v>45376</v>
      </c>
      <c r="AA109" s="103">
        <f t="shared" si="47"/>
        <v>45379</v>
      </c>
      <c r="AB109" s="103" t="str">
        <f t="shared" si="48"/>
        <v>---</v>
      </c>
      <c r="AC109" s="103">
        <f t="shared" si="49"/>
        <v>45384</v>
      </c>
    </row>
    <row r="110" spans="1:29" ht="48">
      <c r="A110" s="88" t="s">
        <v>515</v>
      </c>
      <c r="B110" s="89" t="str">
        <f>IFERROR(VLOOKUP(A110,PAC!$A$2:$V$5011,2,0),"")</f>
        <v>Contratação de Empresas para fornecimento de água mineral e copos descartáveis à Subseção Judiciária de Altamira, durante o exercício de 2024.</v>
      </c>
      <c r="C110" s="90" t="s">
        <v>1206</v>
      </c>
      <c r="D110" s="98">
        <f>IFERROR(VLOOKUP(A110,PAC!$A$2:$V$5011,16,0),"")</f>
        <v>45292</v>
      </c>
      <c r="E110" s="99" t="str">
        <f>VLOOKUP(A110,PAC!$A$2:$V$5011,17,0)</f>
        <v>30 DIAS</v>
      </c>
      <c r="F110" s="100">
        <f>IFERROR(VLOOKUP(A110,PAC!$A$2:$V$5011,14,0),"")</f>
        <v>450</v>
      </c>
      <c r="G110" s="100" t="str">
        <f>IFERROR(VLOOKUP(A110,PAC!$A$2:$V$5011,19,0),"")</f>
        <v>DISPENSA</v>
      </c>
      <c r="H110" s="111" t="s">
        <v>1180</v>
      </c>
      <c r="I110" s="111" t="s">
        <v>22</v>
      </c>
      <c r="J110" s="110">
        <f>SUMIF(PAC!$A$2:$A$5011,A110,PAC!$W$2:$W$5011)</f>
        <v>1</v>
      </c>
      <c r="K110" s="110">
        <f t="shared" si="53"/>
        <v>15</v>
      </c>
      <c r="L110" s="102">
        <f t="shared" si="54"/>
        <v>10</v>
      </c>
      <c r="M110" s="102" t="str">
        <f t="shared" si="36"/>
        <v>0</v>
      </c>
      <c r="N110" s="102" t="str">
        <f t="shared" si="55"/>
        <v>0</v>
      </c>
      <c r="O110" s="102" t="str">
        <f t="shared" si="50"/>
        <v>0</v>
      </c>
      <c r="P110" s="102">
        <f t="shared" si="56"/>
        <v>35</v>
      </c>
      <c r="Q110" s="102">
        <f t="shared" si="57"/>
        <v>3</v>
      </c>
      <c r="R110" s="102">
        <f t="shared" si="58"/>
        <v>3</v>
      </c>
      <c r="S110" s="102" t="str">
        <f t="shared" si="51"/>
        <v>0</v>
      </c>
      <c r="T110" s="102">
        <f t="shared" si="59"/>
        <v>5</v>
      </c>
      <c r="U110" s="102">
        <f t="shared" si="52"/>
        <v>18</v>
      </c>
      <c r="V110" s="102">
        <f t="shared" si="60"/>
        <v>89</v>
      </c>
      <c r="W110" s="103">
        <f t="shared" si="43"/>
        <v>45203</v>
      </c>
      <c r="X110" s="103">
        <f t="shared" si="44"/>
        <v>45228</v>
      </c>
      <c r="Y110" s="103">
        <f t="shared" si="45"/>
        <v>45263</v>
      </c>
      <c r="Z110" s="103">
        <f t="shared" si="46"/>
        <v>45266</v>
      </c>
      <c r="AA110" s="103">
        <f t="shared" si="47"/>
        <v>45269</v>
      </c>
      <c r="AB110" s="103" t="str">
        <f t="shared" si="48"/>
        <v>---</v>
      </c>
      <c r="AC110" s="103">
        <f t="shared" si="49"/>
        <v>45274</v>
      </c>
    </row>
    <row r="111" spans="1:29" ht="48">
      <c r="A111" s="88" t="s">
        <v>521</v>
      </c>
      <c r="B111" s="89" t="str">
        <f>IFERROR(VLOOKUP(A111,PAC!$A$2:$V$5011,2,0),"")</f>
        <v>Contratação de Empresas para fornecimento de água mineral e copos descartáveis à Subseção Judiciária de Altamira, durante o exercício de 2024.</v>
      </c>
      <c r="C111" s="90" t="s">
        <v>1206</v>
      </c>
      <c r="D111" s="98">
        <f>IFERROR(VLOOKUP(A111,PAC!$A$2:$V$5011,16,0),"")</f>
        <v>45292</v>
      </c>
      <c r="E111" s="99" t="str">
        <f>VLOOKUP(A111,PAC!$A$2:$V$5011,17,0)</f>
        <v>30 DIAS</v>
      </c>
      <c r="F111" s="100">
        <f>IFERROR(VLOOKUP(A111,PAC!$A$2:$V$5011,14,0),"")</f>
        <v>4950</v>
      </c>
      <c r="G111" s="100" t="str">
        <f>IFERROR(VLOOKUP(A111,PAC!$A$2:$V$5011,19,0),"")</f>
        <v>DISPENSA</v>
      </c>
      <c r="H111" s="111" t="s">
        <v>1180</v>
      </c>
      <c r="I111" s="111" t="s">
        <v>22</v>
      </c>
      <c r="J111" s="110">
        <f>SUMIF(PAC!$A$2:$A$5011,A111,PAC!$W$2:$W$5011)</f>
        <v>1</v>
      </c>
      <c r="K111" s="110">
        <f t="shared" si="53"/>
        <v>15</v>
      </c>
      <c r="L111" s="102">
        <f t="shared" si="54"/>
        <v>10</v>
      </c>
      <c r="M111" s="102" t="str">
        <f t="shared" si="36"/>
        <v>0</v>
      </c>
      <c r="N111" s="102" t="str">
        <f t="shared" si="55"/>
        <v>0</v>
      </c>
      <c r="O111" s="102" t="str">
        <f t="shared" si="50"/>
        <v>0</v>
      </c>
      <c r="P111" s="102">
        <f t="shared" si="56"/>
        <v>35</v>
      </c>
      <c r="Q111" s="102">
        <f t="shared" si="57"/>
        <v>3</v>
      </c>
      <c r="R111" s="102">
        <f t="shared" si="58"/>
        <v>3</v>
      </c>
      <c r="S111" s="102" t="str">
        <f t="shared" si="51"/>
        <v>0</v>
      </c>
      <c r="T111" s="102">
        <f t="shared" si="59"/>
        <v>5</v>
      </c>
      <c r="U111" s="102">
        <f t="shared" si="52"/>
        <v>18</v>
      </c>
      <c r="V111" s="102">
        <f t="shared" si="60"/>
        <v>89</v>
      </c>
      <c r="W111" s="103">
        <f t="shared" si="43"/>
        <v>45203</v>
      </c>
      <c r="X111" s="103">
        <f t="shared" si="44"/>
        <v>45228</v>
      </c>
      <c r="Y111" s="103">
        <f t="shared" si="45"/>
        <v>45263</v>
      </c>
      <c r="Z111" s="103">
        <f t="shared" si="46"/>
        <v>45266</v>
      </c>
      <c r="AA111" s="103">
        <f t="shared" si="47"/>
        <v>45269</v>
      </c>
      <c r="AB111" s="103" t="str">
        <f t="shared" si="48"/>
        <v>---</v>
      </c>
      <c r="AC111" s="103">
        <f t="shared" si="49"/>
        <v>45274</v>
      </c>
    </row>
    <row r="112" spans="1:29" ht="48">
      <c r="A112" s="88" t="s">
        <v>523</v>
      </c>
      <c r="B112" s="89" t="str">
        <f>IFERROR(VLOOKUP(A112,PAC!$A$2:$V$5011,2,0),"")</f>
        <v>Contratação de Empresas para fornecimento de água mineral e copos descartáveis à Subseção Judiciária de Altamira, durante o exercício de 2024.</v>
      </c>
      <c r="C112" s="90" t="s">
        <v>1206</v>
      </c>
      <c r="D112" s="98">
        <f>IFERROR(VLOOKUP(A112,PAC!$A$2:$V$5011,16,0),"")</f>
        <v>45292</v>
      </c>
      <c r="E112" s="99" t="str">
        <f>VLOOKUP(A112,PAC!$A$2:$V$5011,17,0)</f>
        <v>30 DIAS</v>
      </c>
      <c r="F112" s="100">
        <f>IFERROR(VLOOKUP(A112,PAC!$A$2:$V$5011,14,0),"")</f>
        <v>810</v>
      </c>
      <c r="G112" s="100" t="str">
        <f>IFERROR(VLOOKUP(A112,PAC!$A$2:$V$5011,19,0),"")</f>
        <v>DISPENSA</v>
      </c>
      <c r="H112" s="111" t="s">
        <v>1180</v>
      </c>
      <c r="I112" s="111" t="s">
        <v>22</v>
      </c>
      <c r="J112" s="110">
        <f>SUMIF(PAC!$A$2:$A$5011,A112,PAC!$W$2:$W$5011)</f>
        <v>1</v>
      </c>
      <c r="K112" s="110">
        <f t="shared" si="53"/>
        <v>15</v>
      </c>
      <c r="L112" s="102">
        <f t="shared" si="54"/>
        <v>10</v>
      </c>
      <c r="M112" s="102" t="str">
        <f t="shared" si="36"/>
        <v>0</v>
      </c>
      <c r="N112" s="102" t="str">
        <f t="shared" si="55"/>
        <v>0</v>
      </c>
      <c r="O112" s="102" t="str">
        <f t="shared" si="50"/>
        <v>0</v>
      </c>
      <c r="P112" s="102">
        <f t="shared" si="56"/>
        <v>35</v>
      </c>
      <c r="Q112" s="102">
        <f t="shared" si="57"/>
        <v>3</v>
      </c>
      <c r="R112" s="102">
        <f t="shared" si="58"/>
        <v>3</v>
      </c>
      <c r="S112" s="102" t="str">
        <f t="shared" si="51"/>
        <v>0</v>
      </c>
      <c r="T112" s="102">
        <f t="shared" si="59"/>
        <v>5</v>
      </c>
      <c r="U112" s="102">
        <f t="shared" si="52"/>
        <v>18</v>
      </c>
      <c r="V112" s="102">
        <f t="shared" si="60"/>
        <v>89</v>
      </c>
      <c r="W112" s="103">
        <f t="shared" si="43"/>
        <v>45203</v>
      </c>
      <c r="X112" s="103">
        <f t="shared" si="44"/>
        <v>45228</v>
      </c>
      <c r="Y112" s="103">
        <f t="shared" si="45"/>
        <v>45263</v>
      </c>
      <c r="Z112" s="103">
        <f t="shared" si="46"/>
        <v>45266</v>
      </c>
      <c r="AA112" s="103">
        <f t="shared" si="47"/>
        <v>45269</v>
      </c>
      <c r="AB112" s="103" t="str">
        <f t="shared" si="48"/>
        <v>---</v>
      </c>
      <c r="AC112" s="103">
        <f t="shared" si="49"/>
        <v>45274</v>
      </c>
    </row>
    <row r="113" spans="1:29" ht="15">
      <c r="A113" s="88" t="s">
        <v>527</v>
      </c>
      <c r="B113" s="89" t="str">
        <f>IFERROR(VLOOKUP(A113,PAC!$A$2:$V$5011,2,0),"")</f>
        <v>Aquisição de 2 nobreaks de 10 kvs.</v>
      </c>
      <c r="C113" s="90" t="s">
        <v>1206</v>
      </c>
      <c r="D113" s="98">
        <f>IFERROR(VLOOKUP(A113,PAC!$A$2:$V$5011,16,0),"")</f>
        <v>45413</v>
      </c>
      <c r="E113" s="99" t="str">
        <f>VLOOKUP(A113,PAC!$A$2:$V$5011,17,0)</f>
        <v>30 DIAS</v>
      </c>
      <c r="F113" s="100">
        <f>IFERROR(VLOOKUP(A113,PAC!$A$2:$V$5011,14,0),"")</f>
        <v>16000</v>
      </c>
      <c r="G113" s="100" t="str">
        <f>IFERROR(VLOOKUP(A113,PAC!$A$2:$V$5011,19,0),"")</f>
        <v>DISPENSA</v>
      </c>
      <c r="H113" s="111" t="s">
        <v>1180</v>
      </c>
      <c r="I113" s="111" t="s">
        <v>22</v>
      </c>
      <c r="J113" s="110">
        <f>SUMIF(PAC!$A$2:$A$5011,A113,PAC!$W$2:$W$5011)</f>
        <v>1</v>
      </c>
      <c r="K113" s="110">
        <f t="shared" si="53"/>
        <v>15</v>
      </c>
      <c r="L113" s="102">
        <f t="shared" si="54"/>
        <v>10</v>
      </c>
      <c r="M113" s="102" t="str">
        <f t="shared" si="36"/>
        <v>0</v>
      </c>
      <c r="N113" s="102" t="str">
        <f t="shared" si="55"/>
        <v>0</v>
      </c>
      <c r="O113" s="102" t="str">
        <f t="shared" si="50"/>
        <v>0</v>
      </c>
      <c r="P113" s="102">
        <f t="shared" si="56"/>
        <v>35</v>
      </c>
      <c r="Q113" s="102">
        <f t="shared" si="57"/>
        <v>3</v>
      </c>
      <c r="R113" s="102">
        <f t="shared" si="58"/>
        <v>3</v>
      </c>
      <c r="S113" s="102" t="str">
        <f t="shared" si="51"/>
        <v>0</v>
      </c>
      <c r="T113" s="102">
        <f t="shared" si="59"/>
        <v>5</v>
      </c>
      <c r="U113" s="102">
        <f t="shared" si="52"/>
        <v>18</v>
      </c>
      <c r="V113" s="102">
        <f t="shared" si="60"/>
        <v>89</v>
      </c>
      <c r="W113" s="103">
        <f t="shared" si="43"/>
        <v>45324</v>
      </c>
      <c r="X113" s="103">
        <f t="shared" si="44"/>
        <v>45349</v>
      </c>
      <c r="Y113" s="103">
        <f t="shared" si="45"/>
        <v>45384</v>
      </c>
      <c r="Z113" s="103">
        <f t="shared" si="46"/>
        <v>45387</v>
      </c>
      <c r="AA113" s="103">
        <f t="shared" si="47"/>
        <v>45390</v>
      </c>
      <c r="AB113" s="103" t="str">
        <f t="shared" si="48"/>
        <v>---</v>
      </c>
      <c r="AC113" s="103">
        <f t="shared" si="49"/>
        <v>45395</v>
      </c>
    </row>
    <row r="114" spans="1:29" ht="24">
      <c r="A114" s="88" t="s">
        <v>533</v>
      </c>
      <c r="B114" s="89" t="str">
        <f>IFERROR(VLOOKUP(A114,PAC!$A$2:$V$5011,2,0),"")</f>
        <v>Manutenção preventiva e corretiva do grupo gerador</v>
      </c>
      <c r="C114" s="90" t="s">
        <v>1206</v>
      </c>
      <c r="D114" s="98">
        <f>IFERROR(VLOOKUP(A114,PAC!$A$2:$V$5011,16,0),"")</f>
        <v>45413</v>
      </c>
      <c r="E114" s="99" t="str">
        <f>VLOOKUP(A114,PAC!$A$2:$V$5011,17,0)</f>
        <v>30 DIAS</v>
      </c>
      <c r="F114" s="100">
        <f>IFERROR(VLOOKUP(A114,PAC!$A$2:$V$5011,14,0),"")</f>
        <v>6000</v>
      </c>
      <c r="G114" s="100" t="str">
        <f>IFERROR(VLOOKUP(A114,PAC!$A$2:$V$5011,19,0),"")</f>
        <v>DISPENSA</v>
      </c>
      <c r="H114" s="111" t="s">
        <v>1180</v>
      </c>
      <c r="I114" s="111" t="s">
        <v>22</v>
      </c>
      <c r="J114" s="110">
        <f>SUMIF(PAC!$A$2:$A$5011,A114,PAC!$W$2:$W$5011)</f>
        <v>1</v>
      </c>
      <c r="K114" s="110">
        <f t="shared" si="53"/>
        <v>15</v>
      </c>
      <c r="L114" s="102">
        <f t="shared" si="54"/>
        <v>10</v>
      </c>
      <c r="M114" s="102" t="str">
        <f t="shared" si="36"/>
        <v>0</v>
      </c>
      <c r="N114" s="102" t="str">
        <f t="shared" si="55"/>
        <v>0</v>
      </c>
      <c r="O114" s="102" t="str">
        <f t="shared" si="50"/>
        <v>0</v>
      </c>
      <c r="P114" s="102">
        <f t="shared" si="56"/>
        <v>35</v>
      </c>
      <c r="Q114" s="102">
        <f t="shared" si="57"/>
        <v>3</v>
      </c>
      <c r="R114" s="102">
        <f t="shared" si="58"/>
        <v>3</v>
      </c>
      <c r="S114" s="102" t="str">
        <f t="shared" si="51"/>
        <v>0</v>
      </c>
      <c r="T114" s="102">
        <f t="shared" si="59"/>
        <v>5</v>
      </c>
      <c r="U114" s="102">
        <f t="shared" si="52"/>
        <v>18</v>
      </c>
      <c r="V114" s="102">
        <f t="shared" si="60"/>
        <v>89</v>
      </c>
      <c r="W114" s="103">
        <f t="shared" si="43"/>
        <v>45324</v>
      </c>
      <c r="X114" s="103">
        <f t="shared" si="44"/>
        <v>45349</v>
      </c>
      <c r="Y114" s="103">
        <f t="shared" si="45"/>
        <v>45384</v>
      </c>
      <c r="Z114" s="103">
        <f t="shared" si="46"/>
        <v>45387</v>
      </c>
      <c r="AA114" s="103">
        <f t="shared" si="47"/>
        <v>45390</v>
      </c>
      <c r="AB114" s="103" t="str">
        <f t="shared" si="48"/>
        <v>---</v>
      </c>
      <c r="AC114" s="103">
        <f t="shared" si="49"/>
        <v>45395</v>
      </c>
    </row>
    <row r="115" spans="1:29" ht="24">
      <c r="A115" s="88" t="s">
        <v>540</v>
      </c>
      <c r="B115" s="89" t="str">
        <f>IFERROR(VLOOKUP(A115,PAC!$A$2:$V$5011,2,0),"")</f>
        <v>Compra de 05 pneus para caminhonete L200 TRITON.</v>
      </c>
      <c r="C115" s="90" t="s">
        <v>1206</v>
      </c>
      <c r="D115" s="98">
        <f>IFERROR(VLOOKUP(A115,PAC!$A$2:$V$5011,16,0),"")</f>
        <v>45413</v>
      </c>
      <c r="E115" s="99" t="str">
        <f>VLOOKUP(A115,PAC!$A$2:$V$5011,17,0)</f>
        <v>30 DIAS</v>
      </c>
      <c r="F115" s="100">
        <f>IFERROR(VLOOKUP(A115,PAC!$A$2:$V$5011,14,0),"")</f>
        <v>11000</v>
      </c>
      <c r="G115" s="100" t="str">
        <f>IFERROR(VLOOKUP(A115,PAC!$A$2:$V$5011,19,0),"")</f>
        <v>DISPENSA</v>
      </c>
      <c r="H115" s="111" t="s">
        <v>1180</v>
      </c>
      <c r="I115" s="111" t="s">
        <v>22</v>
      </c>
      <c r="J115" s="110">
        <f>SUMIF(PAC!$A$2:$A$5011,A115,PAC!$W$2:$W$5011)</f>
        <v>1</v>
      </c>
      <c r="K115" s="110">
        <f t="shared" si="53"/>
        <v>15</v>
      </c>
      <c r="L115" s="102">
        <f t="shared" si="54"/>
        <v>10</v>
      </c>
      <c r="M115" s="102" t="str">
        <f t="shared" si="36"/>
        <v>0</v>
      </c>
      <c r="N115" s="102" t="str">
        <f t="shared" si="55"/>
        <v>0</v>
      </c>
      <c r="O115" s="102" t="str">
        <f t="shared" si="50"/>
        <v>0</v>
      </c>
      <c r="P115" s="102">
        <f t="shared" si="56"/>
        <v>35</v>
      </c>
      <c r="Q115" s="102">
        <f t="shared" si="57"/>
        <v>3</v>
      </c>
      <c r="R115" s="102">
        <f t="shared" si="58"/>
        <v>3</v>
      </c>
      <c r="S115" s="102" t="str">
        <f t="shared" si="51"/>
        <v>0</v>
      </c>
      <c r="T115" s="102">
        <f t="shared" si="59"/>
        <v>5</v>
      </c>
      <c r="U115" s="102">
        <f t="shared" si="52"/>
        <v>18</v>
      </c>
      <c r="V115" s="102">
        <f t="shared" si="60"/>
        <v>89</v>
      </c>
      <c r="W115" s="103">
        <f t="shared" si="43"/>
        <v>45324</v>
      </c>
      <c r="X115" s="103">
        <f t="shared" si="44"/>
        <v>45349</v>
      </c>
      <c r="Y115" s="103">
        <f t="shared" si="45"/>
        <v>45384</v>
      </c>
      <c r="Z115" s="103">
        <f t="shared" si="46"/>
        <v>45387</v>
      </c>
      <c r="AA115" s="103">
        <f t="shared" si="47"/>
        <v>45390</v>
      </c>
      <c r="AB115" s="103" t="str">
        <f t="shared" si="48"/>
        <v>---</v>
      </c>
      <c r="AC115" s="103">
        <f t="shared" si="49"/>
        <v>45395</v>
      </c>
    </row>
    <row r="116" spans="1:29" ht="36">
      <c r="A116" s="88" t="s">
        <v>547</v>
      </c>
      <c r="B116" s="89" t="str">
        <f>IFERROR(VLOOKUP(A116,PAC!$A$2:$V$5011,2,0),"")</f>
        <v>Vidro temperado para divisão da guarita e proteção da porta giratória da entrada do prédio da SSJ-ATM.</v>
      </c>
      <c r="C116" s="90" t="s">
        <v>1206</v>
      </c>
      <c r="D116" s="98">
        <f>IFERROR(VLOOKUP(A116,PAC!$A$2:$V$5011,16,0),"")</f>
        <v>45352</v>
      </c>
      <c r="E116" s="99" t="str">
        <f>VLOOKUP(A116,PAC!$A$2:$V$5011,17,0)</f>
        <v>30 DIAS</v>
      </c>
      <c r="F116" s="100">
        <f>IFERROR(VLOOKUP(A116,PAC!$A$2:$V$5011,14,0),"")</f>
        <v>20000</v>
      </c>
      <c r="G116" s="100" t="str">
        <f>IFERROR(VLOOKUP(A116,PAC!$A$2:$V$5011,19,0),"")</f>
        <v>DISPENSA</v>
      </c>
      <c r="H116" s="111" t="s">
        <v>1180</v>
      </c>
      <c r="I116" s="111" t="s">
        <v>22</v>
      </c>
      <c r="J116" s="110">
        <f>SUMIF(PAC!$A$2:$A$5011,A116,PAC!$W$2:$W$5011)</f>
        <v>1</v>
      </c>
      <c r="K116" s="110">
        <f t="shared" si="53"/>
        <v>15</v>
      </c>
      <c r="L116" s="102">
        <f t="shared" si="54"/>
        <v>10</v>
      </c>
      <c r="M116" s="102" t="str">
        <f t="shared" si="36"/>
        <v>0</v>
      </c>
      <c r="N116" s="102" t="str">
        <f t="shared" si="55"/>
        <v>0</v>
      </c>
      <c r="O116" s="102" t="str">
        <f t="shared" si="50"/>
        <v>0</v>
      </c>
      <c r="P116" s="102">
        <f t="shared" si="56"/>
        <v>35</v>
      </c>
      <c r="Q116" s="102">
        <f t="shared" si="57"/>
        <v>3</v>
      </c>
      <c r="R116" s="102">
        <f t="shared" si="58"/>
        <v>3</v>
      </c>
      <c r="S116" s="102" t="str">
        <f t="shared" si="51"/>
        <v>0</v>
      </c>
      <c r="T116" s="102">
        <f t="shared" si="59"/>
        <v>5</v>
      </c>
      <c r="U116" s="102">
        <f t="shared" si="52"/>
        <v>18</v>
      </c>
      <c r="V116" s="102">
        <f t="shared" si="60"/>
        <v>89</v>
      </c>
      <c r="W116" s="103">
        <f t="shared" si="43"/>
        <v>45263</v>
      </c>
      <c r="X116" s="103">
        <f t="shared" si="44"/>
        <v>45288</v>
      </c>
      <c r="Y116" s="103">
        <f t="shared" si="45"/>
        <v>45323</v>
      </c>
      <c r="Z116" s="103">
        <f t="shared" si="46"/>
        <v>45326</v>
      </c>
      <c r="AA116" s="103">
        <f t="shared" si="47"/>
        <v>45329</v>
      </c>
      <c r="AB116" s="103" t="str">
        <f t="shared" si="48"/>
        <v>---</v>
      </c>
      <c r="AC116" s="103">
        <f t="shared" si="49"/>
        <v>45334</v>
      </c>
    </row>
    <row r="117" spans="1:29" ht="96">
      <c r="A117" s="88" t="s">
        <v>554</v>
      </c>
      <c r="B117" s="89" t="str">
        <f>IFERROR(VLOOKUP(A117,PAC!$A$2:$V$5011,2,0),"")</f>
        <v>Aumentar os muros laterais; Reativar as cercas de segurança; Instalar concertinas em toda extensão dos muros; Instalar eclusa na área de entrada, após o portão principal; Instalar grades de ferro na área após a eclusa bem como no lado esquerdo do prédio, evitando o fácil acesso aos fundos das instalações. </v>
      </c>
      <c r="C117" s="90" t="s">
        <v>1206</v>
      </c>
      <c r="D117" s="98">
        <f>IFERROR(VLOOKUP(A117,PAC!$A$2:$V$5011,16,0),"")</f>
        <v>45413</v>
      </c>
      <c r="E117" s="99" t="str">
        <f>VLOOKUP(A117,PAC!$A$2:$V$5011,17,0)</f>
        <v>30 DIAS</v>
      </c>
      <c r="F117" s="100">
        <f>IFERROR(VLOOKUP(A117,PAC!$A$2:$V$5011,14,0),"")</f>
        <v>50000</v>
      </c>
      <c r="G117" s="100" t="str">
        <f>IFERROR(VLOOKUP(A117,PAC!$A$2:$V$5011,19,0),"")</f>
        <v>DISPENSA</v>
      </c>
      <c r="H117" s="111" t="s">
        <v>1180</v>
      </c>
      <c r="I117" s="111" t="s">
        <v>22</v>
      </c>
      <c r="J117" s="110">
        <f>SUMIF(PAC!$A$2:$A$5011,A117,PAC!$W$2:$W$5011)</f>
        <v>1</v>
      </c>
      <c r="K117" s="110">
        <f t="shared" si="53"/>
        <v>15</v>
      </c>
      <c r="L117" s="102">
        <f t="shared" si="54"/>
        <v>10</v>
      </c>
      <c r="M117" s="102" t="str">
        <f t="shared" si="36"/>
        <v>0</v>
      </c>
      <c r="N117" s="102" t="str">
        <f t="shared" si="55"/>
        <v>0</v>
      </c>
      <c r="O117" s="102" t="str">
        <f t="shared" si="50"/>
        <v>0</v>
      </c>
      <c r="P117" s="102">
        <f t="shared" si="56"/>
        <v>35</v>
      </c>
      <c r="Q117" s="102">
        <f t="shared" si="57"/>
        <v>3</v>
      </c>
      <c r="R117" s="102">
        <f t="shared" si="58"/>
        <v>3</v>
      </c>
      <c r="S117" s="102" t="str">
        <f t="shared" si="51"/>
        <v>0</v>
      </c>
      <c r="T117" s="102">
        <f t="shared" si="59"/>
        <v>5</v>
      </c>
      <c r="U117" s="102">
        <f t="shared" si="52"/>
        <v>18</v>
      </c>
      <c r="V117" s="102">
        <f t="shared" si="60"/>
        <v>89</v>
      </c>
      <c r="W117" s="103">
        <f t="shared" si="43"/>
        <v>45324</v>
      </c>
      <c r="X117" s="103">
        <f t="shared" si="44"/>
        <v>45349</v>
      </c>
      <c r="Y117" s="103">
        <f t="shared" si="45"/>
        <v>45384</v>
      </c>
      <c r="Z117" s="103">
        <f t="shared" si="46"/>
        <v>45387</v>
      </c>
      <c r="AA117" s="103">
        <f t="shared" si="47"/>
        <v>45390</v>
      </c>
      <c r="AB117" s="103" t="str">
        <f t="shared" si="48"/>
        <v>---</v>
      </c>
      <c r="AC117" s="103">
        <f t="shared" si="49"/>
        <v>45395</v>
      </c>
    </row>
    <row r="118" spans="1:29" ht="36">
      <c r="A118" s="88" t="s">
        <v>560</v>
      </c>
      <c r="B118" s="89" t="str">
        <f>IFERROR(VLOOKUP(A118,PAC!$A$2:$V$5011,2,0),"")</f>
        <v>Implantação de sistema de acesso às dependências da subseção via cartão digital ou biométrico.</v>
      </c>
      <c r="C118" s="90" t="s">
        <v>1206</v>
      </c>
      <c r="D118" s="98">
        <f>IFERROR(VLOOKUP(A118,PAC!$A$2:$V$5011,16,0),"")</f>
        <v>45413</v>
      </c>
      <c r="E118" s="99" t="str">
        <f>VLOOKUP(A118,PAC!$A$2:$V$5011,17,0)</f>
        <v>90 DIAS</v>
      </c>
      <c r="F118" s="100">
        <f>IFERROR(VLOOKUP(A118,PAC!$A$2:$V$5011,14,0),"")</f>
        <v>100000</v>
      </c>
      <c r="G118" s="100" t="str">
        <f>IFERROR(VLOOKUP(A118,PAC!$A$2:$V$5011,19,0),"")</f>
        <v>LICITAÇÃO</v>
      </c>
      <c r="H118" s="111" t="s">
        <v>1180</v>
      </c>
      <c r="I118" s="111" t="s">
        <v>22</v>
      </c>
      <c r="J118" s="110">
        <f>SUMIF(PAC!$A$2:$A$5011,A118,PAC!$W$2:$W$5011)</f>
        <v>1</v>
      </c>
      <c r="K118" s="110">
        <f t="shared" si="53"/>
        <v>15</v>
      </c>
      <c r="L118" s="102">
        <f t="shared" si="54"/>
        <v>10</v>
      </c>
      <c r="M118" s="102">
        <f t="shared" si="36"/>
        <v>40</v>
      </c>
      <c r="N118" s="102">
        <f t="shared" si="55"/>
        <v>25</v>
      </c>
      <c r="O118" s="102">
        <f t="shared" si="50"/>
        <v>25</v>
      </c>
      <c r="P118" s="102" t="str">
        <f t="shared" si="56"/>
        <v>0</v>
      </c>
      <c r="Q118" s="102" t="str">
        <f t="shared" si="57"/>
        <v>0</v>
      </c>
      <c r="R118" s="102" t="str">
        <f t="shared" si="58"/>
        <v>0</v>
      </c>
      <c r="S118" s="102" t="str">
        <f t="shared" si="51"/>
        <v>0</v>
      </c>
      <c r="T118" s="102">
        <f t="shared" si="59"/>
        <v>5</v>
      </c>
      <c r="U118" s="102">
        <f t="shared" si="52"/>
        <v>18</v>
      </c>
      <c r="V118" s="102">
        <f t="shared" si="60"/>
        <v>138</v>
      </c>
      <c r="W118" s="103">
        <f t="shared" si="43"/>
        <v>45275</v>
      </c>
      <c r="X118" s="103">
        <f t="shared" si="44"/>
        <v>45300</v>
      </c>
      <c r="Y118" s="103">
        <f t="shared" si="45"/>
        <v>45340</v>
      </c>
      <c r="Z118" s="103">
        <f t="shared" si="46"/>
        <v>45365</v>
      </c>
      <c r="AA118" s="103">
        <f t="shared" si="47"/>
        <v>45390</v>
      </c>
      <c r="AB118" s="103" t="str">
        <f t="shared" si="48"/>
        <v>---</v>
      </c>
      <c r="AC118" s="103">
        <f t="shared" si="49"/>
        <v>45395</v>
      </c>
    </row>
    <row r="119" spans="1:29" ht="36">
      <c r="A119" s="88" t="s">
        <v>565</v>
      </c>
      <c r="B119" s="89" t="str">
        <f>IFERROR(VLOOKUP(A119,PAC!$A$2:$V$5011,2,0),"")</f>
        <v>Aquisição de letras de alumínio em 3D para fachada da SSJ-ALTAMIRA, com os dizeres " JUSTIÇA FEDERAL".</v>
      </c>
      <c r="C119" s="90" t="s">
        <v>1206</v>
      </c>
      <c r="D119" s="98">
        <f>IFERROR(VLOOKUP(A119,PAC!$A$2:$V$5011,16,0),"")</f>
        <v>45413</v>
      </c>
      <c r="E119" s="99" t="str">
        <f>VLOOKUP(A119,PAC!$A$2:$V$5011,17,0)</f>
        <v>30 DIAS</v>
      </c>
      <c r="F119" s="100">
        <f>IFERROR(VLOOKUP(A119,PAC!$A$2:$V$5011,14,0),"")</f>
        <v>10000</v>
      </c>
      <c r="G119" s="100" t="s">
        <v>48</v>
      </c>
      <c r="H119" s="111" t="s">
        <v>1180</v>
      </c>
      <c r="I119" s="111" t="s">
        <v>22</v>
      </c>
      <c r="J119" s="110">
        <f>SUMIF(PAC!$A$2:$A$5011,A119,PAC!$W$2:$W$5011)</f>
        <v>1</v>
      </c>
      <c r="K119" s="110">
        <f t="shared" si="53"/>
        <v>15</v>
      </c>
      <c r="L119" s="102">
        <f t="shared" si="54"/>
        <v>10</v>
      </c>
      <c r="M119" s="102" t="str">
        <f t="shared" si="36"/>
        <v>0</v>
      </c>
      <c r="N119" s="102" t="str">
        <f t="shared" si="55"/>
        <v>0</v>
      </c>
      <c r="O119" s="102" t="str">
        <f t="shared" si="50"/>
        <v>0</v>
      </c>
      <c r="P119" s="102">
        <f t="shared" si="56"/>
        <v>35</v>
      </c>
      <c r="Q119" s="102">
        <f t="shared" si="57"/>
        <v>3</v>
      </c>
      <c r="R119" s="102">
        <f t="shared" si="58"/>
        <v>3</v>
      </c>
      <c r="S119" s="102" t="str">
        <f t="shared" si="51"/>
        <v>0</v>
      </c>
      <c r="T119" s="102">
        <f t="shared" si="59"/>
        <v>5</v>
      </c>
      <c r="U119" s="102">
        <f t="shared" si="52"/>
        <v>18</v>
      </c>
      <c r="V119" s="102">
        <f t="shared" si="60"/>
        <v>89</v>
      </c>
      <c r="W119" s="103">
        <f t="shared" si="43"/>
        <v>45324</v>
      </c>
      <c r="X119" s="103">
        <f t="shared" si="44"/>
        <v>45349</v>
      </c>
      <c r="Y119" s="103">
        <f t="shared" si="45"/>
        <v>45384</v>
      </c>
      <c r="Z119" s="103">
        <f t="shared" si="46"/>
        <v>45387</v>
      </c>
      <c r="AA119" s="103">
        <f t="shared" si="47"/>
        <v>45390</v>
      </c>
      <c r="AB119" s="103" t="str">
        <f t="shared" si="48"/>
        <v>---</v>
      </c>
      <c r="AC119" s="103">
        <f t="shared" si="49"/>
        <v>45395</v>
      </c>
    </row>
    <row r="120" spans="1:29" ht="24">
      <c r="A120" s="88" t="s">
        <v>570</v>
      </c>
      <c r="B120" s="89" t="str">
        <f>IFERROR(VLOOKUP(A120,PAC!$A$2:$V$5011,2,0),"")</f>
        <v>Manutenção preventiva do elevador de acessibilidade.</v>
      </c>
      <c r="C120" s="90" t="s">
        <v>1206</v>
      </c>
      <c r="D120" s="98">
        <f>IFERROR(VLOOKUP(A120,PAC!$A$2:$V$5011,16,0),"")</f>
        <v>45292</v>
      </c>
      <c r="E120" s="99" t="str">
        <f>VLOOKUP(A120,PAC!$A$2:$V$5011,17,0)</f>
        <v>30 DIAS</v>
      </c>
      <c r="F120" s="100">
        <f>IFERROR(VLOOKUP(A120,PAC!$A$2:$V$5011,14,0),"")</f>
        <v>12000</v>
      </c>
      <c r="G120" s="100" t="str">
        <f>IFERROR(VLOOKUP(A120,PAC!$A$2:$V$5011,19,0),"")</f>
        <v>DISPENSA</v>
      </c>
      <c r="H120" s="111" t="s">
        <v>1180</v>
      </c>
      <c r="I120" s="111" t="s">
        <v>22</v>
      </c>
      <c r="J120" s="110">
        <f>SUMIF(PAC!$A$2:$A$5011,A120,PAC!$W$2:$W$5011)</f>
        <v>1</v>
      </c>
      <c r="K120" s="110">
        <f t="shared" si="53"/>
        <v>15</v>
      </c>
      <c r="L120" s="102">
        <f t="shared" si="54"/>
        <v>10</v>
      </c>
      <c r="M120" s="102" t="str">
        <f t="shared" si="36"/>
        <v>0</v>
      </c>
      <c r="N120" s="102" t="str">
        <f t="shared" si="55"/>
        <v>0</v>
      </c>
      <c r="O120" s="102" t="str">
        <f t="shared" si="50"/>
        <v>0</v>
      </c>
      <c r="P120" s="102">
        <f t="shared" si="56"/>
        <v>35</v>
      </c>
      <c r="Q120" s="102">
        <f t="shared" si="57"/>
        <v>3</v>
      </c>
      <c r="R120" s="102">
        <f t="shared" si="58"/>
        <v>3</v>
      </c>
      <c r="S120" s="102" t="str">
        <f t="shared" si="51"/>
        <v>0</v>
      </c>
      <c r="T120" s="102">
        <f t="shared" si="59"/>
        <v>5</v>
      </c>
      <c r="U120" s="102">
        <f t="shared" si="52"/>
        <v>18</v>
      </c>
      <c r="V120" s="102">
        <f t="shared" si="60"/>
        <v>89</v>
      </c>
      <c r="W120" s="103">
        <f t="shared" si="43"/>
        <v>45203</v>
      </c>
      <c r="X120" s="103">
        <f t="shared" si="44"/>
        <v>45228</v>
      </c>
      <c r="Y120" s="103">
        <f t="shared" si="45"/>
        <v>45263</v>
      </c>
      <c r="Z120" s="103">
        <f t="shared" si="46"/>
        <v>45266</v>
      </c>
      <c r="AA120" s="103">
        <f t="shared" si="47"/>
        <v>45269</v>
      </c>
      <c r="AB120" s="103" t="str">
        <f t="shared" si="48"/>
        <v>---</v>
      </c>
      <c r="AC120" s="103">
        <f t="shared" si="49"/>
        <v>45274</v>
      </c>
    </row>
    <row r="121" spans="1:29" ht="15">
      <c r="A121" s="88" t="s">
        <v>576</v>
      </c>
      <c r="B121" s="89" t="str">
        <f>IFERROR(VLOOKUP(A121,PAC!$A$2:$V$5011,2,0),"")</f>
        <v>Aquisição de 06 persianas para janelas.</v>
      </c>
      <c r="C121" s="90" t="s">
        <v>1206</v>
      </c>
      <c r="D121" s="98">
        <f>IFERROR(VLOOKUP(A121,PAC!$A$2:$V$5011,16,0),"")</f>
        <v>45444</v>
      </c>
      <c r="E121" s="99" t="str">
        <f>VLOOKUP(A121,PAC!$A$2:$V$5011,17,0)</f>
        <v>30 DIAS</v>
      </c>
      <c r="F121" s="100">
        <f>IFERROR(VLOOKUP(A121,PAC!$A$2:$V$5011,14,0),"")</f>
        <v>4800</v>
      </c>
      <c r="G121" s="100" t="str">
        <f>IFERROR(VLOOKUP(A121,PAC!$A$2:$V$5011,19,0),"")</f>
        <v>DISPENSA</v>
      </c>
      <c r="H121" s="111" t="s">
        <v>1180</v>
      </c>
      <c r="I121" s="111" t="s">
        <v>22</v>
      </c>
      <c r="J121" s="110">
        <f>SUMIF(PAC!$A$2:$A$5011,A121,PAC!$W$2:$W$5011)</f>
        <v>1</v>
      </c>
      <c r="K121" s="110">
        <f t="shared" si="53"/>
        <v>15</v>
      </c>
      <c r="L121" s="102">
        <f t="shared" si="54"/>
        <v>10</v>
      </c>
      <c r="M121" s="102" t="str">
        <f t="shared" si="36"/>
        <v>0</v>
      </c>
      <c r="N121" s="102" t="str">
        <f t="shared" si="55"/>
        <v>0</v>
      </c>
      <c r="O121" s="102" t="str">
        <f t="shared" si="50"/>
        <v>0</v>
      </c>
      <c r="P121" s="102">
        <f t="shared" si="56"/>
        <v>35</v>
      </c>
      <c r="Q121" s="102">
        <f t="shared" si="57"/>
        <v>3</v>
      </c>
      <c r="R121" s="102">
        <f t="shared" si="58"/>
        <v>3</v>
      </c>
      <c r="S121" s="102" t="str">
        <f t="shared" si="51"/>
        <v>0</v>
      </c>
      <c r="T121" s="102">
        <f t="shared" si="59"/>
        <v>5</v>
      </c>
      <c r="U121" s="102">
        <f t="shared" si="52"/>
        <v>18</v>
      </c>
      <c r="V121" s="102">
        <f t="shared" si="60"/>
        <v>89</v>
      </c>
      <c r="W121" s="103">
        <f t="shared" si="43"/>
        <v>45355</v>
      </c>
      <c r="X121" s="103">
        <f t="shared" si="44"/>
        <v>45380</v>
      </c>
      <c r="Y121" s="103">
        <f t="shared" si="45"/>
        <v>45415</v>
      </c>
      <c r="Z121" s="103">
        <f t="shared" si="46"/>
        <v>45418</v>
      </c>
      <c r="AA121" s="103">
        <f t="shared" si="47"/>
        <v>45421</v>
      </c>
      <c r="AB121" s="103" t="str">
        <f t="shared" si="48"/>
        <v>---</v>
      </c>
      <c r="AC121" s="103">
        <f t="shared" si="49"/>
        <v>45426</v>
      </c>
    </row>
    <row r="122" spans="1:29" ht="15">
      <c r="A122" s="116" t="s">
        <v>582</v>
      </c>
      <c r="B122" s="89" t="str">
        <f>IFERROR(VLOOKUP(A122,PAC!$A$2:$V$5011,2,0),"")</f>
        <v>Fornecimento de energia elétrica</v>
      </c>
      <c r="C122" s="90" t="s">
        <v>1207</v>
      </c>
      <c r="D122" s="98">
        <f>IFERROR(VLOOKUP(A122,PAC!$A$2:$V$5011,16,0),"")</f>
        <v>45292</v>
      </c>
      <c r="E122" s="99" t="str">
        <f>VLOOKUP(A122,PAC!$A$2:$V$5011,17,0)</f>
        <v>15 DIAS</v>
      </c>
      <c r="F122" s="100">
        <f>IFERROR(VLOOKUP(A122,PAC!$A$2:$V$5011,14,0),"")</f>
        <v>68631.839999999997</v>
      </c>
      <c r="G122" s="100" t="s">
        <v>48</v>
      </c>
      <c r="H122" s="111" t="s">
        <v>22</v>
      </c>
      <c r="I122" s="111" t="s">
        <v>22</v>
      </c>
      <c r="J122" s="110">
        <f>SUMIF(PAC!$A$2:$A$5011,A122,PAC!$W$2:$W$5011)</f>
        <v>1</v>
      </c>
      <c r="K122" s="110">
        <f t="shared" si="53"/>
        <v>15</v>
      </c>
      <c r="L122" s="102">
        <v>10</v>
      </c>
      <c r="M122" s="102" t="str">
        <f t="shared" si="36"/>
        <v>0</v>
      </c>
      <c r="N122" s="102"/>
      <c r="O122" s="102"/>
      <c r="P122" s="102">
        <f t="shared" si="56"/>
        <v>35</v>
      </c>
      <c r="Q122" s="102">
        <f t="shared" si="57"/>
        <v>3</v>
      </c>
      <c r="R122" s="102">
        <f t="shared" si="58"/>
        <v>3</v>
      </c>
      <c r="S122" s="102"/>
      <c r="T122" s="102"/>
      <c r="U122" s="102"/>
      <c r="V122" s="102"/>
      <c r="W122" s="103">
        <f t="shared" si="43"/>
        <v>45292</v>
      </c>
      <c r="X122" s="103">
        <f t="shared" si="44"/>
        <v>45317</v>
      </c>
      <c r="Y122" s="103">
        <f t="shared" si="45"/>
        <v>45352</v>
      </c>
      <c r="Z122" s="103">
        <f t="shared" si="46"/>
        <v>45355</v>
      </c>
      <c r="AA122" s="103">
        <f t="shared" si="47"/>
        <v>45358</v>
      </c>
      <c r="AB122" s="103" t="str">
        <f t="shared" si="48"/>
        <v>---</v>
      </c>
      <c r="AC122" s="103">
        <f t="shared" si="49"/>
        <v>45358</v>
      </c>
    </row>
    <row r="123" spans="1:29" ht="24">
      <c r="A123" s="116" t="s">
        <v>587</v>
      </c>
      <c r="B123" s="89" t="str">
        <f>IFERROR(VLOOKUP(A123,PAC!$A$2:$V$5011,2,0),"")</f>
        <v>Manutenção preventiva e corretiva em equipamento de ar condicionado</v>
      </c>
      <c r="C123" s="90" t="s">
        <v>1207</v>
      </c>
      <c r="D123" s="98">
        <f>IFERROR(VLOOKUP(A123,PAC!$A$2:$V$5011,16,0),"")</f>
        <v>45474</v>
      </c>
      <c r="E123" s="99" t="str">
        <f>VLOOKUP(A123,PAC!$A$2:$V$5011,17,0)</f>
        <v>30 DIAS</v>
      </c>
      <c r="F123" s="100">
        <f>IFERROR(VLOOKUP(A123,PAC!$A$2:$V$5011,14,0),"")</f>
        <v>18000</v>
      </c>
      <c r="G123" s="100" t="s">
        <v>48</v>
      </c>
      <c r="H123" s="111" t="s">
        <v>1180</v>
      </c>
      <c r="I123" s="111" t="s">
        <v>22</v>
      </c>
      <c r="J123" s="110">
        <f>SUMIF(PAC!$A$2:$A$5011,A123,PAC!$W$2:$W$5011)</f>
        <v>1</v>
      </c>
      <c r="K123" s="110">
        <f t="shared" si="53"/>
        <v>15</v>
      </c>
      <c r="L123" s="102">
        <f t="shared" ref="L123:L146" si="61">IF(OR(G123="dispensa",G123="inexigibilidade",G123="licitação"),10,"0")</f>
        <v>10</v>
      </c>
      <c r="M123" s="102" t="str">
        <f t="shared" si="36"/>
        <v>0</v>
      </c>
      <c r="N123" s="102" t="str">
        <f t="shared" ref="N123:N154" si="62">IF(AND(G123="Licitação"),IF(AND(H123=""),"0",IF(AND(H123="N"),15,IF(AND(H123="C"),25))),"0")</f>
        <v>0</v>
      </c>
      <c r="O123" s="102" t="str">
        <f t="shared" ref="O123:O154" si="63">IF(AND(G123="Licitação"),IF(AND(I123=""),"0",IF(AND(I123="N"),25,IF(AND(I123="S"),40))),"0")</f>
        <v>0</v>
      </c>
      <c r="P123" s="102">
        <f t="shared" si="56"/>
        <v>35</v>
      </c>
      <c r="Q123" s="102">
        <f t="shared" si="57"/>
        <v>3</v>
      </c>
      <c r="R123" s="102">
        <f t="shared" si="58"/>
        <v>3</v>
      </c>
      <c r="S123" s="102" t="str">
        <f t="shared" ref="S123:S154" si="64">IF(OR(G123="prorrogação",G123="renovação"),60,"0")</f>
        <v>0</v>
      </c>
      <c r="T123" s="102">
        <f t="shared" ref="T123:T154" si="65">IF(OR(G123="dispensa",G123="inexigibilidade",G123="licitação"),IF(AND(H123="C"),5,IF(AND(H123="N"),3,IF(AND(H123=""),"0"))),"0")</f>
        <v>5</v>
      </c>
      <c r="U123" s="102">
        <f t="shared" ref="U123:U152" si="66">IF(D123&gt;44549,18,"0")</f>
        <v>18</v>
      </c>
      <c r="V123" s="102">
        <f t="shared" ref="V123:V154" si="67">SUM(K123:U123)</f>
        <v>89</v>
      </c>
      <c r="W123" s="103">
        <f t="shared" si="43"/>
        <v>45385</v>
      </c>
      <c r="X123" s="103">
        <f t="shared" si="44"/>
        <v>45410</v>
      </c>
      <c r="Y123" s="103">
        <f t="shared" si="45"/>
        <v>45445</v>
      </c>
      <c r="Z123" s="103">
        <f t="shared" si="46"/>
        <v>45448</v>
      </c>
      <c r="AA123" s="103">
        <f t="shared" si="47"/>
        <v>45451</v>
      </c>
      <c r="AB123" s="103" t="str">
        <f t="shared" si="48"/>
        <v>---</v>
      </c>
      <c r="AC123" s="103">
        <f t="shared" si="49"/>
        <v>45456</v>
      </c>
    </row>
    <row r="124" spans="1:29" ht="36">
      <c r="A124" s="116" t="s">
        <v>594</v>
      </c>
      <c r="B124" s="89" t="str">
        <f>IFERROR(VLOOKUP(A124,PAC!$A$2:$V$5011,2,0),"")</f>
        <v>Aquisição de material/reposição de informática (materiais periféricos): R$ 5.000,00</v>
      </c>
      <c r="C124" s="90" t="s">
        <v>1207</v>
      </c>
      <c r="D124" s="98">
        <f>IFERROR(VLOOKUP(A124,PAC!$A$2:$V$5011,16,0),"")</f>
        <v>45292</v>
      </c>
      <c r="E124" s="99" t="str">
        <f>VLOOKUP(A124,PAC!$A$2:$V$5011,17,0)</f>
        <v>30DIAS</v>
      </c>
      <c r="F124" s="100">
        <f>IFERROR(VLOOKUP(A124,PAC!$A$2:$V$5011,14,0),"")</f>
        <v>1200</v>
      </c>
      <c r="G124" s="100" t="str">
        <f>IFERROR(VLOOKUP(A124,PAC!$A$2:$V$5011,19,0),"")</f>
        <v>DISPENSA</v>
      </c>
      <c r="H124" s="111" t="s">
        <v>1180</v>
      </c>
      <c r="I124" s="111" t="s">
        <v>22</v>
      </c>
      <c r="J124" s="110">
        <f>SUMIF(PAC!$A$2:$A$5011,A124,PAC!$W$2:$W$5011)</f>
        <v>1</v>
      </c>
      <c r="K124" s="110">
        <f t="shared" si="53"/>
        <v>15</v>
      </c>
      <c r="L124" s="102">
        <f t="shared" si="61"/>
        <v>10</v>
      </c>
      <c r="M124" s="102" t="str">
        <f t="shared" si="36"/>
        <v>0</v>
      </c>
      <c r="N124" s="102" t="str">
        <f t="shared" si="62"/>
        <v>0</v>
      </c>
      <c r="O124" s="102" t="str">
        <f t="shared" si="63"/>
        <v>0</v>
      </c>
      <c r="P124" s="102">
        <f t="shared" si="56"/>
        <v>35</v>
      </c>
      <c r="Q124" s="102">
        <f t="shared" si="57"/>
        <v>3</v>
      </c>
      <c r="R124" s="102">
        <f t="shared" si="58"/>
        <v>3</v>
      </c>
      <c r="S124" s="102" t="str">
        <f t="shared" si="64"/>
        <v>0</v>
      </c>
      <c r="T124" s="102">
        <f t="shared" si="65"/>
        <v>5</v>
      </c>
      <c r="U124" s="102">
        <f t="shared" si="66"/>
        <v>18</v>
      </c>
      <c r="V124" s="102">
        <f t="shared" si="67"/>
        <v>89</v>
      </c>
      <c r="W124" s="103">
        <f t="shared" si="43"/>
        <v>45203</v>
      </c>
      <c r="X124" s="103">
        <f t="shared" si="44"/>
        <v>45228</v>
      </c>
      <c r="Y124" s="103">
        <f t="shared" si="45"/>
        <v>45263</v>
      </c>
      <c r="Z124" s="103">
        <f t="shared" si="46"/>
        <v>45266</v>
      </c>
      <c r="AA124" s="103">
        <f t="shared" si="47"/>
        <v>45269</v>
      </c>
      <c r="AB124" s="103" t="str">
        <f t="shared" si="48"/>
        <v>---</v>
      </c>
      <c r="AC124" s="103">
        <f t="shared" si="49"/>
        <v>45274</v>
      </c>
    </row>
    <row r="125" spans="1:29" ht="24">
      <c r="A125" s="116" t="s">
        <v>602</v>
      </c>
      <c r="B125" s="89" t="str">
        <f>IFERROR(VLOOKUP(A125,PAC!$A$2:$V$5011,2,0),"")</f>
        <v>Locação de imóvel que abriga a Subseção Judiciária de Castanhal</v>
      </c>
      <c r="C125" s="90" t="s">
        <v>1207</v>
      </c>
      <c r="D125" s="98">
        <f>IFERROR(VLOOKUP(A125,PAC!$A$2:$V$5011,16,0),"")</f>
        <v>45292</v>
      </c>
      <c r="E125" s="99" t="str">
        <f>VLOOKUP(A125,PAC!$A$2:$V$5011,17,0)</f>
        <v>15 DIAS</v>
      </c>
      <c r="F125" s="100">
        <f>IFERROR(VLOOKUP(A125,PAC!$A$2:$V$5011,14,0),"")</f>
        <v>348000</v>
      </c>
      <c r="G125" s="100" t="str">
        <f>IFERROR(VLOOKUP(A125,PAC!$A$2:$V$5011,19,0),"")</f>
        <v>INEXIGIBILIDADE</v>
      </c>
      <c r="H125" s="111" t="s">
        <v>22</v>
      </c>
      <c r="I125" s="111" t="s">
        <v>22</v>
      </c>
      <c r="J125" s="110">
        <f>SUMIF(PAC!$A$2:$A$5011,A125,PAC!$W$2:$W$5011)</f>
        <v>1</v>
      </c>
      <c r="K125" s="110">
        <f t="shared" si="53"/>
        <v>15</v>
      </c>
      <c r="L125" s="102">
        <f t="shared" si="61"/>
        <v>10</v>
      </c>
      <c r="M125" s="102" t="str">
        <f t="shared" si="36"/>
        <v>0</v>
      </c>
      <c r="N125" s="102" t="str">
        <f t="shared" si="62"/>
        <v>0</v>
      </c>
      <c r="O125" s="102" t="str">
        <f t="shared" si="63"/>
        <v>0</v>
      </c>
      <c r="P125" s="102">
        <f t="shared" si="56"/>
        <v>35</v>
      </c>
      <c r="Q125" s="102">
        <f t="shared" si="57"/>
        <v>3</v>
      </c>
      <c r="R125" s="102">
        <f t="shared" si="58"/>
        <v>3</v>
      </c>
      <c r="S125" s="102" t="str">
        <f t="shared" si="64"/>
        <v>0</v>
      </c>
      <c r="T125" s="102">
        <f t="shared" si="65"/>
        <v>3</v>
      </c>
      <c r="U125" s="102">
        <f t="shared" si="66"/>
        <v>18</v>
      </c>
      <c r="V125" s="102">
        <f t="shared" si="67"/>
        <v>87</v>
      </c>
      <c r="W125" s="103">
        <f t="shared" si="43"/>
        <v>45205</v>
      </c>
      <c r="X125" s="103">
        <f t="shared" si="44"/>
        <v>45230</v>
      </c>
      <c r="Y125" s="103">
        <f t="shared" si="45"/>
        <v>45265</v>
      </c>
      <c r="Z125" s="103">
        <f t="shared" si="46"/>
        <v>45268</v>
      </c>
      <c r="AA125" s="103">
        <f t="shared" si="47"/>
        <v>45271</v>
      </c>
      <c r="AB125" s="103" t="str">
        <f t="shared" si="48"/>
        <v>---</v>
      </c>
      <c r="AC125" s="103">
        <f t="shared" si="49"/>
        <v>45274</v>
      </c>
    </row>
    <row r="126" spans="1:29" ht="15">
      <c r="A126" s="116" t="s">
        <v>607</v>
      </c>
      <c r="B126" s="89" t="str">
        <f>IFERROR(VLOOKUP(A126,PAC!$A$2:$V$5011,2,0),"")</f>
        <v>Aquisição de peças de centrais de ar.</v>
      </c>
      <c r="C126" s="90" t="s">
        <v>1207</v>
      </c>
      <c r="D126" s="98">
        <f>IFERROR(VLOOKUP(A126,PAC!$A$2:$V$5011,16,0),"")</f>
        <v>45292</v>
      </c>
      <c r="E126" s="99" t="str">
        <f>VLOOKUP(A126,PAC!$A$2:$V$5011,17,0)</f>
        <v>30 DIAS</v>
      </c>
      <c r="F126" s="100">
        <f>IFERROR(VLOOKUP(A126,PAC!$A$2:$V$5011,14,0),"")</f>
        <v>6000</v>
      </c>
      <c r="G126" s="100" t="str">
        <f>IFERROR(VLOOKUP(A126,PAC!$A$2:$V$5011,19,0),"")</f>
        <v>DISPENSA</v>
      </c>
      <c r="H126" s="111" t="s">
        <v>22</v>
      </c>
      <c r="I126" s="111" t="s">
        <v>22</v>
      </c>
      <c r="J126" s="110">
        <f>SUMIF(PAC!$A$2:$A$5011,A126,PAC!$W$2:$W$5011)</f>
        <v>1</v>
      </c>
      <c r="K126" s="110">
        <f t="shared" si="53"/>
        <v>15</v>
      </c>
      <c r="L126" s="102">
        <f t="shared" si="61"/>
        <v>10</v>
      </c>
      <c r="M126" s="102" t="str">
        <f t="shared" si="36"/>
        <v>0</v>
      </c>
      <c r="N126" s="102" t="str">
        <f t="shared" si="62"/>
        <v>0</v>
      </c>
      <c r="O126" s="102" t="str">
        <f t="shared" si="63"/>
        <v>0</v>
      </c>
      <c r="P126" s="102">
        <f t="shared" si="56"/>
        <v>35</v>
      </c>
      <c r="Q126" s="102">
        <f t="shared" si="57"/>
        <v>3</v>
      </c>
      <c r="R126" s="102">
        <f t="shared" si="58"/>
        <v>3</v>
      </c>
      <c r="S126" s="102" t="str">
        <f t="shared" si="64"/>
        <v>0</v>
      </c>
      <c r="T126" s="102">
        <f t="shared" si="65"/>
        <v>3</v>
      </c>
      <c r="U126" s="102">
        <f t="shared" si="66"/>
        <v>18</v>
      </c>
      <c r="V126" s="102">
        <f t="shared" si="67"/>
        <v>87</v>
      </c>
      <c r="W126" s="103">
        <f t="shared" si="43"/>
        <v>45205</v>
      </c>
      <c r="X126" s="103">
        <f t="shared" si="44"/>
        <v>45230</v>
      </c>
      <c r="Y126" s="103">
        <f t="shared" si="45"/>
        <v>45265</v>
      </c>
      <c r="Z126" s="103">
        <f t="shared" si="46"/>
        <v>45268</v>
      </c>
      <c r="AA126" s="103">
        <f t="shared" si="47"/>
        <v>45271</v>
      </c>
      <c r="AB126" s="103" t="str">
        <f t="shared" si="48"/>
        <v>---</v>
      </c>
      <c r="AC126" s="103">
        <f t="shared" si="49"/>
        <v>45274</v>
      </c>
    </row>
    <row r="127" spans="1:29" ht="24">
      <c r="A127" s="116" t="s">
        <v>613</v>
      </c>
      <c r="B127" s="89" t="str">
        <f>IFERROR(VLOOKUP(A127,PAC!$A$2:$V$5011,2,0),"")</f>
        <v>Compra de equipamentos de informática:  6 scaners, 6 impressoras. </v>
      </c>
      <c r="C127" s="90" t="s">
        <v>1207</v>
      </c>
      <c r="D127" s="98">
        <f>IFERROR(VLOOKUP(A127,PAC!$A$2:$V$5011,16,0),"")</f>
        <v>45627</v>
      </c>
      <c r="E127" s="99" t="str">
        <f>VLOOKUP(A127,PAC!$A$2:$V$5011,17,0)</f>
        <v>30 DIAS</v>
      </c>
      <c r="F127" s="100">
        <f>IFERROR(VLOOKUP(A127,PAC!$A$2:$V$5011,14,0),"")</f>
        <v>24728.94</v>
      </c>
      <c r="G127" s="100" t="str">
        <f>IFERROR(VLOOKUP(A127,PAC!$A$2:$V$5011,19,0),"")</f>
        <v>DISPENSA</v>
      </c>
      <c r="H127" s="111" t="s">
        <v>1180</v>
      </c>
      <c r="I127" s="111" t="s">
        <v>22</v>
      </c>
      <c r="J127" s="110">
        <f>SUMIF(PAC!$A$2:$A$5011,A127,PAC!$W$2:$W$5011)</f>
        <v>1</v>
      </c>
      <c r="K127" s="110">
        <f t="shared" si="53"/>
        <v>15</v>
      </c>
      <c r="L127" s="102">
        <f t="shared" si="61"/>
        <v>10</v>
      </c>
      <c r="M127" s="102" t="str">
        <f t="shared" si="36"/>
        <v>0</v>
      </c>
      <c r="N127" s="102" t="str">
        <f t="shared" si="62"/>
        <v>0</v>
      </c>
      <c r="O127" s="102" t="str">
        <f t="shared" si="63"/>
        <v>0</v>
      </c>
      <c r="P127" s="102">
        <f t="shared" si="56"/>
        <v>35</v>
      </c>
      <c r="Q127" s="102">
        <f t="shared" si="57"/>
        <v>3</v>
      </c>
      <c r="R127" s="102">
        <f t="shared" si="58"/>
        <v>3</v>
      </c>
      <c r="S127" s="102" t="str">
        <f t="shared" si="64"/>
        <v>0</v>
      </c>
      <c r="T127" s="102">
        <f t="shared" si="65"/>
        <v>5</v>
      </c>
      <c r="U127" s="102">
        <f t="shared" si="66"/>
        <v>18</v>
      </c>
      <c r="V127" s="102">
        <f t="shared" si="67"/>
        <v>89</v>
      </c>
      <c r="W127" s="103">
        <f t="shared" si="43"/>
        <v>45538</v>
      </c>
      <c r="X127" s="103">
        <f t="shared" si="44"/>
        <v>45563</v>
      </c>
      <c r="Y127" s="103">
        <f t="shared" si="45"/>
        <v>45598</v>
      </c>
      <c r="Z127" s="103">
        <f t="shared" si="46"/>
        <v>45601</v>
      </c>
      <c r="AA127" s="103">
        <f t="shared" si="47"/>
        <v>45604</v>
      </c>
      <c r="AB127" s="103" t="str">
        <f t="shared" si="48"/>
        <v>---</v>
      </c>
      <c r="AC127" s="103">
        <f t="shared" si="49"/>
        <v>45609</v>
      </c>
    </row>
    <row r="128" spans="1:29" ht="24">
      <c r="A128" s="116" t="s">
        <v>618</v>
      </c>
      <c r="B128" s="89" t="str">
        <f>IFERROR(VLOOKUP(A128,PAC!$A$2:$V$5011,2,0),"")</f>
        <v>Compra de equipamentos de informática:  6 scaners, 6 impressoras. </v>
      </c>
      <c r="C128" s="90" t="s">
        <v>1207</v>
      </c>
      <c r="D128" s="98">
        <f>IFERROR(VLOOKUP(A128,PAC!$A$2:$V$5011,16,0),"")</f>
        <v>45627</v>
      </c>
      <c r="E128" s="99" t="str">
        <f>VLOOKUP(A128,PAC!$A$2:$V$5011,17,0)</f>
        <v>30 DIAS</v>
      </c>
      <c r="F128" s="100">
        <f>IFERROR(VLOOKUP(A128,PAC!$A$2:$V$5011,14,0),"")</f>
        <v>20370</v>
      </c>
      <c r="G128" s="100" t="str">
        <f>IFERROR(VLOOKUP(A128,PAC!$A$2:$V$5011,19,0),"")</f>
        <v>DISPENSA</v>
      </c>
      <c r="H128" s="111" t="s">
        <v>22</v>
      </c>
      <c r="I128" s="111" t="s">
        <v>22</v>
      </c>
      <c r="J128" s="110">
        <f>SUMIF(PAC!$A$2:$A$5011,A128,PAC!$W$2:$W$5011)</f>
        <v>1</v>
      </c>
      <c r="K128" s="110">
        <f t="shared" si="53"/>
        <v>15</v>
      </c>
      <c r="L128" s="102">
        <f t="shared" si="61"/>
        <v>10</v>
      </c>
      <c r="M128" s="102" t="str">
        <f t="shared" si="36"/>
        <v>0</v>
      </c>
      <c r="N128" s="102" t="str">
        <f t="shared" si="62"/>
        <v>0</v>
      </c>
      <c r="O128" s="102" t="str">
        <f t="shared" si="63"/>
        <v>0</v>
      </c>
      <c r="P128" s="102">
        <f t="shared" si="56"/>
        <v>35</v>
      </c>
      <c r="Q128" s="102">
        <f t="shared" si="57"/>
        <v>3</v>
      </c>
      <c r="R128" s="102">
        <f t="shared" si="58"/>
        <v>3</v>
      </c>
      <c r="S128" s="102" t="str">
        <f t="shared" si="64"/>
        <v>0</v>
      </c>
      <c r="T128" s="102">
        <f t="shared" si="65"/>
        <v>3</v>
      </c>
      <c r="U128" s="102">
        <f t="shared" si="66"/>
        <v>18</v>
      </c>
      <c r="V128" s="102">
        <f t="shared" si="67"/>
        <v>87</v>
      </c>
      <c r="W128" s="103">
        <f t="shared" si="43"/>
        <v>45540</v>
      </c>
      <c r="X128" s="103">
        <f t="shared" si="44"/>
        <v>45565</v>
      </c>
      <c r="Y128" s="103">
        <f t="shared" si="45"/>
        <v>45600</v>
      </c>
      <c r="Z128" s="103">
        <f t="shared" si="46"/>
        <v>45603</v>
      </c>
      <c r="AA128" s="103">
        <f t="shared" si="47"/>
        <v>45606</v>
      </c>
      <c r="AB128" s="103" t="str">
        <f t="shared" si="48"/>
        <v>---</v>
      </c>
      <c r="AC128" s="103">
        <f t="shared" si="49"/>
        <v>45609</v>
      </c>
    </row>
    <row r="129" spans="1:29" ht="24">
      <c r="A129" s="116" t="s">
        <v>620</v>
      </c>
      <c r="B129" s="89" t="str">
        <f>IFERROR(VLOOKUP(A129,PAC!$A$2:$V$5011,2,0),"")</f>
        <v>Compra de equpamentos de informatica: 10 teclados, 10 mouses e 5 cabos HDMI.</v>
      </c>
      <c r="C129" s="90" t="s">
        <v>1207</v>
      </c>
      <c r="D129" s="98">
        <f>IFERROR(VLOOKUP(A129,PAC!$A$2:$V$5011,16,0),"")</f>
        <v>45645</v>
      </c>
      <c r="E129" s="99" t="str">
        <f>VLOOKUP(A129,PAC!$A$2:$V$5011,17,0)</f>
        <v>30 DIAS</v>
      </c>
      <c r="F129" s="100">
        <f>IFERROR(VLOOKUP(A129,PAC!$A$2:$V$5011,14,0),"")</f>
        <v>120</v>
      </c>
      <c r="G129" s="100" t="str">
        <f>IFERROR(VLOOKUP(A129,PAC!$A$2:$V$5011,19,0),"")</f>
        <v>DISPENSA</v>
      </c>
      <c r="H129" s="111" t="s">
        <v>22</v>
      </c>
      <c r="I129" s="111" t="s">
        <v>22</v>
      </c>
      <c r="J129" s="110">
        <f>SUMIF(PAC!$A$2:$A$5011,A129,PAC!$W$2:$W$5011)</f>
        <v>1</v>
      </c>
      <c r="K129" s="110">
        <f t="shared" si="53"/>
        <v>15</v>
      </c>
      <c r="L129" s="102">
        <f t="shared" si="61"/>
        <v>10</v>
      </c>
      <c r="M129" s="102" t="str">
        <f t="shared" si="36"/>
        <v>0</v>
      </c>
      <c r="N129" s="102" t="str">
        <f t="shared" si="62"/>
        <v>0</v>
      </c>
      <c r="O129" s="102" t="str">
        <f t="shared" si="63"/>
        <v>0</v>
      </c>
      <c r="P129" s="102">
        <f t="shared" si="56"/>
        <v>35</v>
      </c>
      <c r="Q129" s="102">
        <f t="shared" si="57"/>
        <v>3</v>
      </c>
      <c r="R129" s="102">
        <f t="shared" si="58"/>
        <v>3</v>
      </c>
      <c r="S129" s="102" t="str">
        <f t="shared" si="64"/>
        <v>0</v>
      </c>
      <c r="T129" s="102">
        <f t="shared" si="65"/>
        <v>3</v>
      </c>
      <c r="U129" s="102">
        <f t="shared" si="66"/>
        <v>18</v>
      </c>
      <c r="V129" s="102">
        <f t="shared" si="67"/>
        <v>87</v>
      </c>
      <c r="W129" s="103">
        <f t="shared" si="43"/>
        <v>45558</v>
      </c>
      <c r="X129" s="103">
        <f t="shared" si="44"/>
        <v>45583</v>
      </c>
      <c r="Y129" s="103">
        <f t="shared" si="45"/>
        <v>45618</v>
      </c>
      <c r="Z129" s="103">
        <f t="shared" si="46"/>
        <v>45621</v>
      </c>
      <c r="AA129" s="103">
        <f t="shared" si="47"/>
        <v>45624</v>
      </c>
      <c r="AB129" s="103" t="str">
        <f t="shared" si="48"/>
        <v>---</v>
      </c>
      <c r="AC129" s="103">
        <f t="shared" si="49"/>
        <v>45627</v>
      </c>
    </row>
    <row r="130" spans="1:29" ht="24">
      <c r="A130" s="116" t="s">
        <v>623</v>
      </c>
      <c r="B130" s="89" t="str">
        <f>IFERROR(VLOOKUP(A130,PAC!$A$2:$V$5011,2,0),"")</f>
        <v>Compra de equpamentos de informatica: 10 teclados, 10 mouses e 5 cabos HDMI.</v>
      </c>
      <c r="C130" s="90" t="s">
        <v>1207</v>
      </c>
      <c r="D130" s="98">
        <f>IFERROR(VLOOKUP(A130,PAC!$A$2:$V$5011,16,0),"")</f>
        <v>45645</v>
      </c>
      <c r="E130" s="99" t="str">
        <f>VLOOKUP(A130,PAC!$A$2:$V$5011,17,0)</f>
        <v>30 DIAS</v>
      </c>
      <c r="F130" s="100">
        <f>IFERROR(VLOOKUP(A130,PAC!$A$2:$V$5011,14,0),"")</f>
        <v>300</v>
      </c>
      <c r="G130" s="100" t="s">
        <v>48</v>
      </c>
      <c r="H130" s="111" t="s">
        <v>22</v>
      </c>
      <c r="I130" s="111" t="s">
        <v>22</v>
      </c>
      <c r="J130" s="110">
        <f>SUMIF(PAC!$A$2:$A$5011,A130,PAC!$W$2:$W$5011)</f>
        <v>1</v>
      </c>
      <c r="K130" s="110">
        <f t="shared" si="53"/>
        <v>15</v>
      </c>
      <c r="L130" s="102">
        <f t="shared" si="61"/>
        <v>10</v>
      </c>
      <c r="M130" s="102" t="str">
        <f t="shared" si="36"/>
        <v>0</v>
      </c>
      <c r="N130" s="102" t="str">
        <f t="shared" si="62"/>
        <v>0</v>
      </c>
      <c r="O130" s="102" t="str">
        <f t="shared" si="63"/>
        <v>0</v>
      </c>
      <c r="P130" s="102">
        <f t="shared" si="56"/>
        <v>35</v>
      </c>
      <c r="Q130" s="102">
        <f t="shared" si="57"/>
        <v>3</v>
      </c>
      <c r="R130" s="102">
        <f t="shared" si="58"/>
        <v>3</v>
      </c>
      <c r="S130" s="102" t="str">
        <f t="shared" si="64"/>
        <v>0</v>
      </c>
      <c r="T130" s="102">
        <f t="shared" si="65"/>
        <v>3</v>
      </c>
      <c r="U130" s="102">
        <f t="shared" si="66"/>
        <v>18</v>
      </c>
      <c r="V130" s="102">
        <f t="shared" si="67"/>
        <v>87</v>
      </c>
      <c r="W130" s="103">
        <f t="shared" si="43"/>
        <v>45558</v>
      </c>
      <c r="X130" s="103">
        <f t="shared" si="44"/>
        <v>45583</v>
      </c>
      <c r="Y130" s="103">
        <f t="shared" si="45"/>
        <v>45618</v>
      </c>
      <c r="Z130" s="103">
        <f t="shared" si="46"/>
        <v>45621</v>
      </c>
      <c r="AA130" s="103">
        <f t="shared" si="47"/>
        <v>45624</v>
      </c>
      <c r="AB130" s="103" t="str">
        <f t="shared" si="48"/>
        <v>---</v>
      </c>
      <c r="AC130" s="103">
        <f t="shared" si="49"/>
        <v>45627</v>
      </c>
    </row>
    <row r="131" spans="1:29" ht="24">
      <c r="A131" s="116" t="s">
        <v>625</v>
      </c>
      <c r="B131" s="89" t="str">
        <f>IFERROR(VLOOKUP(A131,PAC!$A$2:$V$5011,2,0),"")</f>
        <v>Aquisição de persianas para SSJCAH - 1º e 2º andar</v>
      </c>
      <c r="C131" s="90" t="s">
        <v>1207</v>
      </c>
      <c r="D131" s="98">
        <f>IFERROR(VLOOKUP(A131,PAC!$A$2:$V$5011,16,0),"")</f>
        <v>45645</v>
      </c>
      <c r="E131" s="99" t="str">
        <f>VLOOKUP(A131,PAC!$A$2:$V$5011,17,0)</f>
        <v>30 DIAS</v>
      </c>
      <c r="F131" s="100">
        <f>IFERROR(VLOOKUP(A131,PAC!$A$2:$V$5011,14,0),"")</f>
        <v>7350</v>
      </c>
      <c r="G131" s="100" t="s">
        <v>48</v>
      </c>
      <c r="H131" s="111" t="s">
        <v>22</v>
      </c>
      <c r="I131" s="111" t="s">
        <v>22</v>
      </c>
      <c r="J131" s="110">
        <f>SUMIF(PAC!$A$2:$A$5011,A131,PAC!$W$2:$W$5011)</f>
        <v>1</v>
      </c>
      <c r="K131" s="110">
        <f t="shared" si="53"/>
        <v>15</v>
      </c>
      <c r="L131" s="102">
        <f t="shared" si="61"/>
        <v>10</v>
      </c>
      <c r="M131" s="102" t="str">
        <f t="shared" si="36"/>
        <v>0</v>
      </c>
      <c r="N131" s="102" t="str">
        <f t="shared" si="62"/>
        <v>0</v>
      </c>
      <c r="O131" s="102" t="str">
        <f t="shared" si="63"/>
        <v>0</v>
      </c>
      <c r="P131" s="102">
        <f t="shared" si="56"/>
        <v>35</v>
      </c>
      <c r="Q131" s="102">
        <f t="shared" si="57"/>
        <v>3</v>
      </c>
      <c r="R131" s="102">
        <f t="shared" si="58"/>
        <v>3</v>
      </c>
      <c r="S131" s="102" t="str">
        <f t="shared" si="64"/>
        <v>0</v>
      </c>
      <c r="T131" s="102">
        <f t="shared" si="65"/>
        <v>3</v>
      </c>
      <c r="U131" s="102">
        <f t="shared" si="66"/>
        <v>18</v>
      </c>
      <c r="V131" s="102">
        <f t="shared" si="67"/>
        <v>87</v>
      </c>
      <c r="W131" s="103">
        <f t="shared" si="43"/>
        <v>45558</v>
      </c>
      <c r="X131" s="103">
        <f t="shared" si="44"/>
        <v>45583</v>
      </c>
      <c r="Y131" s="103">
        <f t="shared" si="45"/>
        <v>45618</v>
      </c>
      <c r="Z131" s="103">
        <f t="shared" si="46"/>
        <v>45621</v>
      </c>
      <c r="AA131" s="103">
        <f t="shared" si="47"/>
        <v>45624</v>
      </c>
      <c r="AB131" s="103" t="str">
        <f t="shared" si="48"/>
        <v>---</v>
      </c>
      <c r="AC131" s="103">
        <f t="shared" si="49"/>
        <v>45627</v>
      </c>
    </row>
    <row r="132" spans="1:29" ht="15">
      <c r="A132" s="116" t="s">
        <v>631</v>
      </c>
      <c r="B132" s="89" t="str">
        <f>IFERROR(VLOOKUP(A132,PAC!$A$2:$V$5011,2,0),"")</f>
        <v>Recarga de Extintores</v>
      </c>
      <c r="C132" s="90" t="s">
        <v>1207</v>
      </c>
      <c r="D132" s="98">
        <f>IFERROR(VLOOKUP(A132,PAC!$A$2:$V$5011,16,0),"")</f>
        <v>45323</v>
      </c>
      <c r="E132" s="99" t="str">
        <f>VLOOKUP(A132,PAC!$A$2:$V$5011,17,0)</f>
        <v>30 DIAS</v>
      </c>
      <c r="F132" s="100">
        <f>IFERROR(VLOOKUP(A132,PAC!$A$2:$V$5011,14,0),"")</f>
        <v>780</v>
      </c>
      <c r="G132" s="100" t="str">
        <f>IFERROR(VLOOKUP(A132,PAC!$A$2:$V$5011,19,0),"")</f>
        <v>DISPENSA</v>
      </c>
      <c r="H132" s="111" t="s">
        <v>22</v>
      </c>
      <c r="I132" s="111" t="s">
        <v>22</v>
      </c>
      <c r="J132" s="110">
        <f>SUMIF(PAC!$A$2:$A$5011,A132,PAC!$W$2:$W$5011)</f>
        <v>1</v>
      </c>
      <c r="K132" s="110">
        <f t="shared" si="53"/>
        <v>15</v>
      </c>
      <c r="L132" s="102">
        <f t="shared" si="61"/>
        <v>10</v>
      </c>
      <c r="M132" s="102" t="str">
        <f t="shared" si="36"/>
        <v>0</v>
      </c>
      <c r="N132" s="102" t="str">
        <f t="shared" si="62"/>
        <v>0</v>
      </c>
      <c r="O132" s="102" t="str">
        <f t="shared" si="63"/>
        <v>0</v>
      </c>
      <c r="P132" s="102">
        <f t="shared" si="56"/>
        <v>35</v>
      </c>
      <c r="Q132" s="102">
        <f t="shared" si="57"/>
        <v>3</v>
      </c>
      <c r="R132" s="102">
        <f t="shared" si="58"/>
        <v>3</v>
      </c>
      <c r="S132" s="102" t="str">
        <f t="shared" si="64"/>
        <v>0</v>
      </c>
      <c r="T132" s="102">
        <f t="shared" si="65"/>
        <v>3</v>
      </c>
      <c r="U132" s="102">
        <f t="shared" si="66"/>
        <v>18</v>
      </c>
      <c r="V132" s="102">
        <f t="shared" si="67"/>
        <v>87</v>
      </c>
      <c r="W132" s="103">
        <f t="shared" si="43"/>
        <v>45236</v>
      </c>
      <c r="X132" s="103">
        <f t="shared" si="44"/>
        <v>45261</v>
      </c>
      <c r="Y132" s="103">
        <f t="shared" si="45"/>
        <v>45296</v>
      </c>
      <c r="Z132" s="103">
        <f t="shared" si="46"/>
        <v>45299</v>
      </c>
      <c r="AA132" s="103">
        <f t="shared" si="47"/>
        <v>45302</v>
      </c>
      <c r="AB132" s="103" t="str">
        <f t="shared" si="48"/>
        <v>---</v>
      </c>
      <c r="AC132" s="103">
        <f t="shared" si="49"/>
        <v>45305</v>
      </c>
    </row>
    <row r="133" spans="1:29" ht="15">
      <c r="A133" s="116" t="s">
        <v>635</v>
      </c>
      <c r="B133" s="89" t="str">
        <f>IFERROR(VLOOKUP(A133,PAC!$A$2:$V$5011,2,0),"")</f>
        <v>Recarga de Extintores</v>
      </c>
      <c r="C133" s="90" t="s">
        <v>1207</v>
      </c>
      <c r="D133" s="98">
        <f>IFERROR(VLOOKUP(A133,PAC!$A$2:$V$5011,16,0),"")</f>
        <v>45323</v>
      </c>
      <c r="E133" s="99" t="str">
        <f>VLOOKUP(A133,PAC!$A$2:$V$5011,17,0)</f>
        <v>30 DIAS</v>
      </c>
      <c r="F133" s="100">
        <f>IFERROR(VLOOKUP(A133,PAC!$A$2:$V$5011,14,0),"")</f>
        <v>780</v>
      </c>
      <c r="G133" s="100" t="str">
        <f>IFERROR(VLOOKUP(A133,PAC!$A$2:$V$5011,19,0),"")</f>
        <v>DISPENSA</v>
      </c>
      <c r="H133" s="111" t="s">
        <v>22</v>
      </c>
      <c r="I133" s="111" t="s">
        <v>22</v>
      </c>
      <c r="J133" s="110">
        <f>SUMIF(PAC!$A$2:$A$5011,A133,PAC!$W$2:$W$5011)</f>
        <v>1</v>
      </c>
      <c r="K133" s="110">
        <f t="shared" si="53"/>
        <v>15</v>
      </c>
      <c r="L133" s="102">
        <f t="shared" si="61"/>
        <v>10</v>
      </c>
      <c r="M133" s="102" t="str">
        <f t="shared" si="36"/>
        <v>0</v>
      </c>
      <c r="N133" s="102" t="str">
        <f t="shared" si="62"/>
        <v>0</v>
      </c>
      <c r="O133" s="102" t="str">
        <f t="shared" si="63"/>
        <v>0</v>
      </c>
      <c r="P133" s="102">
        <f t="shared" si="56"/>
        <v>35</v>
      </c>
      <c r="Q133" s="102">
        <f t="shared" si="57"/>
        <v>3</v>
      </c>
      <c r="R133" s="102">
        <f t="shared" si="58"/>
        <v>3</v>
      </c>
      <c r="S133" s="102" t="str">
        <f t="shared" si="64"/>
        <v>0</v>
      </c>
      <c r="T133" s="102">
        <f t="shared" si="65"/>
        <v>3</v>
      </c>
      <c r="U133" s="102">
        <f t="shared" si="66"/>
        <v>18</v>
      </c>
      <c r="V133" s="102">
        <f t="shared" si="67"/>
        <v>87</v>
      </c>
      <c r="W133" s="103">
        <f t="shared" si="43"/>
        <v>45236</v>
      </c>
      <c r="X133" s="103">
        <f t="shared" si="44"/>
        <v>45261</v>
      </c>
      <c r="Y133" s="103">
        <f t="shared" si="45"/>
        <v>45296</v>
      </c>
      <c r="Z133" s="103">
        <f t="shared" si="46"/>
        <v>45299</v>
      </c>
      <c r="AA133" s="103">
        <f t="shared" si="47"/>
        <v>45302</v>
      </c>
      <c r="AB133" s="103" t="str">
        <f t="shared" si="48"/>
        <v>---</v>
      </c>
      <c r="AC133" s="103">
        <f t="shared" si="49"/>
        <v>45305</v>
      </c>
    </row>
    <row r="134" spans="1:29" ht="60">
      <c r="A134" s="116" t="s">
        <v>637</v>
      </c>
      <c r="B134" s="89" t="str">
        <f>IFERROR(VLOOKUP(A134,PAC!$A$2:$V$5011,2,0),"")</f>
        <v> Aquisição de aparelhos de ar condicionado, capacidade refrigeração: 60.000 BTUs e 45.000 BTUs, tensão: 220 v, tipo: split, características adicionais 1: controle remoto sem fio, inverter </v>
      </c>
      <c r="C134" s="90" t="s">
        <v>1207</v>
      </c>
      <c r="D134" s="98">
        <f>IFERROR(VLOOKUP(A134,PAC!$A$2:$V$5011,16,0),"")</f>
        <v>45536</v>
      </c>
      <c r="E134" s="99" t="str">
        <f>VLOOKUP(A134,PAC!$A$2:$V$5011,17,0)</f>
        <v>30 DIAS</v>
      </c>
      <c r="F134" s="100">
        <f>IFERROR(VLOOKUP(A134,PAC!$A$2:$V$5011,14,0),"")</f>
        <v>15298</v>
      </c>
      <c r="G134" s="100" t="str">
        <f>IFERROR(VLOOKUP(A134,PAC!$A$2:$V$5011,19,0),"")</f>
        <v>DISPENSA</v>
      </c>
      <c r="H134" s="111" t="s">
        <v>22</v>
      </c>
      <c r="I134" s="111" t="s">
        <v>22</v>
      </c>
      <c r="J134" s="110">
        <f>SUMIF(PAC!$A$2:$A$5011,A134,PAC!$W$2:$W$5011)</f>
        <v>1</v>
      </c>
      <c r="K134" s="110">
        <f t="shared" ref="K134:K146" si="68">IF(OR(G134="dispensa",G134="inexigibilidade",G134="licitação"),15,"0")</f>
        <v>15</v>
      </c>
      <c r="L134" s="102">
        <f t="shared" si="61"/>
        <v>10</v>
      </c>
      <c r="M134" s="102" t="str">
        <f t="shared" ref="M134:M197" si="69">IF(AND(G134="Licitação"),IF(AND(H134=""),"0",IF(AND(H134="N"),20,IF(AND(H134="C"),40))),"0")</f>
        <v>0</v>
      </c>
      <c r="N134" s="102" t="str">
        <f t="shared" si="62"/>
        <v>0</v>
      </c>
      <c r="O134" s="102" t="str">
        <f t="shared" si="63"/>
        <v>0</v>
      </c>
      <c r="P134" s="102">
        <f t="shared" ref="P134:P146" si="70">IF(OR(G134="dispensa",G134="inexigibilidade"),IF(AND(J134=0),0,IF(AND(J134&gt;0,J134&lt;11),35,IF(AND(J134&gt;10,J134&lt;21),45,IF(AND(J134&gt;20),60)))),"0")</f>
        <v>35</v>
      </c>
      <c r="Q134" s="102">
        <f t="shared" ref="Q134:Q146" si="71">IF(OR(G134="dispensa",G134="inexigibilidade"),3,"0")</f>
        <v>3</v>
      </c>
      <c r="R134" s="102">
        <f t="shared" ref="R134:R146" si="72">IF(OR(G134="dispensa",G134="inexigibilidade"),3,"0")</f>
        <v>3</v>
      </c>
      <c r="S134" s="102" t="str">
        <f t="shared" si="64"/>
        <v>0</v>
      </c>
      <c r="T134" s="102">
        <f t="shared" si="65"/>
        <v>3</v>
      </c>
      <c r="U134" s="102">
        <f t="shared" si="66"/>
        <v>18</v>
      </c>
      <c r="V134" s="102">
        <f t="shared" si="67"/>
        <v>87</v>
      </c>
      <c r="W134" s="103">
        <f t="shared" ref="W134:W197" si="73">IF(AND($G134="licitação"),$D134-$V134,IF(AND($G134="dispensa"),$D134-$V134,IF(AND($G134="inexigibilidade"),$D134-$V134,IF(AND($G134="renovação"),"---",IF(AND($G134="prorrogação"),"---",IF(AND($G134=""),"---"))))))</f>
        <v>45449</v>
      </c>
      <c r="X134" s="103">
        <f t="shared" ref="X134:X197" si="74">IF(AND($G134="licitação"),$W134+$K134+$L134,IF(AND($G134="dispensa"),$W134+$K134+$L134,IF(AND($G134="inexigibilidade"),$W134+$K134+$L134,IF(AND($G134="renovação"),"---",IF(AND($G134="prorrogação"),"---",IF(AND($G134=""),"---"))))))</f>
        <v>45474</v>
      </c>
      <c r="Y134" s="103">
        <f t="shared" ref="Y134:Y197" si="75">IF(AND($G134="licitação"),$X134+$M134,IF(AND($G134="dispensa"),$X134+$P134,IF(AND($G134="inexigibilidade"),$X134+$P134,IF(AND($G134="prorrogação"),"---",IF(AND($G134="renovação"),"---",IF(AND($G134=""),"---"))))))</f>
        <v>45509</v>
      </c>
      <c r="Z134" s="103">
        <f t="shared" ref="Z134:Z197" si="76">IF(AND($G134="licitação"),$Y134+$N134,IF(AND($G134="dispensa"),$Y134+$Q134,IF(AND($G134="inexigibilidade"),$Y134+$Q134,IF(AND($G134="prorrogação"),"---",IF(AND($G134="renovação"),"---",IF(AND($G134=""),"---"))))))</f>
        <v>45512</v>
      </c>
      <c r="AA134" s="103">
        <f t="shared" ref="AA134:AA197" si="77">IF(AND($G134="licitação"),$Z134+$O134,IF(AND($G134="dispensa"),$Z134+$R134,IF(AND($G134="inexigibilidade"),$Z134+$R134,IF(AND($G134="prorrogação"),"---",IF(AND($G134="renovação"),"---",IF(AND($G134=""),"---"))))))</f>
        <v>45515</v>
      </c>
      <c r="AB134" s="103" t="str">
        <f t="shared" ref="AB134:AB197" si="78">IF(AND($G134="licitação"),"---",IF(AND($G134="dispensa"),"---",IF(AND($G134="inexigibilidade"),"---",IF(AND($G134="renovação"),$D134-$V134,IF(AND($G134="prorrogação"),$D134-$V134,IF(AND($G134=""),"---"))))))</f>
        <v>---</v>
      </c>
      <c r="AC134" s="103">
        <f t="shared" ref="AC134:AC197" si="79">IF(AND($G134="licitação"),AA134+T134,IF(AND($G134="dispensa"),AA134+T134,IF(AND($G134="inexigibilidade"),AA134+T134,IF(AND($G134="renovação"),$AB134+$S134,IF(AND($G134="prorrogação"),$AB134+$S134,IF(AND($G134=""),"---"))))))</f>
        <v>45518</v>
      </c>
    </row>
    <row r="135" spans="1:29" ht="60">
      <c r="A135" s="116" t="s">
        <v>644</v>
      </c>
      <c r="B135" s="89" t="str">
        <f>IFERROR(VLOOKUP(A135,PAC!$A$2:$V$5011,2,0),"")</f>
        <v> Aquisição de aparelhos de ar condicionado, capacidade refrigeração: 60.000 BTUs e 45.000 BTUs, tensão: 220 v, tipo: split, características adicionais 1: controle remoto sem fio, inverter </v>
      </c>
      <c r="C135" s="90" t="s">
        <v>1207</v>
      </c>
      <c r="D135" s="98">
        <f>IFERROR(VLOOKUP(A135,PAC!$A$2:$V$5011,16,0),"")</f>
        <v>45536</v>
      </c>
      <c r="E135" s="99" t="str">
        <f>VLOOKUP(A135,PAC!$A$2:$V$5011,17,0)</f>
        <v>30 DIAS</v>
      </c>
      <c r="F135" s="100">
        <f>IFERROR(VLOOKUP(A135,PAC!$A$2:$V$5011,14,0),"")</f>
        <v>13294.34</v>
      </c>
      <c r="G135" s="100" t="str">
        <f>IFERROR(VLOOKUP(A135,PAC!$A$2:$V$5011,19,0),"")</f>
        <v>DISPENSA</v>
      </c>
      <c r="H135" s="111" t="s">
        <v>22</v>
      </c>
      <c r="I135" s="111" t="s">
        <v>22</v>
      </c>
      <c r="J135" s="110">
        <f>SUMIF(PAC!$A$2:$A$5011,A135,PAC!$W$2:$W$5011)</f>
        <v>1</v>
      </c>
      <c r="K135" s="110">
        <f t="shared" si="68"/>
        <v>15</v>
      </c>
      <c r="L135" s="102">
        <f t="shared" si="61"/>
        <v>10</v>
      </c>
      <c r="M135" s="102" t="str">
        <f t="shared" si="69"/>
        <v>0</v>
      </c>
      <c r="N135" s="102" t="str">
        <f t="shared" si="62"/>
        <v>0</v>
      </c>
      <c r="O135" s="102" t="str">
        <f t="shared" si="63"/>
        <v>0</v>
      </c>
      <c r="P135" s="102">
        <f t="shared" si="70"/>
        <v>35</v>
      </c>
      <c r="Q135" s="102">
        <f t="shared" si="71"/>
        <v>3</v>
      </c>
      <c r="R135" s="102">
        <f t="shared" si="72"/>
        <v>3</v>
      </c>
      <c r="S135" s="102" t="str">
        <f t="shared" si="64"/>
        <v>0</v>
      </c>
      <c r="T135" s="102">
        <f t="shared" si="65"/>
        <v>3</v>
      </c>
      <c r="U135" s="102">
        <f t="shared" si="66"/>
        <v>18</v>
      </c>
      <c r="V135" s="102">
        <f t="shared" si="67"/>
        <v>87</v>
      </c>
      <c r="W135" s="103">
        <f t="shared" si="73"/>
        <v>45449</v>
      </c>
      <c r="X135" s="103">
        <f t="shared" si="74"/>
        <v>45474</v>
      </c>
      <c r="Y135" s="103">
        <f t="shared" si="75"/>
        <v>45509</v>
      </c>
      <c r="Z135" s="103">
        <f t="shared" si="76"/>
        <v>45512</v>
      </c>
      <c r="AA135" s="103">
        <f t="shared" si="77"/>
        <v>45515</v>
      </c>
      <c r="AB135" s="103" t="str">
        <f t="shared" si="78"/>
        <v>---</v>
      </c>
      <c r="AC135" s="103">
        <f t="shared" si="79"/>
        <v>45518</v>
      </c>
    </row>
    <row r="136" spans="1:29" ht="24">
      <c r="A136" s="116" t="s">
        <v>646</v>
      </c>
      <c r="B136" s="89" t="str">
        <f>IFERROR(VLOOKUP(A136,PAC!$A$2:$V$5011,2,0),"")</f>
        <v>Instalação de ar condicionados de 18.000 e 22.000 btus</v>
      </c>
      <c r="C136" s="90" t="s">
        <v>1207</v>
      </c>
      <c r="D136" s="98">
        <f>IFERROR(VLOOKUP(A136,PAC!$A$2:$V$5011,16,0),"")</f>
        <v>45645</v>
      </c>
      <c r="E136" s="99" t="str">
        <f>VLOOKUP(A136,PAC!$A$2:$V$5011,17,0)</f>
        <v>30 DIAS</v>
      </c>
      <c r="F136" s="100">
        <f>IFERROR(VLOOKUP(A136,PAC!$A$2:$V$5011,14,0),"")</f>
        <v>4400</v>
      </c>
      <c r="G136" s="100" t="str">
        <f>IFERROR(VLOOKUP(A136,PAC!$A$2:$V$5011,19,0),"")</f>
        <v>DISPENSA</v>
      </c>
      <c r="H136" s="111" t="s">
        <v>22</v>
      </c>
      <c r="I136" s="111" t="s">
        <v>22</v>
      </c>
      <c r="J136" s="110">
        <f>SUMIF(PAC!$A$2:$A$5011,A136,PAC!$W$2:$W$5011)</f>
        <v>1</v>
      </c>
      <c r="K136" s="110">
        <f t="shared" si="68"/>
        <v>15</v>
      </c>
      <c r="L136" s="102">
        <f t="shared" si="61"/>
        <v>10</v>
      </c>
      <c r="M136" s="102" t="str">
        <f t="shared" si="69"/>
        <v>0</v>
      </c>
      <c r="N136" s="102" t="str">
        <f t="shared" si="62"/>
        <v>0</v>
      </c>
      <c r="O136" s="102" t="str">
        <f t="shared" si="63"/>
        <v>0</v>
      </c>
      <c r="P136" s="102">
        <f t="shared" si="70"/>
        <v>35</v>
      </c>
      <c r="Q136" s="102">
        <f t="shared" si="71"/>
        <v>3</v>
      </c>
      <c r="R136" s="102">
        <f t="shared" si="72"/>
        <v>3</v>
      </c>
      <c r="S136" s="102" t="str">
        <f t="shared" si="64"/>
        <v>0</v>
      </c>
      <c r="T136" s="102">
        <f t="shared" si="65"/>
        <v>3</v>
      </c>
      <c r="U136" s="102">
        <f t="shared" si="66"/>
        <v>18</v>
      </c>
      <c r="V136" s="102">
        <f t="shared" si="67"/>
        <v>87</v>
      </c>
      <c r="W136" s="103">
        <f t="shared" si="73"/>
        <v>45558</v>
      </c>
      <c r="X136" s="103">
        <f t="shared" si="74"/>
        <v>45583</v>
      </c>
      <c r="Y136" s="103">
        <f t="shared" si="75"/>
        <v>45618</v>
      </c>
      <c r="Z136" s="103">
        <f t="shared" si="76"/>
        <v>45621</v>
      </c>
      <c r="AA136" s="103">
        <f t="shared" si="77"/>
        <v>45624</v>
      </c>
      <c r="AB136" s="103" t="str">
        <f t="shared" si="78"/>
        <v>---</v>
      </c>
      <c r="AC136" s="103">
        <f t="shared" si="79"/>
        <v>45627</v>
      </c>
    </row>
    <row r="137" spans="1:29" ht="24">
      <c r="A137" s="116" t="s">
        <v>651</v>
      </c>
      <c r="B137" s="89" t="str">
        <f>IFERROR(VLOOKUP(A137,PAC!$A$2:$V$5011,2,0),"")</f>
        <v>Gás Refrigerante R410A em cilindro de 11,3kg</v>
      </c>
      <c r="C137" s="90" t="s">
        <v>1207</v>
      </c>
      <c r="D137" s="98">
        <f>IFERROR(VLOOKUP(A137,PAC!$A$2:$V$5011,16,0),"")</f>
        <v>45323</v>
      </c>
      <c r="E137" s="99" t="str">
        <f>VLOOKUP(A137,PAC!$A$2:$V$5011,17,0)</f>
        <v>30 DIAS</v>
      </c>
      <c r="F137" s="100">
        <f>IFERROR(VLOOKUP(A137,PAC!$A$2:$V$5011,14,0),"")</f>
        <v>997.5</v>
      </c>
      <c r="G137" s="100" t="str">
        <f>IFERROR(VLOOKUP(A137,PAC!$A$2:$V$5011,19,0),"")</f>
        <v>DISPENSA</v>
      </c>
      <c r="H137" s="111" t="s">
        <v>22</v>
      </c>
      <c r="I137" s="111" t="s">
        <v>22</v>
      </c>
      <c r="J137" s="110">
        <f>SUMIF(PAC!$A$2:$A$5011,A137,PAC!$W$2:$W$5011)</f>
        <v>1</v>
      </c>
      <c r="K137" s="110">
        <f t="shared" si="68"/>
        <v>15</v>
      </c>
      <c r="L137" s="102">
        <f t="shared" si="61"/>
        <v>10</v>
      </c>
      <c r="M137" s="102" t="str">
        <f t="shared" si="69"/>
        <v>0</v>
      </c>
      <c r="N137" s="102" t="str">
        <f t="shared" si="62"/>
        <v>0</v>
      </c>
      <c r="O137" s="102" t="str">
        <f t="shared" si="63"/>
        <v>0</v>
      </c>
      <c r="P137" s="102">
        <f t="shared" si="70"/>
        <v>35</v>
      </c>
      <c r="Q137" s="102">
        <f t="shared" si="71"/>
        <v>3</v>
      </c>
      <c r="R137" s="102">
        <f t="shared" si="72"/>
        <v>3</v>
      </c>
      <c r="S137" s="102" t="str">
        <f t="shared" si="64"/>
        <v>0</v>
      </c>
      <c r="T137" s="102">
        <f t="shared" si="65"/>
        <v>3</v>
      </c>
      <c r="U137" s="102">
        <f t="shared" si="66"/>
        <v>18</v>
      </c>
      <c r="V137" s="102">
        <f t="shared" si="67"/>
        <v>87</v>
      </c>
      <c r="W137" s="103">
        <f t="shared" si="73"/>
        <v>45236</v>
      </c>
      <c r="X137" s="103">
        <f t="shared" si="74"/>
        <v>45261</v>
      </c>
      <c r="Y137" s="103">
        <f t="shared" si="75"/>
        <v>45296</v>
      </c>
      <c r="Z137" s="103">
        <f t="shared" si="76"/>
        <v>45299</v>
      </c>
      <c r="AA137" s="103">
        <f t="shared" si="77"/>
        <v>45302</v>
      </c>
      <c r="AB137" s="103" t="str">
        <f t="shared" si="78"/>
        <v>---</v>
      </c>
      <c r="AC137" s="103">
        <f t="shared" si="79"/>
        <v>45305</v>
      </c>
    </row>
    <row r="138" spans="1:29" ht="15">
      <c r="A138" s="116" t="s">
        <v>658</v>
      </c>
      <c r="B138" s="89" t="str">
        <f>IFERROR(VLOOKUP(A138,PAC!$A$2:$V$5011,2,0),"")</f>
        <v>Limpeza e higienização de cisternas.</v>
      </c>
      <c r="C138" s="90" t="s">
        <v>1207</v>
      </c>
      <c r="D138" s="98">
        <f>IFERROR(VLOOKUP(A138,PAC!$A$2:$V$5011,16,0),"")</f>
        <v>45474</v>
      </c>
      <c r="E138" s="99" t="str">
        <f>VLOOKUP(A138,PAC!$A$2:$V$5011,17,0)</f>
        <v>30 DIAS</v>
      </c>
      <c r="F138" s="100">
        <f>IFERROR(VLOOKUP(A138,PAC!$A$2:$V$5011,14,0),"")</f>
        <v>1000</v>
      </c>
      <c r="G138" s="100" t="str">
        <f>IFERROR(VLOOKUP(A138,PAC!$A$2:$V$5011,19,0),"")</f>
        <v>DISPENSA</v>
      </c>
      <c r="H138" s="111" t="s">
        <v>22</v>
      </c>
      <c r="I138" s="111" t="s">
        <v>22</v>
      </c>
      <c r="J138" s="110">
        <f>SUMIF(PAC!$A$2:$A$5011,A138,PAC!$W$2:$W$5011)</f>
        <v>1</v>
      </c>
      <c r="K138" s="110">
        <f t="shared" si="68"/>
        <v>15</v>
      </c>
      <c r="L138" s="102">
        <f t="shared" si="61"/>
        <v>10</v>
      </c>
      <c r="M138" s="102" t="str">
        <f t="shared" si="69"/>
        <v>0</v>
      </c>
      <c r="N138" s="102" t="str">
        <f t="shared" si="62"/>
        <v>0</v>
      </c>
      <c r="O138" s="102" t="str">
        <f t="shared" si="63"/>
        <v>0</v>
      </c>
      <c r="P138" s="102">
        <f t="shared" si="70"/>
        <v>35</v>
      </c>
      <c r="Q138" s="102">
        <f t="shared" si="71"/>
        <v>3</v>
      </c>
      <c r="R138" s="102">
        <f t="shared" si="72"/>
        <v>3</v>
      </c>
      <c r="S138" s="102" t="str">
        <f t="shared" si="64"/>
        <v>0</v>
      </c>
      <c r="T138" s="102">
        <f t="shared" si="65"/>
        <v>3</v>
      </c>
      <c r="U138" s="102">
        <f t="shared" si="66"/>
        <v>18</v>
      </c>
      <c r="V138" s="102">
        <f t="shared" si="67"/>
        <v>87</v>
      </c>
      <c r="W138" s="103">
        <f t="shared" si="73"/>
        <v>45387</v>
      </c>
      <c r="X138" s="103">
        <f t="shared" si="74"/>
        <v>45412</v>
      </c>
      <c r="Y138" s="103">
        <f t="shared" si="75"/>
        <v>45447</v>
      </c>
      <c r="Z138" s="103">
        <f t="shared" si="76"/>
        <v>45450</v>
      </c>
      <c r="AA138" s="103">
        <f t="shared" si="77"/>
        <v>45453</v>
      </c>
      <c r="AB138" s="103" t="str">
        <f t="shared" si="78"/>
        <v>---</v>
      </c>
      <c r="AC138" s="103">
        <f t="shared" si="79"/>
        <v>45456</v>
      </c>
    </row>
    <row r="139" spans="1:29" ht="168">
      <c r="A139" s="116" t="s">
        <v>663</v>
      </c>
      <c r="B139" s="89" t="str">
        <f>IFERROR(VLOOKUP(A139,PAC!$A$2:$V$5011,2,0),"")</f>
        <v>Cadeira giratória espaldar com encosto revestido em tela flexível, com apoio lombar independente regulável na altura. Com apoio de braços regulável em altura e ângulo(acabamento em resina plástica). Com assento em tela de alta performance. Com ajuste de altura do assento e inclinação do encosto em 3 pontos de parada. Base da cadeira injetada em resina termostática de alta resistência e alta qualidade, com rodinhas de 55mm de diâmetro, indicado para qualquer tipo de piso. Assento, encosto, apoio de braço e base na cor preta.</v>
      </c>
      <c r="C139" s="90" t="s">
        <v>1207</v>
      </c>
      <c r="D139" s="98">
        <f>IFERROR(VLOOKUP(A139,PAC!$A$2:$V$5011,16,0),"")</f>
        <v>45323</v>
      </c>
      <c r="E139" s="99" t="str">
        <f>VLOOKUP(A139,PAC!$A$2:$V$5011,17,0)</f>
        <v>30DIAS</v>
      </c>
      <c r="F139" s="100">
        <f>IFERROR(VLOOKUP(A139,PAC!$A$2:$V$5011,14,0),"")</f>
        <v>24420</v>
      </c>
      <c r="G139" s="100" t="str">
        <f>IFERROR(VLOOKUP(A139,PAC!$A$2:$V$5011,19,0),"")</f>
        <v>DISPENSA</v>
      </c>
      <c r="H139" s="111" t="s">
        <v>22</v>
      </c>
      <c r="I139" s="111" t="s">
        <v>22</v>
      </c>
      <c r="J139" s="110">
        <f>SUMIF(PAC!$A$2:$A$5011,A139,PAC!$W$2:$W$5011)</f>
        <v>1</v>
      </c>
      <c r="K139" s="110">
        <f t="shared" si="68"/>
        <v>15</v>
      </c>
      <c r="L139" s="102">
        <f t="shared" si="61"/>
        <v>10</v>
      </c>
      <c r="M139" s="102" t="str">
        <f t="shared" si="69"/>
        <v>0</v>
      </c>
      <c r="N139" s="102" t="str">
        <f t="shared" si="62"/>
        <v>0</v>
      </c>
      <c r="O139" s="102" t="str">
        <f t="shared" si="63"/>
        <v>0</v>
      </c>
      <c r="P139" s="102">
        <f t="shared" si="70"/>
        <v>35</v>
      </c>
      <c r="Q139" s="102">
        <f t="shared" si="71"/>
        <v>3</v>
      </c>
      <c r="R139" s="102">
        <f t="shared" si="72"/>
        <v>3</v>
      </c>
      <c r="S139" s="102" t="str">
        <f t="shared" si="64"/>
        <v>0</v>
      </c>
      <c r="T139" s="102">
        <f t="shared" si="65"/>
        <v>3</v>
      </c>
      <c r="U139" s="102">
        <f t="shared" si="66"/>
        <v>18</v>
      </c>
      <c r="V139" s="102">
        <f t="shared" si="67"/>
        <v>87</v>
      </c>
      <c r="W139" s="103">
        <f t="shared" si="73"/>
        <v>45236</v>
      </c>
      <c r="X139" s="103">
        <f t="shared" si="74"/>
        <v>45261</v>
      </c>
      <c r="Y139" s="103">
        <f t="shared" si="75"/>
        <v>45296</v>
      </c>
      <c r="Z139" s="103">
        <f t="shared" si="76"/>
        <v>45299</v>
      </c>
      <c r="AA139" s="103">
        <f t="shared" si="77"/>
        <v>45302</v>
      </c>
      <c r="AB139" s="103" t="str">
        <f t="shared" si="78"/>
        <v>---</v>
      </c>
      <c r="AC139" s="103">
        <f t="shared" si="79"/>
        <v>45305</v>
      </c>
    </row>
    <row r="140" spans="1:29" ht="15">
      <c r="A140" s="116" t="s">
        <v>667</v>
      </c>
      <c r="B140" s="89" t="str">
        <f>IFERROR(VLOOKUP(A140,PAC!$A$2:$V$5011,2,0),"")</f>
        <v>Serviço de Locação de copiadora</v>
      </c>
      <c r="C140" s="90" t="s">
        <v>1207</v>
      </c>
      <c r="D140" s="98">
        <f>IFERROR(VLOOKUP(A140,PAC!$A$2:$V$5011,16,0),"")</f>
        <v>45292</v>
      </c>
      <c r="E140" s="99" t="str">
        <f>VLOOKUP(A140,PAC!$A$2:$V$5011,17,0)</f>
        <v>90 DIAS</v>
      </c>
      <c r="F140" s="100">
        <f>IFERROR(VLOOKUP(A140,PAC!$A$2:$V$5011,14,0),"")</f>
        <v>1290</v>
      </c>
      <c r="G140" s="100" t="str">
        <f>IFERROR(VLOOKUP(A140,PAC!$A$2:$V$5011,19,0),"")</f>
        <v>LICITAÇÃO</v>
      </c>
      <c r="H140" s="111" t="s">
        <v>22</v>
      </c>
      <c r="I140" s="111" t="s">
        <v>22</v>
      </c>
      <c r="J140" s="110">
        <f>SUMIF(PAC!$A$2:$A$5011,A140,PAC!$W$2:$W$5011)</f>
        <v>1</v>
      </c>
      <c r="K140" s="110">
        <f t="shared" si="68"/>
        <v>15</v>
      </c>
      <c r="L140" s="102">
        <f t="shared" si="61"/>
        <v>10</v>
      </c>
      <c r="M140" s="102">
        <f t="shared" si="69"/>
        <v>20</v>
      </c>
      <c r="N140" s="102">
        <f t="shared" si="62"/>
        <v>15</v>
      </c>
      <c r="O140" s="102">
        <f t="shared" si="63"/>
        <v>25</v>
      </c>
      <c r="P140" s="102" t="str">
        <f t="shared" si="70"/>
        <v>0</v>
      </c>
      <c r="Q140" s="102" t="str">
        <f t="shared" si="71"/>
        <v>0</v>
      </c>
      <c r="R140" s="102" t="str">
        <f t="shared" si="72"/>
        <v>0</v>
      </c>
      <c r="S140" s="102" t="str">
        <f t="shared" si="64"/>
        <v>0</v>
      </c>
      <c r="T140" s="102">
        <f t="shared" si="65"/>
        <v>3</v>
      </c>
      <c r="U140" s="102">
        <f t="shared" si="66"/>
        <v>18</v>
      </c>
      <c r="V140" s="102">
        <f t="shared" si="67"/>
        <v>106</v>
      </c>
      <c r="W140" s="103">
        <f t="shared" si="73"/>
        <v>45186</v>
      </c>
      <c r="X140" s="103">
        <f t="shared" si="74"/>
        <v>45211</v>
      </c>
      <c r="Y140" s="103">
        <f t="shared" si="75"/>
        <v>45231</v>
      </c>
      <c r="Z140" s="103">
        <f t="shared" si="76"/>
        <v>45246</v>
      </c>
      <c r="AA140" s="103">
        <f t="shared" si="77"/>
        <v>45271</v>
      </c>
      <c r="AB140" s="103" t="str">
        <f t="shared" si="78"/>
        <v>---</v>
      </c>
      <c r="AC140" s="103">
        <f t="shared" si="79"/>
        <v>45274</v>
      </c>
    </row>
    <row r="141" spans="1:29" ht="15">
      <c r="A141" s="116" t="s">
        <v>671</v>
      </c>
      <c r="B141" s="89" t="str">
        <f>IFERROR(VLOOKUP(A141,PAC!$A$2:$V$5011,2,0),"")</f>
        <v>Serviço de dedetização e desratização</v>
      </c>
      <c r="C141" s="90" t="s">
        <v>1207</v>
      </c>
      <c r="D141" s="98">
        <f>IFERROR(VLOOKUP(A141,PAC!$A$2:$V$5011,16,0),"")</f>
        <v>45627</v>
      </c>
      <c r="E141" s="99" t="str">
        <f>VLOOKUP(A141,PAC!$A$2:$V$5011,17,0)</f>
        <v>30 DIAS</v>
      </c>
      <c r="F141" s="100">
        <f>IFERROR(VLOOKUP(A141,PAC!$A$2:$V$5011,14,0),"")</f>
        <v>2000</v>
      </c>
      <c r="G141" s="100" t="str">
        <f>IFERROR(VLOOKUP(A141,PAC!$A$2:$V$5011,19,0),"")</f>
        <v>disPENSA</v>
      </c>
      <c r="H141" s="111" t="s">
        <v>22</v>
      </c>
      <c r="I141" s="111" t="s">
        <v>22</v>
      </c>
      <c r="J141" s="110">
        <f>SUMIF(PAC!$A$2:$A$5011,A141,PAC!$W$2:$W$5011)</f>
        <v>1</v>
      </c>
      <c r="K141" s="110">
        <f t="shared" si="68"/>
        <v>15</v>
      </c>
      <c r="L141" s="102">
        <f t="shared" si="61"/>
        <v>10</v>
      </c>
      <c r="M141" s="102" t="str">
        <f t="shared" si="69"/>
        <v>0</v>
      </c>
      <c r="N141" s="102" t="str">
        <f t="shared" si="62"/>
        <v>0</v>
      </c>
      <c r="O141" s="102" t="str">
        <f t="shared" si="63"/>
        <v>0</v>
      </c>
      <c r="P141" s="102">
        <f t="shared" si="70"/>
        <v>35</v>
      </c>
      <c r="Q141" s="102">
        <f t="shared" si="71"/>
        <v>3</v>
      </c>
      <c r="R141" s="102">
        <f t="shared" si="72"/>
        <v>3</v>
      </c>
      <c r="S141" s="102" t="str">
        <f t="shared" si="64"/>
        <v>0</v>
      </c>
      <c r="T141" s="102">
        <f t="shared" si="65"/>
        <v>3</v>
      </c>
      <c r="U141" s="102">
        <f t="shared" si="66"/>
        <v>18</v>
      </c>
      <c r="V141" s="102">
        <f t="shared" si="67"/>
        <v>87</v>
      </c>
      <c r="W141" s="103">
        <f t="shared" si="73"/>
        <v>45540</v>
      </c>
      <c r="X141" s="103">
        <f t="shared" si="74"/>
        <v>45565</v>
      </c>
      <c r="Y141" s="103">
        <f t="shared" si="75"/>
        <v>45600</v>
      </c>
      <c r="Z141" s="103">
        <f t="shared" si="76"/>
        <v>45603</v>
      </c>
      <c r="AA141" s="103">
        <f t="shared" si="77"/>
        <v>45606</v>
      </c>
      <c r="AB141" s="103" t="str">
        <f t="shared" si="78"/>
        <v>---</v>
      </c>
      <c r="AC141" s="103">
        <f t="shared" si="79"/>
        <v>45609</v>
      </c>
    </row>
    <row r="142" spans="1:29" ht="48">
      <c r="A142" s="116" t="s">
        <v>675</v>
      </c>
      <c r="B142" s="89" t="str">
        <f>IFERROR(VLOOKUP(A142,PAC!$A$2:$V$5011,2,0),"")</f>
        <v>Cofre de tamanho médio, para fins de acautelamento de armar de fogo pequenas ou itens apreendidos (moedas falsas, passaportes, CNH e outros)</v>
      </c>
      <c r="C142" s="90" t="s">
        <v>1207</v>
      </c>
      <c r="D142" s="98">
        <f>IFERROR(VLOOKUP(A142,PAC!$A$2:$V$5011,16,0),"")</f>
        <v>45649</v>
      </c>
      <c r="E142" s="99" t="str">
        <f>VLOOKUP(A142,PAC!$A$2:$V$5011,17,0)</f>
        <v>30 DIAS</v>
      </c>
      <c r="F142" s="100">
        <f>IFERROR(VLOOKUP(A142,PAC!$A$2:$V$5011,14,0),"")</f>
        <v>1000</v>
      </c>
      <c r="G142" s="100" t="s">
        <v>48</v>
      </c>
      <c r="H142" s="111" t="s">
        <v>22</v>
      </c>
      <c r="I142" s="111" t="s">
        <v>22</v>
      </c>
      <c r="J142" s="110">
        <f>SUMIF(PAC!$A$2:$A$5011,A142,PAC!$W$2:$W$5011)</f>
        <v>1</v>
      </c>
      <c r="K142" s="110">
        <f t="shared" si="68"/>
        <v>15</v>
      </c>
      <c r="L142" s="102">
        <f t="shared" si="61"/>
        <v>10</v>
      </c>
      <c r="M142" s="102" t="str">
        <f t="shared" si="69"/>
        <v>0</v>
      </c>
      <c r="N142" s="102" t="str">
        <f t="shared" si="62"/>
        <v>0</v>
      </c>
      <c r="O142" s="102" t="str">
        <f t="shared" si="63"/>
        <v>0</v>
      </c>
      <c r="P142" s="102">
        <f t="shared" si="70"/>
        <v>35</v>
      </c>
      <c r="Q142" s="102">
        <f t="shared" si="71"/>
        <v>3</v>
      </c>
      <c r="R142" s="102">
        <f t="shared" si="72"/>
        <v>3</v>
      </c>
      <c r="S142" s="102" t="str">
        <f t="shared" si="64"/>
        <v>0</v>
      </c>
      <c r="T142" s="102">
        <f t="shared" si="65"/>
        <v>3</v>
      </c>
      <c r="U142" s="102">
        <f t="shared" si="66"/>
        <v>18</v>
      </c>
      <c r="V142" s="102">
        <f t="shared" si="67"/>
        <v>87</v>
      </c>
      <c r="W142" s="103">
        <f t="shared" si="73"/>
        <v>45562</v>
      </c>
      <c r="X142" s="103">
        <f t="shared" si="74"/>
        <v>45587</v>
      </c>
      <c r="Y142" s="103">
        <f t="shared" si="75"/>
        <v>45622</v>
      </c>
      <c r="Z142" s="103">
        <f t="shared" si="76"/>
        <v>45625</v>
      </c>
      <c r="AA142" s="103">
        <f t="shared" si="77"/>
        <v>45628</v>
      </c>
      <c r="AB142" s="103" t="str">
        <f t="shared" si="78"/>
        <v>---</v>
      </c>
      <c r="AC142" s="103">
        <f t="shared" si="79"/>
        <v>45631</v>
      </c>
    </row>
    <row r="143" spans="1:29" ht="48">
      <c r="A143" s="116" t="s">
        <v>682</v>
      </c>
      <c r="B143" s="89" t="str">
        <f>IFERROR(VLOOKUP(A143,PAC!$A$2:$V$5011,2,0),"")</f>
        <v>Instalação de cofre de tamanho médio, para fins de acautelamento de armar de fogo pequenas ou itens apreendidos (moedas falsas, passaportes, CNH e outros)</v>
      </c>
      <c r="C143" s="90" t="s">
        <v>1207</v>
      </c>
      <c r="D143" s="98">
        <f>IFERROR(VLOOKUP(A143,PAC!$A$2:$V$5011,16,0),"")</f>
        <v>45649</v>
      </c>
      <c r="E143" s="99" t="str">
        <f>VLOOKUP(A143,PAC!$A$2:$V$5011,17,0)</f>
        <v>30 DIAS</v>
      </c>
      <c r="F143" s="100">
        <f>IFERROR(VLOOKUP(A143,PAC!$A$2:$V$5011,14,0),"")</f>
        <v>300</v>
      </c>
      <c r="G143" s="100" t="str">
        <f>IFERROR(VLOOKUP(A143,PAC!$A$2:$V$5011,19,0),"")</f>
        <v>DISPENSA</v>
      </c>
      <c r="H143" s="111" t="s">
        <v>22</v>
      </c>
      <c r="I143" s="111" t="s">
        <v>22</v>
      </c>
      <c r="J143" s="110">
        <f>SUMIF(PAC!$A$2:$A$5011,A143,PAC!$W$2:$W$5011)</f>
        <v>1</v>
      </c>
      <c r="K143" s="110">
        <f t="shared" si="68"/>
        <v>15</v>
      </c>
      <c r="L143" s="102">
        <f t="shared" si="61"/>
        <v>10</v>
      </c>
      <c r="M143" s="102" t="str">
        <f t="shared" si="69"/>
        <v>0</v>
      </c>
      <c r="N143" s="102" t="str">
        <f t="shared" si="62"/>
        <v>0</v>
      </c>
      <c r="O143" s="102" t="str">
        <f t="shared" si="63"/>
        <v>0</v>
      </c>
      <c r="P143" s="102">
        <f t="shared" si="70"/>
        <v>35</v>
      </c>
      <c r="Q143" s="102">
        <f t="shared" si="71"/>
        <v>3</v>
      </c>
      <c r="R143" s="102">
        <f t="shared" si="72"/>
        <v>3</v>
      </c>
      <c r="S143" s="102" t="str">
        <f t="shared" si="64"/>
        <v>0</v>
      </c>
      <c r="T143" s="102">
        <f t="shared" si="65"/>
        <v>3</v>
      </c>
      <c r="U143" s="102">
        <f t="shared" si="66"/>
        <v>18</v>
      </c>
      <c r="V143" s="102">
        <f t="shared" si="67"/>
        <v>87</v>
      </c>
      <c r="W143" s="103">
        <f t="shared" si="73"/>
        <v>45562</v>
      </c>
      <c r="X143" s="103">
        <f t="shared" si="74"/>
        <v>45587</v>
      </c>
      <c r="Y143" s="103">
        <f t="shared" si="75"/>
        <v>45622</v>
      </c>
      <c r="Z143" s="103">
        <f t="shared" si="76"/>
        <v>45625</v>
      </c>
      <c r="AA143" s="103">
        <f t="shared" si="77"/>
        <v>45628</v>
      </c>
      <c r="AB143" s="103" t="str">
        <f t="shared" si="78"/>
        <v>---</v>
      </c>
      <c r="AC143" s="103">
        <f t="shared" si="79"/>
        <v>45631</v>
      </c>
    </row>
    <row r="144" spans="1:29" ht="15">
      <c r="A144" s="116" t="s">
        <v>1208</v>
      </c>
      <c r="B144" s="89" t="str">
        <f>IFERROR(VLOOKUP(A144,PAC!$A$2:$V$5011,2,0),"")</f>
        <v/>
      </c>
      <c r="C144" s="90" t="s">
        <v>1207</v>
      </c>
      <c r="D144" s="98" t="str">
        <f>IFERROR(VLOOKUP(A144,PAC!$A$2:$V$5011,16,0),"")</f>
        <v/>
      </c>
      <c r="E144" s="99" t="e">
        <f>VLOOKUP(A144,PAC!$A$2:$V$5011,17,0)</f>
        <v>#N/A</v>
      </c>
      <c r="F144" s="100" t="str">
        <f>IFERROR(VLOOKUP(A144,PAC!$A$2:$V$5011,14,0),"")</f>
        <v/>
      </c>
      <c r="G144" s="100" t="str">
        <f>IFERROR(VLOOKUP(A144,PAC!$A$2:$V$5011,19,0),"")</f>
        <v/>
      </c>
      <c r="H144" s="111" t="s">
        <v>22</v>
      </c>
      <c r="I144" s="111" t="s">
        <v>22</v>
      </c>
      <c r="J144" s="110">
        <f>SUMIF(PAC!$A$2:$A$5011,A144,PAC!$W$2:$W$5011)</f>
        <v>0</v>
      </c>
      <c r="K144" s="110" t="str">
        <f t="shared" si="68"/>
        <v>0</v>
      </c>
      <c r="L144" s="102" t="str">
        <f t="shared" si="61"/>
        <v>0</v>
      </c>
      <c r="M144" s="102" t="str">
        <f t="shared" si="69"/>
        <v>0</v>
      </c>
      <c r="N144" s="102" t="str">
        <f t="shared" si="62"/>
        <v>0</v>
      </c>
      <c r="O144" s="102" t="str">
        <f t="shared" si="63"/>
        <v>0</v>
      </c>
      <c r="P144" s="102" t="str">
        <f t="shared" si="70"/>
        <v>0</v>
      </c>
      <c r="Q144" s="102" t="str">
        <f t="shared" si="71"/>
        <v>0</v>
      </c>
      <c r="R144" s="102" t="str">
        <f t="shared" si="72"/>
        <v>0</v>
      </c>
      <c r="S144" s="102" t="str">
        <f t="shared" si="64"/>
        <v>0</v>
      </c>
      <c r="T144" s="102" t="str">
        <f t="shared" si="65"/>
        <v>0</v>
      </c>
      <c r="U144" s="102">
        <f t="shared" si="66"/>
        <v>18</v>
      </c>
      <c r="V144" s="102">
        <f t="shared" si="67"/>
        <v>18</v>
      </c>
      <c r="W144" s="103" t="str">
        <f t="shared" si="73"/>
        <v>---</v>
      </c>
      <c r="X144" s="103" t="str">
        <f t="shared" si="74"/>
        <v>---</v>
      </c>
      <c r="Y144" s="103" t="str">
        <f t="shared" si="75"/>
        <v>---</v>
      </c>
      <c r="Z144" s="103" t="str">
        <f t="shared" si="76"/>
        <v>---</v>
      </c>
      <c r="AA144" s="103" t="str">
        <f t="shared" si="77"/>
        <v>---</v>
      </c>
      <c r="AB144" s="103" t="str">
        <f t="shared" si="78"/>
        <v>---</v>
      </c>
      <c r="AC144" s="103" t="str">
        <f t="shared" si="79"/>
        <v>---</v>
      </c>
    </row>
    <row r="145" spans="1:29" ht="24">
      <c r="A145" s="90" t="s">
        <v>687</v>
      </c>
      <c r="B145" s="89" t="str">
        <f>IFERROR(VLOOKUP(A145,PAC!$A$2:$V$5011,2,0),"")</f>
        <v>Necessidade básica dos servidores e clientes do consumo de água potável</v>
      </c>
      <c r="C145" s="90" t="s">
        <v>1209</v>
      </c>
      <c r="D145" s="98">
        <f>IFERROR(VLOOKUP(A145,PAC!$A$2:$V$5011,16,0),"")</f>
        <v>45292</v>
      </c>
      <c r="E145" s="99" t="str">
        <f>VLOOKUP(A145,PAC!$A$2:$V$5011,17,0)</f>
        <v>30 DIAS</v>
      </c>
      <c r="F145" s="100">
        <f>IFERROR(VLOOKUP(A145,PAC!$A$2:$V$5011,14,0),"")</f>
        <v>6120</v>
      </c>
      <c r="G145" s="100" t="str">
        <f>IFERROR(VLOOKUP(A145,PAC!$A$2:$V$5011,19,0),"")</f>
        <v>DISPENSA</v>
      </c>
      <c r="H145" s="111" t="s">
        <v>1180</v>
      </c>
      <c r="I145" s="111" t="s">
        <v>22</v>
      </c>
      <c r="J145" s="110">
        <f>SUMIF(PAC!$A$2:$A$5011,A145,PAC!$W$2:$W$5011)</f>
        <v>1</v>
      </c>
      <c r="K145" s="110">
        <f t="shared" si="68"/>
        <v>15</v>
      </c>
      <c r="L145" s="102">
        <f t="shared" si="61"/>
        <v>10</v>
      </c>
      <c r="M145" s="102" t="str">
        <f t="shared" si="69"/>
        <v>0</v>
      </c>
      <c r="N145" s="102" t="str">
        <f t="shared" si="62"/>
        <v>0</v>
      </c>
      <c r="O145" s="102" t="str">
        <f t="shared" si="63"/>
        <v>0</v>
      </c>
      <c r="P145" s="102">
        <f t="shared" si="70"/>
        <v>35</v>
      </c>
      <c r="Q145" s="102">
        <f t="shared" si="71"/>
        <v>3</v>
      </c>
      <c r="R145" s="102">
        <f t="shared" si="72"/>
        <v>3</v>
      </c>
      <c r="S145" s="102" t="str">
        <f t="shared" si="64"/>
        <v>0</v>
      </c>
      <c r="T145" s="102">
        <f t="shared" si="65"/>
        <v>5</v>
      </c>
      <c r="U145" s="102">
        <f t="shared" si="66"/>
        <v>18</v>
      </c>
      <c r="V145" s="102">
        <f t="shared" si="67"/>
        <v>89</v>
      </c>
      <c r="W145" s="103">
        <f t="shared" si="73"/>
        <v>45203</v>
      </c>
      <c r="X145" s="103">
        <f t="shared" si="74"/>
        <v>45228</v>
      </c>
      <c r="Y145" s="103">
        <f t="shared" si="75"/>
        <v>45263</v>
      </c>
      <c r="Z145" s="103">
        <f t="shared" si="76"/>
        <v>45266</v>
      </c>
      <c r="AA145" s="103">
        <f t="shared" si="77"/>
        <v>45269</v>
      </c>
      <c r="AB145" s="103" t="str">
        <f t="shared" si="78"/>
        <v>---</v>
      </c>
      <c r="AC145" s="103">
        <f t="shared" si="79"/>
        <v>45274</v>
      </c>
    </row>
    <row r="146" spans="1:29" ht="24">
      <c r="A146" s="90" t="s">
        <v>694</v>
      </c>
      <c r="B146" s="89" t="str">
        <f>IFERROR(VLOOKUP(A146,PAC!$A$2:$V$5011,2,0),"")</f>
        <v>Necessidade básica dos servidores e clientes do consumo de água potável</v>
      </c>
      <c r="C146" s="90" t="s">
        <v>1209</v>
      </c>
      <c r="D146" s="98">
        <f>IFERROR(VLOOKUP(A146,PAC!$A$2:$V$5011,16,0),"")</f>
        <v>45292</v>
      </c>
      <c r="E146" s="99" t="str">
        <f>VLOOKUP(A146,PAC!$A$2:$V$5011,17,0)</f>
        <v>30 DIAS</v>
      </c>
      <c r="F146" s="100">
        <f>IFERROR(VLOOKUP(A146,PAC!$A$2:$V$5011,14,0),"")</f>
        <v>720</v>
      </c>
      <c r="G146" s="100" t="str">
        <f>IFERROR(VLOOKUP(A146,PAC!$A$2:$V$5011,19,0),"")</f>
        <v>DISPENSA</v>
      </c>
      <c r="H146" s="111" t="s">
        <v>1180</v>
      </c>
      <c r="I146" s="111" t="s">
        <v>22</v>
      </c>
      <c r="J146" s="110">
        <f>SUMIF(PAC!$A$2:$A$5011,A146,PAC!$W$2:$W$5011)</f>
        <v>1</v>
      </c>
      <c r="K146" s="110">
        <f t="shared" si="68"/>
        <v>15</v>
      </c>
      <c r="L146" s="102">
        <f t="shared" si="61"/>
        <v>10</v>
      </c>
      <c r="M146" s="102" t="str">
        <f t="shared" si="69"/>
        <v>0</v>
      </c>
      <c r="N146" s="102" t="str">
        <f t="shared" si="62"/>
        <v>0</v>
      </c>
      <c r="O146" s="102" t="str">
        <f t="shared" si="63"/>
        <v>0</v>
      </c>
      <c r="P146" s="102">
        <f t="shared" si="70"/>
        <v>35</v>
      </c>
      <c r="Q146" s="102">
        <f t="shared" si="71"/>
        <v>3</v>
      </c>
      <c r="R146" s="102">
        <f t="shared" si="72"/>
        <v>3</v>
      </c>
      <c r="S146" s="102" t="str">
        <f t="shared" si="64"/>
        <v>0</v>
      </c>
      <c r="T146" s="102">
        <f t="shared" si="65"/>
        <v>5</v>
      </c>
      <c r="U146" s="102">
        <f t="shared" si="66"/>
        <v>18</v>
      </c>
      <c r="V146" s="102">
        <f t="shared" si="67"/>
        <v>89</v>
      </c>
      <c r="W146" s="103">
        <f t="shared" si="73"/>
        <v>45203</v>
      </c>
      <c r="X146" s="103">
        <f t="shared" si="74"/>
        <v>45228</v>
      </c>
      <c r="Y146" s="103">
        <f t="shared" si="75"/>
        <v>45263</v>
      </c>
      <c r="Z146" s="103">
        <f t="shared" si="76"/>
        <v>45266</v>
      </c>
      <c r="AA146" s="103">
        <f t="shared" si="77"/>
        <v>45269</v>
      </c>
      <c r="AB146" s="103" t="str">
        <f t="shared" si="78"/>
        <v>---</v>
      </c>
      <c r="AC146" s="103">
        <f t="shared" si="79"/>
        <v>45274</v>
      </c>
    </row>
    <row r="147" spans="1:29" ht="24">
      <c r="A147" s="90" t="s">
        <v>697</v>
      </c>
      <c r="B147" s="89" t="str">
        <f>IFERROR(VLOOKUP(A147,PAC!$A$2:$V$5011,2,0),"")</f>
        <v>Abrigo e acomodação física da Sede da Subseção</v>
      </c>
      <c r="C147" s="90" t="s">
        <v>1209</v>
      </c>
      <c r="D147" s="98">
        <f>IFERROR(VLOOKUP(A147,PAC!$A$2:$V$5011,16,0),"")</f>
        <v>45292</v>
      </c>
      <c r="E147" s="99" t="str">
        <f>VLOOKUP(A147,PAC!$A$2:$V$5011,17,0)</f>
        <v>15 DIAS</v>
      </c>
      <c r="F147" s="100">
        <f>IFERROR(VLOOKUP(A147,PAC!$A$2:$V$5011,14,0),"")</f>
        <v>199455.24</v>
      </c>
      <c r="G147" s="100" t="str">
        <f>IFERROR(VLOOKUP(A147,PAC!$A$2:$V$5011,19,0),"")</f>
        <v>INEXIGIBILIDADE</v>
      </c>
      <c r="H147" s="111" t="s">
        <v>1180</v>
      </c>
      <c r="I147" s="111" t="s">
        <v>22</v>
      </c>
      <c r="J147" s="110">
        <f>SUMIF(PAC!$A$2:$A$5011,A147,PAC!$W$2:$W$5011)</f>
        <v>1</v>
      </c>
      <c r="K147" s="110">
        <v>15</v>
      </c>
      <c r="L147" s="102">
        <v>10</v>
      </c>
      <c r="M147" s="102" t="str">
        <f t="shared" si="69"/>
        <v>0</v>
      </c>
      <c r="N147" s="102" t="str">
        <f t="shared" si="62"/>
        <v>0</v>
      </c>
      <c r="O147" s="102" t="str">
        <f t="shared" si="63"/>
        <v>0</v>
      </c>
      <c r="P147" s="102">
        <v>35</v>
      </c>
      <c r="Q147" s="102">
        <v>3</v>
      </c>
      <c r="R147" s="102">
        <v>3</v>
      </c>
      <c r="S147" s="102" t="str">
        <f t="shared" si="64"/>
        <v>0</v>
      </c>
      <c r="T147" s="102">
        <f t="shared" si="65"/>
        <v>5</v>
      </c>
      <c r="U147" s="102">
        <f t="shared" si="66"/>
        <v>18</v>
      </c>
      <c r="V147" s="102">
        <f t="shared" si="67"/>
        <v>89</v>
      </c>
      <c r="W147" s="103">
        <f t="shared" si="73"/>
        <v>45203</v>
      </c>
      <c r="X147" s="103">
        <f t="shared" si="74"/>
        <v>45228</v>
      </c>
      <c r="Y147" s="103">
        <f t="shared" si="75"/>
        <v>45263</v>
      </c>
      <c r="Z147" s="103">
        <f t="shared" si="76"/>
        <v>45266</v>
      </c>
      <c r="AA147" s="103">
        <f t="shared" si="77"/>
        <v>45269</v>
      </c>
      <c r="AB147" s="103" t="str">
        <f t="shared" si="78"/>
        <v>---</v>
      </c>
      <c r="AC147" s="103">
        <f t="shared" si="79"/>
        <v>45274</v>
      </c>
    </row>
    <row r="148" spans="1:29" ht="24">
      <c r="A148" s="90" t="s">
        <v>703</v>
      </c>
      <c r="B148" s="89" t="str">
        <f>IFERROR(VLOOKUP(A148,PAC!$A$2:$V$5011,2,0),"")</f>
        <v>Funcionamento dos equipamentos elétricos da unidade</v>
      </c>
      <c r="C148" s="90" t="s">
        <v>1209</v>
      </c>
      <c r="D148" s="98">
        <f>IFERROR(VLOOKUP(A148,PAC!$A$2:$V$5011,16,0),"")</f>
        <v>45292</v>
      </c>
      <c r="E148" s="99" t="str">
        <f>VLOOKUP(A148,PAC!$A$2:$V$5011,17,0)</f>
        <v>15 DIAS</v>
      </c>
      <c r="F148" s="100">
        <f>IFERROR(VLOOKUP(A148,PAC!$A$2:$V$5011,14,0),"")</f>
        <v>126720</v>
      </c>
      <c r="G148" s="100" t="str">
        <f>IFERROR(VLOOKUP(A148,PAC!$A$2:$V$5011,19,0),"")</f>
        <v>INEXIGIBILIDADE</v>
      </c>
      <c r="H148" s="111" t="s">
        <v>1180</v>
      </c>
      <c r="I148" s="111" t="s">
        <v>22</v>
      </c>
      <c r="J148" s="110">
        <f>SUMIF(PAC!$A$2:$A$5011,A148,PAC!$W$2:$W$5011)</f>
        <v>1</v>
      </c>
      <c r="K148" s="110">
        <v>15</v>
      </c>
      <c r="L148" s="102">
        <v>10</v>
      </c>
      <c r="M148" s="102" t="str">
        <f t="shared" si="69"/>
        <v>0</v>
      </c>
      <c r="N148" s="102" t="str">
        <f t="shared" si="62"/>
        <v>0</v>
      </c>
      <c r="O148" s="102" t="str">
        <f t="shared" si="63"/>
        <v>0</v>
      </c>
      <c r="P148" s="102">
        <v>35</v>
      </c>
      <c r="Q148" s="102">
        <v>3</v>
      </c>
      <c r="R148" s="102">
        <v>3</v>
      </c>
      <c r="S148" s="102" t="str">
        <f t="shared" si="64"/>
        <v>0</v>
      </c>
      <c r="T148" s="102">
        <f t="shared" si="65"/>
        <v>5</v>
      </c>
      <c r="U148" s="102">
        <f t="shared" si="66"/>
        <v>18</v>
      </c>
      <c r="V148" s="102">
        <f t="shared" si="67"/>
        <v>89</v>
      </c>
      <c r="W148" s="103">
        <f t="shared" si="73"/>
        <v>45203</v>
      </c>
      <c r="X148" s="103">
        <f t="shared" si="74"/>
        <v>45228</v>
      </c>
      <c r="Y148" s="103">
        <f t="shared" si="75"/>
        <v>45263</v>
      </c>
      <c r="Z148" s="103">
        <f t="shared" si="76"/>
        <v>45266</v>
      </c>
      <c r="AA148" s="103">
        <f t="shared" si="77"/>
        <v>45269</v>
      </c>
      <c r="AB148" s="103" t="str">
        <f t="shared" si="78"/>
        <v>---</v>
      </c>
      <c r="AC148" s="103">
        <f t="shared" si="79"/>
        <v>45274</v>
      </c>
    </row>
    <row r="149" spans="1:29" ht="24">
      <c r="A149" s="90" t="s">
        <v>709</v>
      </c>
      <c r="B149" s="89" t="str">
        <f>IFERROR(VLOOKUP(A149,PAC!$A$2:$V$5011,2,0),"")</f>
        <v>Desgaste de equipamento e poluição ambiental pelo uso do gerador</v>
      </c>
      <c r="C149" s="90" t="s">
        <v>1209</v>
      </c>
      <c r="D149" s="98">
        <f>IFERROR(VLOOKUP(A149,PAC!$A$2:$V$5011,16,0),"")</f>
        <v>45474</v>
      </c>
      <c r="E149" s="99" t="str">
        <f>VLOOKUP(A149,PAC!$A$2:$V$5011,17,0)</f>
        <v>30 DIAS</v>
      </c>
      <c r="F149" s="100">
        <f>IFERROR(VLOOKUP(A149,PAC!$A$2:$V$5011,14,0),"")</f>
        <v>9000</v>
      </c>
      <c r="G149" s="100" t="str">
        <f>IFERROR(VLOOKUP(A149,PAC!$A$2:$V$5011,19,0),"")</f>
        <v>DISPENSA</v>
      </c>
      <c r="H149" s="111" t="s">
        <v>22</v>
      </c>
      <c r="I149" s="111" t="s">
        <v>22</v>
      </c>
      <c r="J149" s="110">
        <f>SUMIF(PAC!$A$2:$A$5011,A149,PAC!$W$2:$W$5011)</f>
        <v>1</v>
      </c>
      <c r="K149" s="110">
        <f t="shared" ref="K149:K191" si="80">IF(OR(G149="dispensa",G149="inexigibilidade",G149="licitação"),15,"0")</f>
        <v>15</v>
      </c>
      <c r="L149" s="102">
        <f t="shared" ref="L149:L191" si="81">IF(OR(G149="dispensa",G149="inexigibilidade",G149="licitação"),10,"0")</f>
        <v>10</v>
      </c>
      <c r="M149" s="102" t="str">
        <f t="shared" si="69"/>
        <v>0</v>
      </c>
      <c r="N149" s="102" t="str">
        <f t="shared" si="62"/>
        <v>0</v>
      </c>
      <c r="O149" s="102" t="str">
        <f t="shared" si="63"/>
        <v>0</v>
      </c>
      <c r="P149" s="102">
        <f t="shared" ref="P149:P191" si="82">IF(OR(G149="dispensa",G149="inexigibilidade"),IF(AND(J149=0),0,IF(AND(J149&gt;0,J149&lt;11),35,IF(AND(J149&gt;10,J149&lt;21),45,IF(AND(J149&gt;20),60)))),"0")</f>
        <v>35</v>
      </c>
      <c r="Q149" s="102">
        <f t="shared" ref="Q149:Q190" si="83">IF(OR(G149="dispensa",G149="inexigibilidade"),3,"0")</f>
        <v>3</v>
      </c>
      <c r="R149" s="102">
        <f t="shared" ref="R149:R191" si="84">IF(OR(G149="dispensa",G149="inexigibilidade"),3,"0")</f>
        <v>3</v>
      </c>
      <c r="S149" s="102" t="str">
        <f t="shared" si="64"/>
        <v>0</v>
      </c>
      <c r="T149" s="102">
        <f t="shared" si="65"/>
        <v>3</v>
      </c>
      <c r="U149" s="102">
        <f t="shared" si="66"/>
        <v>18</v>
      </c>
      <c r="V149" s="102">
        <f t="shared" si="67"/>
        <v>87</v>
      </c>
      <c r="W149" s="103">
        <f t="shared" si="73"/>
        <v>45387</v>
      </c>
      <c r="X149" s="103">
        <f t="shared" si="74"/>
        <v>45412</v>
      </c>
      <c r="Y149" s="103">
        <f t="shared" si="75"/>
        <v>45447</v>
      </c>
      <c r="Z149" s="103">
        <f t="shared" si="76"/>
        <v>45450</v>
      </c>
      <c r="AA149" s="103">
        <f t="shared" si="77"/>
        <v>45453</v>
      </c>
      <c r="AB149" s="103" t="str">
        <f t="shared" si="78"/>
        <v>---</v>
      </c>
      <c r="AC149" s="103">
        <f t="shared" si="79"/>
        <v>45456</v>
      </c>
    </row>
    <row r="150" spans="1:29" ht="36">
      <c r="A150" s="90" t="s">
        <v>715</v>
      </c>
      <c r="B150" s="89" t="str">
        <f>IFERROR(VLOOKUP(A150,PAC!$A$2:$V$5011,2,0),"")</f>
        <v>Desgaste de equipamento e poluição ambiental pelo uso de aparelhos de refrigeração (Ar condicionados)</v>
      </c>
      <c r="C150" s="90" t="s">
        <v>1209</v>
      </c>
      <c r="D150" s="98">
        <f>IFERROR(VLOOKUP(A150,PAC!$A$2:$V$5011,16,0),"")</f>
        <v>45292</v>
      </c>
      <c r="E150" s="99" t="str">
        <f>VLOOKUP(A150,PAC!$A$2:$V$5011,17,0)</f>
        <v>30 DIAS</v>
      </c>
      <c r="F150" s="100">
        <f>IFERROR(VLOOKUP(A150,PAC!$A$2:$V$5011,14,0),"")</f>
        <v>15240</v>
      </c>
      <c r="G150" s="100" t="str">
        <f>IFERROR(VLOOKUP(A150,PAC!$A$2:$V$5011,19,0),"")</f>
        <v>DISPENSA</v>
      </c>
      <c r="H150" s="111" t="s">
        <v>22</v>
      </c>
      <c r="I150" s="111" t="s">
        <v>22</v>
      </c>
      <c r="J150" s="110">
        <f>SUMIF(PAC!$A$2:$A$5011,A150,PAC!$W$2:$W$5011)</f>
        <v>1</v>
      </c>
      <c r="K150" s="110">
        <f t="shared" si="80"/>
        <v>15</v>
      </c>
      <c r="L150" s="102">
        <f t="shared" si="81"/>
        <v>10</v>
      </c>
      <c r="M150" s="102" t="str">
        <f t="shared" si="69"/>
        <v>0</v>
      </c>
      <c r="N150" s="102" t="str">
        <f t="shared" si="62"/>
        <v>0</v>
      </c>
      <c r="O150" s="102" t="str">
        <f t="shared" si="63"/>
        <v>0</v>
      </c>
      <c r="P150" s="102">
        <f t="shared" si="82"/>
        <v>35</v>
      </c>
      <c r="Q150" s="102">
        <f t="shared" si="83"/>
        <v>3</v>
      </c>
      <c r="R150" s="102">
        <f t="shared" si="84"/>
        <v>3</v>
      </c>
      <c r="S150" s="102" t="str">
        <f t="shared" si="64"/>
        <v>0</v>
      </c>
      <c r="T150" s="102">
        <f t="shared" si="65"/>
        <v>3</v>
      </c>
      <c r="U150" s="102">
        <f t="shared" si="66"/>
        <v>18</v>
      </c>
      <c r="V150" s="102">
        <f t="shared" si="67"/>
        <v>87</v>
      </c>
      <c r="W150" s="103">
        <f t="shared" si="73"/>
        <v>45205</v>
      </c>
      <c r="X150" s="103">
        <f t="shared" si="74"/>
        <v>45230</v>
      </c>
      <c r="Y150" s="103">
        <f t="shared" si="75"/>
        <v>45265</v>
      </c>
      <c r="Z150" s="103">
        <f t="shared" si="76"/>
        <v>45268</v>
      </c>
      <c r="AA150" s="103">
        <f t="shared" si="77"/>
        <v>45271</v>
      </c>
      <c r="AB150" s="103" t="str">
        <f t="shared" si="78"/>
        <v>---</v>
      </c>
      <c r="AC150" s="103">
        <f t="shared" si="79"/>
        <v>45274</v>
      </c>
    </row>
    <row r="151" spans="1:29" ht="24">
      <c r="A151" s="90" t="s">
        <v>720</v>
      </c>
      <c r="B151" s="89" t="str">
        <f>IFERROR(VLOOKUP(A151,PAC!$A$2:$V$5011,2,0),"")</f>
        <v>Realização de Audiência remota, via internet, de forma efetiva e confiável. </v>
      </c>
      <c r="C151" s="90" t="s">
        <v>1209</v>
      </c>
      <c r="D151" s="98">
        <f>IFERROR(VLOOKUP(A151,PAC!$A$2:$V$5011,16,0),"")</f>
        <v>45394</v>
      </c>
      <c r="E151" s="99" t="str">
        <f>VLOOKUP(A151,PAC!$A$2:$V$5011,17,0)</f>
        <v>30 DIAS</v>
      </c>
      <c r="F151" s="100">
        <f>IFERROR(VLOOKUP(A151,PAC!$A$2:$V$5011,14,0),"")</f>
        <v>6000</v>
      </c>
      <c r="G151" s="100" t="str">
        <f>IFERROR(VLOOKUP(A151,PAC!$A$2:$V$5011,19,0),"")</f>
        <v>DISPENSA</v>
      </c>
      <c r="H151" s="111" t="s">
        <v>1180</v>
      </c>
      <c r="I151" s="111" t="s">
        <v>22</v>
      </c>
      <c r="J151" s="110">
        <f>SUMIF(PAC!$A$2:$A$5011,A151,PAC!$W$2:$W$5011)</f>
        <v>1</v>
      </c>
      <c r="K151" s="110">
        <f t="shared" si="80"/>
        <v>15</v>
      </c>
      <c r="L151" s="102">
        <f t="shared" si="81"/>
        <v>10</v>
      </c>
      <c r="M151" s="102" t="str">
        <f t="shared" si="69"/>
        <v>0</v>
      </c>
      <c r="N151" s="102" t="str">
        <f t="shared" si="62"/>
        <v>0</v>
      </c>
      <c r="O151" s="102" t="str">
        <f t="shared" si="63"/>
        <v>0</v>
      </c>
      <c r="P151" s="102">
        <f t="shared" si="82"/>
        <v>35</v>
      </c>
      <c r="Q151" s="102">
        <f t="shared" si="83"/>
        <v>3</v>
      </c>
      <c r="R151" s="102">
        <f t="shared" si="84"/>
        <v>3</v>
      </c>
      <c r="S151" s="102" t="str">
        <f t="shared" si="64"/>
        <v>0</v>
      </c>
      <c r="T151" s="102">
        <f t="shared" si="65"/>
        <v>5</v>
      </c>
      <c r="U151" s="102">
        <f t="shared" si="66"/>
        <v>18</v>
      </c>
      <c r="V151" s="102">
        <f t="shared" si="67"/>
        <v>89</v>
      </c>
      <c r="W151" s="103">
        <f t="shared" si="73"/>
        <v>45305</v>
      </c>
      <c r="X151" s="103">
        <f t="shared" si="74"/>
        <v>45330</v>
      </c>
      <c r="Y151" s="103">
        <f t="shared" si="75"/>
        <v>45365</v>
      </c>
      <c r="Z151" s="103">
        <f t="shared" si="76"/>
        <v>45368</v>
      </c>
      <c r="AA151" s="103">
        <f t="shared" si="77"/>
        <v>45371</v>
      </c>
      <c r="AB151" s="103" t="str">
        <f t="shared" si="78"/>
        <v>---</v>
      </c>
      <c r="AC151" s="103">
        <f t="shared" si="79"/>
        <v>45376</v>
      </c>
    </row>
    <row r="152" spans="1:29" ht="24">
      <c r="A152" s="116" t="s">
        <v>724</v>
      </c>
      <c r="B152" s="89" t="str">
        <f>IFERROR(VLOOKUP(A152,PAC!$A$2:$V$5011,2,0),"")</f>
        <v>Manutenção preventiva e corretiva de elevadores</v>
      </c>
      <c r="C152" s="90" t="s">
        <v>1210</v>
      </c>
      <c r="D152" s="98">
        <f>IFERROR(VLOOKUP(A152,PAC!$A$2:$V$5011,16,0),"")</f>
        <v>45292</v>
      </c>
      <c r="E152" s="99" t="str">
        <f>VLOOKUP(A152,PAC!$A$2:$V$5011,17,0)</f>
        <v>30 DIAS</v>
      </c>
      <c r="F152" s="100">
        <f>IFERROR(VLOOKUP(A152,PAC!$A$2:$V$5011,14,0),"")</f>
        <v>22800</v>
      </c>
      <c r="G152" s="100" t="str">
        <f>IFERROR(VLOOKUP(A152,PAC!$A$2:$V$5011,19,0),"")</f>
        <v>PRORROGAÇÃO</v>
      </c>
      <c r="H152" s="111" t="s">
        <v>22</v>
      </c>
      <c r="I152" s="111" t="s">
        <v>22</v>
      </c>
      <c r="J152" s="110">
        <f>SUMIF(PAC!$A$2:$A$5011,A152,PAC!$W$2:$W$5011)</f>
        <v>1</v>
      </c>
      <c r="K152" s="110" t="str">
        <f t="shared" si="80"/>
        <v>0</v>
      </c>
      <c r="L152" s="102" t="str">
        <f t="shared" si="81"/>
        <v>0</v>
      </c>
      <c r="M152" s="102" t="str">
        <f t="shared" si="69"/>
        <v>0</v>
      </c>
      <c r="N152" s="102" t="str">
        <f t="shared" si="62"/>
        <v>0</v>
      </c>
      <c r="O152" s="102" t="str">
        <f t="shared" si="63"/>
        <v>0</v>
      </c>
      <c r="P152" s="102" t="str">
        <f t="shared" si="82"/>
        <v>0</v>
      </c>
      <c r="Q152" s="102" t="str">
        <f t="shared" si="83"/>
        <v>0</v>
      </c>
      <c r="R152" s="102" t="str">
        <f t="shared" si="84"/>
        <v>0</v>
      </c>
      <c r="S152" s="102">
        <f t="shared" si="64"/>
        <v>60</v>
      </c>
      <c r="T152" s="102" t="str">
        <f t="shared" si="65"/>
        <v>0</v>
      </c>
      <c r="U152" s="102">
        <f t="shared" si="66"/>
        <v>18</v>
      </c>
      <c r="V152" s="102">
        <f t="shared" si="67"/>
        <v>78</v>
      </c>
      <c r="W152" s="103" t="str">
        <f t="shared" si="73"/>
        <v>---</v>
      </c>
      <c r="X152" s="103" t="str">
        <f t="shared" si="74"/>
        <v>---</v>
      </c>
      <c r="Y152" s="103" t="str">
        <f t="shared" si="75"/>
        <v>---</v>
      </c>
      <c r="Z152" s="103" t="str">
        <f t="shared" si="76"/>
        <v>---</v>
      </c>
      <c r="AA152" s="103" t="str">
        <f t="shared" si="77"/>
        <v>---</v>
      </c>
      <c r="AB152" s="103">
        <f t="shared" si="78"/>
        <v>45214</v>
      </c>
      <c r="AC152" s="103">
        <f t="shared" si="79"/>
        <v>45274</v>
      </c>
    </row>
    <row r="153" spans="1:29" ht="15">
      <c r="A153" s="116" t="s">
        <v>728</v>
      </c>
      <c r="B153" s="89" t="str">
        <f>IFERROR(VLOOKUP(A153,PAC!$A$2:$V$5011,2,0),"")</f>
        <v>Fornecimento de água mineral.</v>
      </c>
      <c r="C153" s="90" t="s">
        <v>1210</v>
      </c>
      <c r="D153" s="98">
        <f>IFERROR(VLOOKUP(A153,PAC!$A$2:$V$5011,16,0),"")</f>
        <v>45292</v>
      </c>
      <c r="E153" s="99" t="str">
        <f>VLOOKUP(A153,PAC!$A$2:$V$5011,17,0)</f>
        <v>30 DIAS</v>
      </c>
      <c r="F153" s="100">
        <f>IFERROR(VLOOKUP(A153,PAC!$A$2:$V$5011,14,0),"")</f>
        <v>9500</v>
      </c>
      <c r="G153" s="100" t="str">
        <f>IFERROR(VLOOKUP(A153,PAC!$A$2:$V$5011,19,0),"")</f>
        <v>DISPENSA</v>
      </c>
      <c r="H153" s="111" t="s">
        <v>1180</v>
      </c>
      <c r="I153" s="111" t="s">
        <v>22</v>
      </c>
      <c r="J153" s="110">
        <f>SUMIF(PAC!$A$2:$A$5011,A153,PAC!$W$2:$W$5011)</f>
        <v>1</v>
      </c>
      <c r="K153" s="110">
        <f t="shared" si="80"/>
        <v>15</v>
      </c>
      <c r="L153" s="102">
        <f t="shared" si="81"/>
        <v>10</v>
      </c>
      <c r="M153" s="102" t="str">
        <f t="shared" si="69"/>
        <v>0</v>
      </c>
      <c r="N153" s="102" t="str">
        <f t="shared" si="62"/>
        <v>0</v>
      </c>
      <c r="O153" s="102" t="str">
        <f t="shared" si="63"/>
        <v>0</v>
      </c>
      <c r="P153" s="102">
        <f t="shared" si="82"/>
        <v>35</v>
      </c>
      <c r="Q153" s="102">
        <f t="shared" si="83"/>
        <v>3</v>
      </c>
      <c r="R153" s="102">
        <f t="shared" si="84"/>
        <v>3</v>
      </c>
      <c r="S153" s="102" t="str">
        <f t="shared" si="64"/>
        <v>0</v>
      </c>
      <c r="T153" s="102">
        <f t="shared" si="65"/>
        <v>5</v>
      </c>
      <c r="U153" s="102">
        <v>0</v>
      </c>
      <c r="V153" s="102">
        <f t="shared" si="67"/>
        <v>71</v>
      </c>
      <c r="W153" s="103">
        <f t="shared" si="73"/>
        <v>45221</v>
      </c>
      <c r="X153" s="103">
        <f t="shared" si="74"/>
        <v>45246</v>
      </c>
      <c r="Y153" s="103">
        <f t="shared" si="75"/>
        <v>45281</v>
      </c>
      <c r="Z153" s="103">
        <f t="shared" si="76"/>
        <v>45284</v>
      </c>
      <c r="AA153" s="103">
        <f t="shared" si="77"/>
        <v>45287</v>
      </c>
      <c r="AB153" s="103" t="str">
        <f t="shared" si="78"/>
        <v>---</v>
      </c>
      <c r="AC153" s="103">
        <f t="shared" si="79"/>
        <v>45292</v>
      </c>
    </row>
    <row r="154" spans="1:29" ht="15">
      <c r="A154" s="116" t="s">
        <v>733</v>
      </c>
      <c r="B154" s="89" t="str">
        <f>IFERROR(VLOOKUP(A154,PAC!$A$2:$V$5011,2,0),"")</f>
        <v>Manutenção predial.</v>
      </c>
      <c r="C154" s="90" t="s">
        <v>1210</v>
      </c>
      <c r="D154" s="98">
        <f>IFERROR(VLOOKUP(A154,PAC!$A$2:$V$5011,16,0),"")</f>
        <v>45292</v>
      </c>
      <c r="E154" s="99" t="str">
        <f>VLOOKUP(A154,PAC!$A$2:$V$5011,17,0)</f>
        <v>90 DIAS</v>
      </c>
      <c r="F154" s="100">
        <f>IFERROR(VLOOKUP(A154,PAC!$A$2:$V$5011,14,0),"")</f>
        <v>54000</v>
      </c>
      <c r="G154" s="100" t="str">
        <f>IFERROR(VLOOKUP(A154,PAC!$A$2:$V$5011,19,0),"")</f>
        <v>PRORROGAÇÃO</v>
      </c>
      <c r="H154" s="111" t="s">
        <v>1180</v>
      </c>
      <c r="I154" s="111" t="s">
        <v>22</v>
      </c>
      <c r="J154" s="110">
        <f>SUMIF(PAC!$A$2:$A$5011,A154,PAC!$W$2:$W$5011)</f>
        <v>1</v>
      </c>
      <c r="K154" s="110" t="str">
        <f t="shared" si="80"/>
        <v>0</v>
      </c>
      <c r="L154" s="102" t="str">
        <f t="shared" si="81"/>
        <v>0</v>
      </c>
      <c r="M154" s="102" t="str">
        <f t="shared" si="69"/>
        <v>0</v>
      </c>
      <c r="N154" s="102" t="str">
        <f t="shared" si="62"/>
        <v>0</v>
      </c>
      <c r="O154" s="102" t="str">
        <f t="shared" si="63"/>
        <v>0</v>
      </c>
      <c r="P154" s="102" t="str">
        <f t="shared" si="82"/>
        <v>0</v>
      </c>
      <c r="Q154" s="102" t="str">
        <f t="shared" si="83"/>
        <v>0</v>
      </c>
      <c r="R154" s="102" t="str">
        <f t="shared" si="84"/>
        <v>0</v>
      </c>
      <c r="S154" s="102">
        <f t="shared" si="64"/>
        <v>60</v>
      </c>
      <c r="T154" s="102" t="str">
        <f t="shared" si="65"/>
        <v>0</v>
      </c>
      <c r="U154" s="102">
        <f t="shared" ref="U154:U185" si="85">IF(D154&gt;44549,18,"0")</f>
        <v>18</v>
      </c>
      <c r="V154" s="102">
        <f t="shared" si="67"/>
        <v>78</v>
      </c>
      <c r="W154" s="103" t="str">
        <f t="shared" si="73"/>
        <v>---</v>
      </c>
      <c r="X154" s="103" t="str">
        <f t="shared" si="74"/>
        <v>---</v>
      </c>
      <c r="Y154" s="103" t="str">
        <f t="shared" si="75"/>
        <v>---</v>
      </c>
      <c r="Z154" s="103" t="str">
        <f t="shared" si="76"/>
        <v>---</v>
      </c>
      <c r="AA154" s="103" t="str">
        <f t="shared" si="77"/>
        <v>---</v>
      </c>
      <c r="AB154" s="103">
        <f t="shared" si="78"/>
        <v>45214</v>
      </c>
      <c r="AC154" s="103">
        <f t="shared" si="79"/>
        <v>45274</v>
      </c>
    </row>
    <row r="155" spans="1:29" ht="24">
      <c r="A155" s="116" t="s">
        <v>738</v>
      </c>
      <c r="B155" s="89" t="str">
        <f>IFERROR(VLOOKUP(A155,PAC!$A$2:$V$5011,2,0),"")</f>
        <v>Fornecimento de energia elétrica.</v>
      </c>
      <c r="C155" s="90" t="s">
        <v>1210</v>
      </c>
      <c r="D155" s="98">
        <f>IFERROR(VLOOKUP(A155,PAC!$A$2:$V$5011,16,0),"")</f>
        <v>45292</v>
      </c>
      <c r="E155" s="99" t="str">
        <f>VLOOKUP(A155,PAC!$A$2:$V$5011,17,0)</f>
        <v>15 DIAS</v>
      </c>
      <c r="F155" s="100">
        <f>IFERROR(VLOOKUP(A155,PAC!$A$2:$V$5011,14,0),"")</f>
        <v>66000</v>
      </c>
      <c r="G155" s="100" t="str">
        <f>IFERROR(VLOOKUP(A155,PAC!$A$2:$V$5011,19,0),"")</f>
        <v>INEXIGIBILIDADE</v>
      </c>
      <c r="H155" s="111" t="s">
        <v>1180</v>
      </c>
      <c r="I155" s="111" t="s">
        <v>22</v>
      </c>
      <c r="J155" s="110">
        <f>SUMIF(PAC!$A$2:$A$5011,A155,PAC!$W$2:$W$5011)</f>
        <v>1</v>
      </c>
      <c r="K155" s="110">
        <f t="shared" si="80"/>
        <v>15</v>
      </c>
      <c r="L155" s="102">
        <f t="shared" si="81"/>
        <v>10</v>
      </c>
      <c r="M155" s="102" t="str">
        <f t="shared" si="69"/>
        <v>0</v>
      </c>
      <c r="N155" s="102" t="str">
        <f t="shared" ref="N155:N186" si="86">IF(AND(G155="Licitação"),IF(AND(H155=""),"0",IF(AND(H155="N"),15,IF(AND(H155="C"),25))),"0")</f>
        <v>0</v>
      </c>
      <c r="O155" s="102" t="str">
        <f t="shared" ref="O155:O186" si="87">IF(AND(G155="Licitação"),IF(AND(I155=""),"0",IF(AND(I155="N"),25,IF(AND(I155="S"),40))),"0")</f>
        <v>0</v>
      </c>
      <c r="P155" s="102">
        <f t="shared" si="82"/>
        <v>35</v>
      </c>
      <c r="Q155" s="102">
        <f t="shared" si="83"/>
        <v>3</v>
      </c>
      <c r="R155" s="102">
        <f t="shared" si="84"/>
        <v>3</v>
      </c>
      <c r="S155" s="102" t="str">
        <f t="shared" ref="S155:S186" si="88">IF(OR(G155="prorrogação",G155="renovação"),60,"0")</f>
        <v>0</v>
      </c>
      <c r="T155" s="102">
        <f t="shared" ref="T155:T186" si="89">IF(OR(G155="dispensa",G155="inexigibilidade",G155="licitação"),IF(AND(H155="C"),5,IF(AND(H155="N"),3,IF(AND(H155=""),"0"))),"0")</f>
        <v>5</v>
      </c>
      <c r="U155" s="102">
        <f t="shared" si="85"/>
        <v>18</v>
      </c>
      <c r="V155" s="102">
        <f t="shared" ref="V155:V186" si="90">SUM(K155:U155)</f>
        <v>89</v>
      </c>
      <c r="W155" s="103">
        <f t="shared" si="73"/>
        <v>45203</v>
      </c>
      <c r="X155" s="103">
        <f t="shared" si="74"/>
        <v>45228</v>
      </c>
      <c r="Y155" s="103">
        <f t="shared" si="75"/>
        <v>45263</v>
      </c>
      <c r="Z155" s="103">
        <f t="shared" si="76"/>
        <v>45266</v>
      </c>
      <c r="AA155" s="103">
        <f t="shared" si="77"/>
        <v>45269</v>
      </c>
      <c r="AB155" s="103" t="str">
        <f t="shared" si="78"/>
        <v>---</v>
      </c>
      <c r="AC155" s="103">
        <f t="shared" si="79"/>
        <v>45274</v>
      </c>
    </row>
    <row r="156" spans="1:29" ht="15">
      <c r="A156" s="116" t="s">
        <v>743</v>
      </c>
      <c r="B156" s="89" t="str">
        <f>IFERROR(VLOOKUP(A156,PAC!$A$2:$V$5011,2,0),"")</f>
        <v>Resmas de papel formato A-4.</v>
      </c>
      <c r="C156" s="90" t="s">
        <v>1210</v>
      </c>
      <c r="D156" s="98">
        <f>IFERROR(VLOOKUP(A156,PAC!$A$2:$V$5011,16,0),"")</f>
        <v>45292</v>
      </c>
      <c r="E156" s="99" t="str">
        <f>VLOOKUP(A156,PAC!$A$2:$V$5011,17,0)</f>
        <v>30 DIAS</v>
      </c>
      <c r="F156" s="100">
        <f>IFERROR(VLOOKUP(A156,PAC!$A$2:$V$5011,14,0),"")</f>
        <v>1500</v>
      </c>
      <c r="G156" s="100" t="str">
        <f>IFERROR(VLOOKUP(A156,PAC!$A$2:$V$5011,19,0),"")</f>
        <v>DISPENSA</v>
      </c>
      <c r="H156" s="111" t="s">
        <v>1180</v>
      </c>
      <c r="I156" s="111" t="s">
        <v>22</v>
      </c>
      <c r="J156" s="110">
        <f>SUMIF(PAC!$A$2:$A$5011,A156,PAC!$W$2:$W$5011)</f>
        <v>1</v>
      </c>
      <c r="K156" s="110">
        <f t="shared" si="80"/>
        <v>15</v>
      </c>
      <c r="L156" s="102">
        <f t="shared" si="81"/>
        <v>10</v>
      </c>
      <c r="M156" s="102" t="str">
        <f t="shared" si="69"/>
        <v>0</v>
      </c>
      <c r="N156" s="102" t="str">
        <f t="shared" si="86"/>
        <v>0</v>
      </c>
      <c r="O156" s="102" t="str">
        <f t="shared" si="87"/>
        <v>0</v>
      </c>
      <c r="P156" s="102">
        <f t="shared" si="82"/>
        <v>35</v>
      </c>
      <c r="Q156" s="102">
        <f t="shared" si="83"/>
        <v>3</v>
      </c>
      <c r="R156" s="102">
        <f t="shared" si="84"/>
        <v>3</v>
      </c>
      <c r="S156" s="102" t="str">
        <f t="shared" si="88"/>
        <v>0</v>
      </c>
      <c r="T156" s="102">
        <f t="shared" si="89"/>
        <v>5</v>
      </c>
      <c r="U156" s="102">
        <f t="shared" si="85"/>
        <v>18</v>
      </c>
      <c r="V156" s="102">
        <f t="shared" si="90"/>
        <v>89</v>
      </c>
      <c r="W156" s="103">
        <f t="shared" si="73"/>
        <v>45203</v>
      </c>
      <c r="X156" s="103">
        <f t="shared" si="74"/>
        <v>45228</v>
      </c>
      <c r="Y156" s="103">
        <f t="shared" si="75"/>
        <v>45263</v>
      </c>
      <c r="Z156" s="103">
        <f t="shared" si="76"/>
        <v>45266</v>
      </c>
      <c r="AA156" s="103">
        <f t="shared" si="77"/>
        <v>45269</v>
      </c>
      <c r="AB156" s="103" t="str">
        <f t="shared" si="78"/>
        <v>---</v>
      </c>
      <c r="AC156" s="103">
        <f t="shared" si="79"/>
        <v>45274</v>
      </c>
    </row>
    <row r="157" spans="1:29" ht="36">
      <c r="A157" s="116" t="s">
        <v>749</v>
      </c>
      <c r="B157" s="89" t="str">
        <f>IFERROR(VLOOKUP(A157,PAC!$A$2:$V$5011,2,0),"")</f>
        <v>Aquisição de material elétrico e materiais para reparos a serem utilizados pela Subseção Judiciária de Marabá.</v>
      </c>
      <c r="C157" s="90" t="s">
        <v>1210</v>
      </c>
      <c r="D157" s="98">
        <f>IFERROR(VLOOKUP(A157,PAC!$A$2:$V$5011,16,0),"")</f>
        <v>45292</v>
      </c>
      <c r="E157" s="99" t="str">
        <f>VLOOKUP(A157,PAC!$A$2:$V$5011,17,0)</f>
        <v>30 DIAS</v>
      </c>
      <c r="F157" s="100">
        <f>IFERROR(VLOOKUP(A157,PAC!$A$2:$V$5011,14,0),"")</f>
        <v>8400</v>
      </c>
      <c r="G157" s="100" t="str">
        <f>IFERROR(VLOOKUP(A157,PAC!$A$2:$V$5011,19,0),"")</f>
        <v>DISPENSA</v>
      </c>
      <c r="H157" s="111" t="s">
        <v>22</v>
      </c>
      <c r="I157" s="111" t="s">
        <v>22</v>
      </c>
      <c r="J157" s="110">
        <f>SUMIF(PAC!$A$2:$A$5011,A157,PAC!$W$2:$W$5011)</f>
        <v>1</v>
      </c>
      <c r="K157" s="110">
        <f t="shared" si="80"/>
        <v>15</v>
      </c>
      <c r="L157" s="102">
        <f t="shared" si="81"/>
        <v>10</v>
      </c>
      <c r="M157" s="102" t="str">
        <f t="shared" si="69"/>
        <v>0</v>
      </c>
      <c r="N157" s="102" t="str">
        <f t="shared" si="86"/>
        <v>0</v>
      </c>
      <c r="O157" s="102" t="str">
        <f t="shared" si="87"/>
        <v>0</v>
      </c>
      <c r="P157" s="102">
        <f t="shared" si="82"/>
        <v>35</v>
      </c>
      <c r="Q157" s="102">
        <f t="shared" si="83"/>
        <v>3</v>
      </c>
      <c r="R157" s="102">
        <f t="shared" si="84"/>
        <v>3</v>
      </c>
      <c r="S157" s="102" t="str">
        <f t="shared" si="88"/>
        <v>0</v>
      </c>
      <c r="T157" s="102">
        <f t="shared" si="89"/>
        <v>3</v>
      </c>
      <c r="U157" s="102">
        <f t="shared" si="85"/>
        <v>18</v>
      </c>
      <c r="V157" s="102">
        <f t="shared" si="90"/>
        <v>87</v>
      </c>
      <c r="W157" s="103">
        <f t="shared" si="73"/>
        <v>45205</v>
      </c>
      <c r="X157" s="103">
        <f t="shared" si="74"/>
        <v>45230</v>
      </c>
      <c r="Y157" s="103">
        <f t="shared" si="75"/>
        <v>45265</v>
      </c>
      <c r="Z157" s="103">
        <f t="shared" si="76"/>
        <v>45268</v>
      </c>
      <c r="AA157" s="103">
        <f t="shared" si="77"/>
        <v>45271</v>
      </c>
      <c r="AB157" s="103" t="str">
        <f t="shared" si="78"/>
        <v>---</v>
      </c>
      <c r="AC157" s="103">
        <f t="shared" si="79"/>
        <v>45274</v>
      </c>
    </row>
    <row r="158" spans="1:29" ht="36">
      <c r="A158" s="116" t="s">
        <v>753</v>
      </c>
      <c r="B158" s="89" t="str">
        <f>IFERROR(VLOOKUP(A158,PAC!$A$2:$V$5011,2,0),"")</f>
        <v>Aquisição de gás refrigerante para manutenção nos condicionadores de ar da Subseção de Marabá</v>
      </c>
      <c r="C158" s="90" t="s">
        <v>1210</v>
      </c>
      <c r="D158" s="98">
        <f>IFERROR(VLOOKUP(A158,PAC!$A$2:$V$5011,16,0),"")</f>
        <v>45292</v>
      </c>
      <c r="E158" s="99" t="str">
        <f>VLOOKUP(A158,PAC!$A$2:$V$5011,17,0)</f>
        <v>30 DIAS</v>
      </c>
      <c r="F158" s="100">
        <f>IFERROR(VLOOKUP(A158,PAC!$A$2:$V$5011,14,0),"")</f>
        <v>2800</v>
      </c>
      <c r="G158" s="100" t="str">
        <f>IFERROR(VLOOKUP(A158,PAC!$A$2:$V$5011,19,0),"")</f>
        <v>DISPENSA</v>
      </c>
      <c r="H158" s="111" t="s">
        <v>22</v>
      </c>
      <c r="I158" s="111" t="s">
        <v>22</v>
      </c>
      <c r="J158" s="110">
        <f>SUMIF(PAC!$A$2:$A$5011,A158,PAC!$W$2:$W$5011)</f>
        <v>1</v>
      </c>
      <c r="K158" s="110">
        <f t="shared" si="80"/>
        <v>15</v>
      </c>
      <c r="L158" s="102">
        <f t="shared" si="81"/>
        <v>10</v>
      </c>
      <c r="M158" s="102" t="str">
        <f t="shared" si="69"/>
        <v>0</v>
      </c>
      <c r="N158" s="102" t="str">
        <f t="shared" si="86"/>
        <v>0</v>
      </c>
      <c r="O158" s="102" t="str">
        <f t="shared" si="87"/>
        <v>0</v>
      </c>
      <c r="P158" s="102">
        <f t="shared" si="82"/>
        <v>35</v>
      </c>
      <c r="Q158" s="102">
        <f t="shared" si="83"/>
        <v>3</v>
      </c>
      <c r="R158" s="102">
        <f t="shared" si="84"/>
        <v>3</v>
      </c>
      <c r="S158" s="102" t="str">
        <f t="shared" si="88"/>
        <v>0</v>
      </c>
      <c r="T158" s="102">
        <f t="shared" si="89"/>
        <v>3</v>
      </c>
      <c r="U158" s="102">
        <f t="shared" si="85"/>
        <v>18</v>
      </c>
      <c r="V158" s="102">
        <f t="shared" si="90"/>
        <v>87</v>
      </c>
      <c r="W158" s="103">
        <f t="shared" si="73"/>
        <v>45205</v>
      </c>
      <c r="X158" s="103">
        <f t="shared" si="74"/>
        <v>45230</v>
      </c>
      <c r="Y158" s="103">
        <f t="shared" si="75"/>
        <v>45265</v>
      </c>
      <c r="Z158" s="103">
        <f t="shared" si="76"/>
        <v>45268</v>
      </c>
      <c r="AA158" s="103">
        <f t="shared" si="77"/>
        <v>45271</v>
      </c>
      <c r="AB158" s="103" t="str">
        <f t="shared" si="78"/>
        <v>---</v>
      </c>
      <c r="AC158" s="103">
        <f t="shared" si="79"/>
        <v>45274</v>
      </c>
    </row>
    <row r="159" spans="1:29" ht="36">
      <c r="A159" s="116" t="s">
        <v>759</v>
      </c>
      <c r="B159" s="89" t="str">
        <f>IFERROR(VLOOKUP(A159,PAC!$A$2:$V$5011,2,0),"")</f>
        <v>Aquisição de gás refrigerante para manutenção nos condicionadores de ar da Subseção de Marabá</v>
      </c>
      <c r="C159" s="90" t="s">
        <v>1210</v>
      </c>
      <c r="D159" s="98">
        <f>IFERROR(VLOOKUP(A159,PAC!$A$2:$V$5011,16,0),"")</f>
        <v>45292</v>
      </c>
      <c r="E159" s="99" t="str">
        <f>VLOOKUP(A159,PAC!$A$2:$V$5011,17,0)</f>
        <v>30 DIAS</v>
      </c>
      <c r="F159" s="100">
        <f>IFERROR(VLOOKUP(A159,PAC!$A$2:$V$5011,14,0),"")</f>
        <v>2800</v>
      </c>
      <c r="G159" s="100" t="str">
        <f>IFERROR(VLOOKUP(A159,PAC!$A$2:$V$5011,19,0),"")</f>
        <v>DISPENSA</v>
      </c>
      <c r="H159" s="111" t="s">
        <v>22</v>
      </c>
      <c r="I159" s="111" t="s">
        <v>22</v>
      </c>
      <c r="J159" s="110">
        <f>SUMIF(PAC!$A$2:$A$5011,A159,PAC!$W$2:$W$5011)</f>
        <v>1</v>
      </c>
      <c r="K159" s="110">
        <f t="shared" si="80"/>
        <v>15</v>
      </c>
      <c r="L159" s="102">
        <f t="shared" si="81"/>
        <v>10</v>
      </c>
      <c r="M159" s="102" t="str">
        <f t="shared" si="69"/>
        <v>0</v>
      </c>
      <c r="N159" s="102" t="str">
        <f t="shared" si="86"/>
        <v>0</v>
      </c>
      <c r="O159" s="102" t="str">
        <f t="shared" si="87"/>
        <v>0</v>
      </c>
      <c r="P159" s="102">
        <f t="shared" si="82"/>
        <v>35</v>
      </c>
      <c r="Q159" s="102">
        <f t="shared" si="83"/>
        <v>3</v>
      </c>
      <c r="R159" s="102">
        <f t="shared" si="84"/>
        <v>3</v>
      </c>
      <c r="S159" s="102" t="str">
        <f t="shared" si="88"/>
        <v>0</v>
      </c>
      <c r="T159" s="102">
        <f t="shared" si="89"/>
        <v>3</v>
      </c>
      <c r="U159" s="102">
        <f t="shared" si="85"/>
        <v>18</v>
      </c>
      <c r="V159" s="102">
        <f t="shared" si="90"/>
        <v>87</v>
      </c>
      <c r="W159" s="103">
        <f t="shared" si="73"/>
        <v>45205</v>
      </c>
      <c r="X159" s="103">
        <f t="shared" si="74"/>
        <v>45230</v>
      </c>
      <c r="Y159" s="103">
        <f t="shared" si="75"/>
        <v>45265</v>
      </c>
      <c r="Z159" s="103">
        <f t="shared" si="76"/>
        <v>45268</v>
      </c>
      <c r="AA159" s="103">
        <f t="shared" si="77"/>
        <v>45271</v>
      </c>
      <c r="AB159" s="103" t="str">
        <f t="shared" si="78"/>
        <v>---</v>
      </c>
      <c r="AC159" s="103">
        <f t="shared" si="79"/>
        <v>45274</v>
      </c>
    </row>
    <row r="160" spans="1:29" ht="15">
      <c r="A160" s="116" t="s">
        <v>761</v>
      </c>
      <c r="B160" s="89" t="str">
        <f>IFERROR(VLOOKUP(A160,PAC!$A$2:$V$5011,2,0),"")</f>
        <v>Reforma dos banheiros</v>
      </c>
      <c r="C160" s="90" t="s">
        <v>1210</v>
      </c>
      <c r="D160" s="98">
        <f>IFERROR(VLOOKUP(A160,PAC!$A$2:$V$5011,16,0),"")</f>
        <v>45444</v>
      </c>
      <c r="E160" s="99" t="str">
        <f>VLOOKUP(A160,PAC!$A$2:$V$5011,17,0)</f>
        <v>90 DIAS</v>
      </c>
      <c r="F160" s="100">
        <f>IFERROR(VLOOKUP(A160,PAC!$A$2:$V$5011,14,0),"")</f>
        <v>100000</v>
      </c>
      <c r="G160" s="100" t="str">
        <f>IFERROR(VLOOKUP(A160,PAC!$A$2:$V$5011,19,0),"")</f>
        <v>LICITAÇÃO</v>
      </c>
      <c r="H160" s="111" t="s">
        <v>22</v>
      </c>
      <c r="I160" s="111" t="s">
        <v>22</v>
      </c>
      <c r="J160" s="110">
        <f>SUMIF(PAC!$A$2:$A$5011,A160,PAC!$W$2:$W$5011)</f>
        <v>1</v>
      </c>
      <c r="K160" s="110">
        <f t="shared" si="80"/>
        <v>15</v>
      </c>
      <c r="L160" s="102">
        <f t="shared" si="81"/>
        <v>10</v>
      </c>
      <c r="M160" s="102">
        <f t="shared" si="69"/>
        <v>20</v>
      </c>
      <c r="N160" s="102">
        <f t="shared" si="86"/>
        <v>15</v>
      </c>
      <c r="O160" s="102">
        <f t="shared" si="87"/>
        <v>25</v>
      </c>
      <c r="P160" s="102" t="str">
        <f t="shared" si="82"/>
        <v>0</v>
      </c>
      <c r="Q160" s="102" t="str">
        <f t="shared" si="83"/>
        <v>0</v>
      </c>
      <c r="R160" s="102" t="str">
        <f t="shared" si="84"/>
        <v>0</v>
      </c>
      <c r="S160" s="102" t="str">
        <f t="shared" si="88"/>
        <v>0</v>
      </c>
      <c r="T160" s="102">
        <f t="shared" si="89"/>
        <v>3</v>
      </c>
      <c r="U160" s="102">
        <f t="shared" si="85"/>
        <v>18</v>
      </c>
      <c r="V160" s="102">
        <f t="shared" si="90"/>
        <v>106</v>
      </c>
      <c r="W160" s="103">
        <f t="shared" si="73"/>
        <v>45338</v>
      </c>
      <c r="X160" s="103">
        <f t="shared" si="74"/>
        <v>45363</v>
      </c>
      <c r="Y160" s="103">
        <f t="shared" si="75"/>
        <v>45383</v>
      </c>
      <c r="Z160" s="103">
        <f t="shared" si="76"/>
        <v>45398</v>
      </c>
      <c r="AA160" s="103">
        <f t="shared" si="77"/>
        <v>45423</v>
      </c>
      <c r="AB160" s="103" t="str">
        <f t="shared" si="78"/>
        <v>---</v>
      </c>
      <c r="AC160" s="103">
        <f t="shared" si="79"/>
        <v>45426</v>
      </c>
    </row>
    <row r="161" spans="1:29" ht="24">
      <c r="A161" s="116" t="s">
        <v>765</v>
      </c>
      <c r="B161" s="89" t="str">
        <f>IFERROR(VLOOKUP(A161,PAC!$A$2:$V$5011,2,0),"")</f>
        <v>Manutenção de aparelhos de ar condicionado.</v>
      </c>
      <c r="C161" s="90" t="s">
        <v>1210</v>
      </c>
      <c r="D161" s="98">
        <f>IFERROR(VLOOKUP(A161,PAC!$A$2:$V$5011,16,0),"")</f>
        <v>45292</v>
      </c>
      <c r="E161" s="99" t="str">
        <f>VLOOKUP(A161,PAC!$A$2:$V$5011,17,0)</f>
        <v>30 DIAS</v>
      </c>
      <c r="F161" s="100">
        <f>IFERROR(VLOOKUP(A161,PAC!$A$2:$V$5011,14,0),"")</f>
        <v>28800</v>
      </c>
      <c r="G161" s="100" t="str">
        <f>IFERROR(VLOOKUP(A161,PAC!$A$2:$V$5011,19,0),"")</f>
        <v>DISPENSA</v>
      </c>
      <c r="H161" s="111" t="s">
        <v>22</v>
      </c>
      <c r="I161" s="111" t="s">
        <v>22</v>
      </c>
      <c r="J161" s="110">
        <f>SUMIF(PAC!$A$2:$A$5011,A161,PAC!$W$2:$W$5011)</f>
        <v>1</v>
      </c>
      <c r="K161" s="110">
        <f t="shared" si="80"/>
        <v>15</v>
      </c>
      <c r="L161" s="102">
        <f t="shared" si="81"/>
        <v>10</v>
      </c>
      <c r="M161" s="102" t="str">
        <f t="shared" si="69"/>
        <v>0</v>
      </c>
      <c r="N161" s="102" t="str">
        <f t="shared" si="86"/>
        <v>0</v>
      </c>
      <c r="O161" s="102" t="str">
        <f t="shared" si="87"/>
        <v>0</v>
      </c>
      <c r="P161" s="102">
        <f t="shared" si="82"/>
        <v>35</v>
      </c>
      <c r="Q161" s="102">
        <f t="shared" si="83"/>
        <v>3</v>
      </c>
      <c r="R161" s="102">
        <f t="shared" si="84"/>
        <v>3</v>
      </c>
      <c r="S161" s="102" t="str">
        <f t="shared" si="88"/>
        <v>0</v>
      </c>
      <c r="T161" s="102">
        <f t="shared" si="89"/>
        <v>3</v>
      </c>
      <c r="U161" s="102">
        <f t="shared" si="85"/>
        <v>18</v>
      </c>
      <c r="V161" s="102">
        <f t="shared" si="90"/>
        <v>87</v>
      </c>
      <c r="W161" s="103">
        <f t="shared" si="73"/>
        <v>45205</v>
      </c>
      <c r="X161" s="103">
        <f t="shared" si="74"/>
        <v>45230</v>
      </c>
      <c r="Y161" s="103">
        <f t="shared" si="75"/>
        <v>45265</v>
      </c>
      <c r="Z161" s="103">
        <f t="shared" si="76"/>
        <v>45268</v>
      </c>
      <c r="AA161" s="103">
        <f t="shared" si="77"/>
        <v>45271</v>
      </c>
      <c r="AB161" s="103" t="str">
        <f t="shared" si="78"/>
        <v>---</v>
      </c>
      <c r="AC161" s="103">
        <f t="shared" si="79"/>
        <v>45274</v>
      </c>
    </row>
    <row r="162" spans="1:29" ht="36">
      <c r="A162" s="116" t="s">
        <v>769</v>
      </c>
      <c r="B162" s="89" t="str">
        <f>IFERROR(VLOOKUP(A162,PAC!$A$2:$V$5011,2,0),"")</f>
        <v>Contratação de empresa especializada em recarga de extintores, teste de mangueira e hidrante</v>
      </c>
      <c r="C162" s="90" t="s">
        <v>1210</v>
      </c>
      <c r="D162" s="98">
        <f>IFERROR(VLOOKUP(A162,PAC!$A$2:$V$5011,16,0),"")</f>
        <v>45442</v>
      </c>
      <c r="E162" s="99" t="str">
        <f>VLOOKUP(A162,PAC!$A$2:$V$5011,17,0)</f>
        <v>30 DIAS</v>
      </c>
      <c r="F162" s="100">
        <f>IFERROR(VLOOKUP(A162,PAC!$A$2:$V$5011,14,0),"")</f>
        <v>10000</v>
      </c>
      <c r="G162" s="100" t="str">
        <f>IFERROR(VLOOKUP(A162,PAC!$A$2:$V$5011,19,0),"")</f>
        <v>DISPENSA</v>
      </c>
      <c r="H162" s="111" t="s">
        <v>22</v>
      </c>
      <c r="I162" s="111" t="s">
        <v>22</v>
      </c>
      <c r="J162" s="110">
        <f>SUMIF(PAC!$A$2:$A$5011,A162,PAC!$W$2:$W$5011)</f>
        <v>1</v>
      </c>
      <c r="K162" s="110">
        <f t="shared" si="80"/>
        <v>15</v>
      </c>
      <c r="L162" s="102">
        <f t="shared" si="81"/>
        <v>10</v>
      </c>
      <c r="M162" s="102" t="str">
        <f t="shared" si="69"/>
        <v>0</v>
      </c>
      <c r="N162" s="102" t="str">
        <f t="shared" si="86"/>
        <v>0</v>
      </c>
      <c r="O162" s="102" t="str">
        <f t="shared" si="87"/>
        <v>0</v>
      </c>
      <c r="P162" s="102">
        <f t="shared" si="82"/>
        <v>35</v>
      </c>
      <c r="Q162" s="102">
        <f t="shared" si="83"/>
        <v>3</v>
      </c>
      <c r="R162" s="102">
        <f t="shared" si="84"/>
        <v>3</v>
      </c>
      <c r="S162" s="102" t="str">
        <f t="shared" si="88"/>
        <v>0</v>
      </c>
      <c r="T162" s="102">
        <f t="shared" si="89"/>
        <v>3</v>
      </c>
      <c r="U162" s="102">
        <f t="shared" si="85"/>
        <v>18</v>
      </c>
      <c r="V162" s="102">
        <f t="shared" si="90"/>
        <v>87</v>
      </c>
      <c r="W162" s="103">
        <f t="shared" si="73"/>
        <v>45355</v>
      </c>
      <c r="X162" s="103">
        <f t="shared" si="74"/>
        <v>45380</v>
      </c>
      <c r="Y162" s="103">
        <f t="shared" si="75"/>
        <v>45415</v>
      </c>
      <c r="Z162" s="103">
        <f t="shared" si="76"/>
        <v>45418</v>
      </c>
      <c r="AA162" s="103">
        <f t="shared" si="77"/>
        <v>45421</v>
      </c>
      <c r="AB162" s="103" t="str">
        <f t="shared" si="78"/>
        <v>---</v>
      </c>
      <c r="AC162" s="103">
        <f t="shared" si="79"/>
        <v>45424</v>
      </c>
    </row>
    <row r="163" spans="1:29" ht="48">
      <c r="A163" s="116" t="s">
        <v>773</v>
      </c>
      <c r="B163" s="89" t="str">
        <f>IFERROR(VLOOKUP(A163,PAC!$A$2:$V$5011,2,0),"")</f>
        <v>Contratação de empresa que realize a manutenção e revitalização do jardim externo do prédio da Subseção Judiciária de Marabá</v>
      </c>
      <c r="C163" s="90" t="s">
        <v>1210</v>
      </c>
      <c r="D163" s="98">
        <f>IFERROR(VLOOKUP(A163,PAC!$A$2:$V$5011,16,0),"")</f>
        <v>45292</v>
      </c>
      <c r="E163" s="99" t="str">
        <f>VLOOKUP(A163,PAC!$A$2:$V$5011,17,0)</f>
        <v>30 DIAS</v>
      </c>
      <c r="F163" s="100">
        <f>IFERROR(VLOOKUP(A163,PAC!$A$2:$V$5011,14,0),"")</f>
        <v>5000</v>
      </c>
      <c r="G163" s="100" t="str">
        <f>IFERROR(VLOOKUP(A163,PAC!$A$2:$V$5011,19,0),"")</f>
        <v>DISPENSA</v>
      </c>
      <c r="H163" s="111" t="s">
        <v>22</v>
      </c>
      <c r="I163" s="111" t="s">
        <v>22</v>
      </c>
      <c r="J163" s="110">
        <f>SUMIF(PAC!$A$2:$A$5011,A163,PAC!$W$2:$W$5011)</f>
        <v>1</v>
      </c>
      <c r="K163" s="110">
        <f t="shared" si="80"/>
        <v>15</v>
      </c>
      <c r="L163" s="102">
        <f t="shared" si="81"/>
        <v>10</v>
      </c>
      <c r="M163" s="102" t="str">
        <f t="shared" si="69"/>
        <v>0</v>
      </c>
      <c r="N163" s="102" t="str">
        <f t="shared" si="86"/>
        <v>0</v>
      </c>
      <c r="O163" s="102" t="str">
        <f t="shared" si="87"/>
        <v>0</v>
      </c>
      <c r="P163" s="102">
        <f t="shared" si="82"/>
        <v>35</v>
      </c>
      <c r="Q163" s="102">
        <f t="shared" si="83"/>
        <v>3</v>
      </c>
      <c r="R163" s="102">
        <f t="shared" si="84"/>
        <v>3</v>
      </c>
      <c r="S163" s="102" t="str">
        <f t="shared" si="88"/>
        <v>0</v>
      </c>
      <c r="T163" s="102">
        <f t="shared" si="89"/>
        <v>3</v>
      </c>
      <c r="U163" s="102">
        <f t="shared" si="85"/>
        <v>18</v>
      </c>
      <c r="V163" s="102">
        <f t="shared" si="90"/>
        <v>87</v>
      </c>
      <c r="W163" s="103">
        <f t="shared" si="73"/>
        <v>45205</v>
      </c>
      <c r="X163" s="103">
        <f t="shared" si="74"/>
        <v>45230</v>
      </c>
      <c r="Y163" s="103">
        <f t="shared" si="75"/>
        <v>45265</v>
      </c>
      <c r="Z163" s="103">
        <f t="shared" si="76"/>
        <v>45268</v>
      </c>
      <c r="AA163" s="103">
        <f t="shared" si="77"/>
        <v>45271</v>
      </c>
      <c r="AB163" s="103" t="str">
        <f t="shared" si="78"/>
        <v>---</v>
      </c>
      <c r="AC163" s="103">
        <f t="shared" si="79"/>
        <v>45274</v>
      </c>
    </row>
    <row r="164" spans="1:29" ht="36">
      <c r="A164" s="116" t="s">
        <v>777</v>
      </c>
      <c r="B164" s="89" t="str">
        <f>IFERROR(VLOOKUP(A164,PAC!$A$2:$V$5011,2,0),"")</f>
        <v>Contratação de empresa especializada para manutenção preventiva mensal na porta giratória desta Subseção de Marabá</v>
      </c>
      <c r="C164" s="90" t="s">
        <v>1210</v>
      </c>
      <c r="D164" s="98">
        <f>IFERROR(VLOOKUP(A164,PAC!$A$2:$V$5011,16,0),"")</f>
        <v>45292</v>
      </c>
      <c r="E164" s="99" t="str">
        <f>VLOOKUP(A164,PAC!$A$2:$V$5011,17,0)</f>
        <v>30 DIAS</v>
      </c>
      <c r="F164" s="100">
        <f>IFERROR(VLOOKUP(A164,PAC!$A$2:$V$5011,14,0),"")</f>
        <v>12000</v>
      </c>
      <c r="G164" s="100" t="str">
        <f>IFERROR(VLOOKUP(A164,PAC!$A$2:$V$5011,19,0),"")</f>
        <v>DISPENSA</v>
      </c>
      <c r="H164" s="111" t="s">
        <v>22</v>
      </c>
      <c r="I164" s="111" t="s">
        <v>22</v>
      </c>
      <c r="J164" s="110">
        <f>SUMIF(PAC!$A$2:$A$5011,A164,PAC!$W$2:$W$5011)</f>
        <v>1</v>
      </c>
      <c r="K164" s="110">
        <f t="shared" si="80"/>
        <v>15</v>
      </c>
      <c r="L164" s="102">
        <f t="shared" si="81"/>
        <v>10</v>
      </c>
      <c r="M164" s="102" t="str">
        <f t="shared" si="69"/>
        <v>0</v>
      </c>
      <c r="N164" s="102" t="str">
        <f t="shared" si="86"/>
        <v>0</v>
      </c>
      <c r="O164" s="102" t="str">
        <f t="shared" si="87"/>
        <v>0</v>
      </c>
      <c r="P164" s="102">
        <f t="shared" si="82"/>
        <v>35</v>
      </c>
      <c r="Q164" s="102">
        <f t="shared" si="83"/>
        <v>3</v>
      </c>
      <c r="R164" s="102">
        <f t="shared" si="84"/>
        <v>3</v>
      </c>
      <c r="S164" s="102" t="str">
        <f t="shared" si="88"/>
        <v>0</v>
      </c>
      <c r="T164" s="102">
        <f t="shared" si="89"/>
        <v>3</v>
      </c>
      <c r="U164" s="102">
        <f t="shared" si="85"/>
        <v>18</v>
      </c>
      <c r="V164" s="102">
        <f t="shared" si="90"/>
        <v>87</v>
      </c>
      <c r="W164" s="103">
        <f t="shared" si="73"/>
        <v>45205</v>
      </c>
      <c r="X164" s="103">
        <f t="shared" si="74"/>
        <v>45230</v>
      </c>
      <c r="Y164" s="103">
        <f t="shared" si="75"/>
        <v>45265</v>
      </c>
      <c r="Z164" s="103">
        <f t="shared" si="76"/>
        <v>45268</v>
      </c>
      <c r="AA164" s="103">
        <f t="shared" si="77"/>
        <v>45271</v>
      </c>
      <c r="AB164" s="103" t="str">
        <f t="shared" si="78"/>
        <v>---</v>
      </c>
      <c r="AC164" s="103">
        <f t="shared" si="79"/>
        <v>45274</v>
      </c>
    </row>
    <row r="165" spans="1:29" ht="48">
      <c r="A165" s="116" t="s">
        <v>781</v>
      </c>
      <c r="B165" s="89" t="str">
        <f>IFERROR(VLOOKUP(A165,PAC!$A$2:$V$5011,2,0),"")</f>
        <v>Contratação de empresa especializada para manutenção preventiva trimestral no Scanner de Raio-X desta Subseção de Marabá</v>
      </c>
      <c r="C165" s="90" t="s">
        <v>1210</v>
      </c>
      <c r="D165" s="98">
        <f>IFERROR(VLOOKUP(A165,PAC!$A$2:$V$5011,16,0),"")</f>
        <v>45292</v>
      </c>
      <c r="E165" s="99" t="str">
        <f>VLOOKUP(A165,PAC!$A$2:$V$5011,17,0)</f>
        <v>30 DIAS</v>
      </c>
      <c r="F165" s="100">
        <f>IFERROR(VLOOKUP(A165,PAC!$A$2:$V$5011,14,0),"")</f>
        <v>14000</v>
      </c>
      <c r="G165" s="100" t="str">
        <f>IFERROR(VLOOKUP(A165,PAC!$A$2:$V$5011,19,0),"")</f>
        <v>DISPENSA</v>
      </c>
      <c r="H165" s="111" t="s">
        <v>22</v>
      </c>
      <c r="I165" s="111" t="s">
        <v>22</v>
      </c>
      <c r="J165" s="110">
        <f>SUMIF(PAC!$A$2:$A$5011,A165,PAC!$W$2:$W$5011)</f>
        <v>1</v>
      </c>
      <c r="K165" s="110">
        <f t="shared" si="80"/>
        <v>15</v>
      </c>
      <c r="L165" s="102">
        <f t="shared" si="81"/>
        <v>10</v>
      </c>
      <c r="M165" s="102" t="str">
        <f t="shared" si="69"/>
        <v>0</v>
      </c>
      <c r="N165" s="102" t="str">
        <f t="shared" si="86"/>
        <v>0</v>
      </c>
      <c r="O165" s="102" t="str">
        <f t="shared" si="87"/>
        <v>0</v>
      </c>
      <c r="P165" s="102">
        <f t="shared" si="82"/>
        <v>35</v>
      </c>
      <c r="Q165" s="102">
        <f t="shared" si="83"/>
        <v>3</v>
      </c>
      <c r="R165" s="102">
        <f t="shared" si="84"/>
        <v>3</v>
      </c>
      <c r="S165" s="102" t="str">
        <f t="shared" si="88"/>
        <v>0</v>
      </c>
      <c r="T165" s="102">
        <f t="shared" si="89"/>
        <v>3</v>
      </c>
      <c r="U165" s="102">
        <f t="shared" si="85"/>
        <v>18</v>
      </c>
      <c r="V165" s="102">
        <f t="shared" si="90"/>
        <v>87</v>
      </c>
      <c r="W165" s="103">
        <f t="shared" si="73"/>
        <v>45205</v>
      </c>
      <c r="X165" s="103">
        <f t="shared" si="74"/>
        <v>45230</v>
      </c>
      <c r="Y165" s="103">
        <f t="shared" si="75"/>
        <v>45265</v>
      </c>
      <c r="Z165" s="103">
        <f t="shared" si="76"/>
        <v>45268</v>
      </c>
      <c r="AA165" s="103">
        <f t="shared" si="77"/>
        <v>45271</v>
      </c>
      <c r="AB165" s="103" t="str">
        <f t="shared" si="78"/>
        <v>---</v>
      </c>
      <c r="AC165" s="103">
        <f t="shared" si="79"/>
        <v>45274</v>
      </c>
    </row>
    <row r="166" spans="1:29" ht="72">
      <c r="A166" s="116" t="s">
        <v>783</v>
      </c>
      <c r="B166" s="89" t="str">
        <f>IFERROR(VLOOKUP(A166,PAC!$A$2:$V$5011,2,0),"")</f>
        <v>A aquisição de capachos para as portas de acesso ao prédio da Subseção Judiciária de Marabá, bem com de adesivos com o símbolo da Justiça Federal para substituir os atuais que estão fixados nos vidros de cada andar.</v>
      </c>
      <c r="C166" s="90" t="s">
        <v>1210</v>
      </c>
      <c r="D166" s="98">
        <f>IFERROR(VLOOKUP(A166,PAC!$A$2:$V$5011,16,0),"")</f>
        <v>45352</v>
      </c>
      <c r="E166" s="99" t="str">
        <f>VLOOKUP(A166,PAC!$A$2:$V$5011,17,0)</f>
        <v>30 DIAS</v>
      </c>
      <c r="F166" s="100">
        <f>IFERROR(VLOOKUP(A166,PAC!$A$2:$V$5011,14,0),"")</f>
        <v>4000</v>
      </c>
      <c r="G166" s="100" t="str">
        <f>IFERROR(VLOOKUP(A166,PAC!$A$2:$V$5011,19,0),"")</f>
        <v>DISPENSA</v>
      </c>
      <c r="H166" s="111" t="s">
        <v>22</v>
      </c>
      <c r="I166" s="111" t="s">
        <v>22</v>
      </c>
      <c r="J166" s="110">
        <f>SUMIF(PAC!$A$2:$A$5011,A166,PAC!$W$2:$W$5011)</f>
        <v>1</v>
      </c>
      <c r="K166" s="110">
        <f t="shared" si="80"/>
        <v>15</v>
      </c>
      <c r="L166" s="102">
        <f t="shared" si="81"/>
        <v>10</v>
      </c>
      <c r="M166" s="102" t="str">
        <f t="shared" si="69"/>
        <v>0</v>
      </c>
      <c r="N166" s="102" t="str">
        <f t="shared" si="86"/>
        <v>0</v>
      </c>
      <c r="O166" s="102" t="str">
        <f t="shared" si="87"/>
        <v>0</v>
      </c>
      <c r="P166" s="102">
        <f t="shared" si="82"/>
        <v>35</v>
      </c>
      <c r="Q166" s="102">
        <f t="shared" si="83"/>
        <v>3</v>
      </c>
      <c r="R166" s="102">
        <f t="shared" si="84"/>
        <v>3</v>
      </c>
      <c r="S166" s="102" t="str">
        <f t="shared" si="88"/>
        <v>0</v>
      </c>
      <c r="T166" s="102">
        <f t="shared" si="89"/>
        <v>3</v>
      </c>
      <c r="U166" s="102">
        <f t="shared" si="85"/>
        <v>18</v>
      </c>
      <c r="V166" s="102">
        <f t="shared" si="90"/>
        <v>87</v>
      </c>
      <c r="W166" s="103">
        <f t="shared" si="73"/>
        <v>45265</v>
      </c>
      <c r="X166" s="103">
        <f t="shared" si="74"/>
        <v>45290</v>
      </c>
      <c r="Y166" s="103">
        <f t="shared" si="75"/>
        <v>45325</v>
      </c>
      <c r="Z166" s="103">
        <f t="shared" si="76"/>
        <v>45328</v>
      </c>
      <c r="AA166" s="103">
        <f t="shared" si="77"/>
        <v>45331</v>
      </c>
      <c r="AB166" s="103" t="str">
        <f t="shared" si="78"/>
        <v>---</v>
      </c>
      <c r="AC166" s="103">
        <f t="shared" si="79"/>
        <v>45334</v>
      </c>
    </row>
    <row r="167" spans="1:29" ht="36">
      <c r="A167" s="116" t="s">
        <v>787</v>
      </c>
      <c r="B167" s="89" t="str">
        <f>IFERROR(VLOOKUP(A167,PAC!$A$2:$V$5011,2,0),"")</f>
        <v>Contratação de empresa para confecção de novas persianas para o prédio desta Subseção Judiciária de Marabá</v>
      </c>
      <c r="C167" s="90" t="s">
        <v>1210</v>
      </c>
      <c r="D167" s="98">
        <f>IFERROR(VLOOKUP(A167,PAC!$A$2:$V$5011,16,0),"")</f>
        <v>45292</v>
      </c>
      <c r="E167" s="99" t="str">
        <f>VLOOKUP(A167,PAC!$A$2:$V$5011,17,0)</f>
        <v>30 DIAS</v>
      </c>
      <c r="F167" s="100">
        <f>IFERROR(VLOOKUP(A167,PAC!$A$2:$V$5011,14,0),"")</f>
        <v>15000</v>
      </c>
      <c r="G167" s="100" t="str">
        <f>IFERROR(VLOOKUP(A167,PAC!$A$2:$V$5011,19,0),"")</f>
        <v>DISPENSA</v>
      </c>
      <c r="H167" s="111" t="s">
        <v>22</v>
      </c>
      <c r="I167" s="111" t="s">
        <v>22</v>
      </c>
      <c r="J167" s="110">
        <f>SUMIF(PAC!$A$2:$A$5011,A167,PAC!$W$2:$W$5011)</f>
        <v>1</v>
      </c>
      <c r="K167" s="110">
        <f t="shared" si="80"/>
        <v>15</v>
      </c>
      <c r="L167" s="102">
        <f t="shared" si="81"/>
        <v>10</v>
      </c>
      <c r="M167" s="102" t="str">
        <f t="shared" si="69"/>
        <v>0</v>
      </c>
      <c r="N167" s="102" t="str">
        <f t="shared" si="86"/>
        <v>0</v>
      </c>
      <c r="O167" s="102" t="str">
        <f t="shared" si="87"/>
        <v>0</v>
      </c>
      <c r="P167" s="102">
        <f t="shared" si="82"/>
        <v>35</v>
      </c>
      <c r="Q167" s="102">
        <f t="shared" si="83"/>
        <v>3</v>
      </c>
      <c r="R167" s="102">
        <f t="shared" si="84"/>
        <v>3</v>
      </c>
      <c r="S167" s="102" t="str">
        <f t="shared" si="88"/>
        <v>0</v>
      </c>
      <c r="T167" s="102">
        <f t="shared" si="89"/>
        <v>3</v>
      </c>
      <c r="U167" s="102">
        <f t="shared" si="85"/>
        <v>18</v>
      </c>
      <c r="V167" s="102">
        <f t="shared" si="90"/>
        <v>87</v>
      </c>
      <c r="W167" s="103">
        <f t="shared" si="73"/>
        <v>45205</v>
      </c>
      <c r="X167" s="103">
        <f t="shared" si="74"/>
        <v>45230</v>
      </c>
      <c r="Y167" s="103">
        <f t="shared" si="75"/>
        <v>45265</v>
      </c>
      <c r="Z167" s="103">
        <f t="shared" si="76"/>
        <v>45268</v>
      </c>
      <c r="AA167" s="103">
        <f t="shared" si="77"/>
        <v>45271</v>
      </c>
      <c r="AB167" s="103" t="str">
        <f t="shared" si="78"/>
        <v>---</v>
      </c>
      <c r="AC167" s="103">
        <f t="shared" si="79"/>
        <v>45274</v>
      </c>
    </row>
    <row r="168" spans="1:29" ht="24">
      <c r="A168" s="116" t="s">
        <v>793</v>
      </c>
      <c r="B168" s="89" t="str">
        <f>IFERROR(VLOOKUP(A168,PAC!$A$2:$V$5011,2,0),"")</f>
        <v>Aquisição de 03 centrais de ar de 24.000 btus</v>
      </c>
      <c r="C168" s="90" t="s">
        <v>1210</v>
      </c>
      <c r="D168" s="98">
        <f>IFERROR(VLOOKUP(A168,PAC!$A$2:$V$5011,16,0),"")</f>
        <v>45292</v>
      </c>
      <c r="E168" s="99" t="str">
        <f>VLOOKUP(A168,PAC!$A$2:$V$5011,17,0)</f>
        <v>30 DIAS</v>
      </c>
      <c r="F168" s="100">
        <f>IFERROR(VLOOKUP(A168,PAC!$A$2:$V$5011,14,0),"")</f>
        <v>21000</v>
      </c>
      <c r="G168" s="100" t="str">
        <f>IFERROR(VLOOKUP(A168,PAC!$A$2:$V$5011,19,0),"")</f>
        <v>DISPENSA</v>
      </c>
      <c r="H168" s="111" t="s">
        <v>22</v>
      </c>
      <c r="I168" s="111" t="s">
        <v>22</v>
      </c>
      <c r="J168" s="110">
        <f>SUMIF(PAC!$A$2:$A$5011,A168,PAC!$W$2:$W$5011)</f>
        <v>1</v>
      </c>
      <c r="K168" s="110">
        <f t="shared" si="80"/>
        <v>15</v>
      </c>
      <c r="L168" s="102">
        <f t="shared" si="81"/>
        <v>10</v>
      </c>
      <c r="M168" s="102" t="str">
        <f t="shared" si="69"/>
        <v>0</v>
      </c>
      <c r="N168" s="102" t="str">
        <f t="shared" si="86"/>
        <v>0</v>
      </c>
      <c r="O168" s="102" t="str">
        <f t="shared" si="87"/>
        <v>0</v>
      </c>
      <c r="P168" s="102">
        <f t="shared" si="82"/>
        <v>35</v>
      </c>
      <c r="Q168" s="102">
        <f t="shared" si="83"/>
        <v>3</v>
      </c>
      <c r="R168" s="102">
        <f t="shared" si="84"/>
        <v>3</v>
      </c>
      <c r="S168" s="102" t="str">
        <f t="shared" si="88"/>
        <v>0</v>
      </c>
      <c r="T168" s="102">
        <f t="shared" si="89"/>
        <v>3</v>
      </c>
      <c r="U168" s="102">
        <f t="shared" si="85"/>
        <v>18</v>
      </c>
      <c r="V168" s="102">
        <f t="shared" si="90"/>
        <v>87</v>
      </c>
      <c r="W168" s="103">
        <f t="shared" si="73"/>
        <v>45205</v>
      </c>
      <c r="X168" s="103">
        <f t="shared" si="74"/>
        <v>45230</v>
      </c>
      <c r="Y168" s="103">
        <f t="shared" si="75"/>
        <v>45265</v>
      </c>
      <c r="Z168" s="103">
        <f t="shared" si="76"/>
        <v>45268</v>
      </c>
      <c r="AA168" s="103">
        <f t="shared" si="77"/>
        <v>45271</v>
      </c>
      <c r="AB168" s="103" t="str">
        <f t="shared" si="78"/>
        <v>---</v>
      </c>
      <c r="AC168" s="103">
        <f t="shared" si="79"/>
        <v>45274</v>
      </c>
    </row>
    <row r="169" spans="1:29" ht="156">
      <c r="A169" s="116" t="s">
        <v>797</v>
      </c>
      <c r="B169" s="89" t="str">
        <f>IFERROR(VLOOKUP(A169,PAC!$A$2:$V$5011,2,0),"")</f>
        <v>Contratação de empresa especializada para prestação de serviços de descupinização, desratização e desinsetização (eliminação de baratas, formigas, aranhas, traças, cupins, escorpiões, mosquitos etc), com fornecimento de todo o material e equipamentos necessários, a serem executados em todas as dependências do prédio da Justiça Federal de 1º grau no Pará, SUBSEÇÃO JUDICIÁRIA DE MARABÁ, compreendendo suas áreas internas e externas.</v>
      </c>
      <c r="C169" s="90" t="s">
        <v>1210</v>
      </c>
      <c r="D169" s="98">
        <f>IFERROR(VLOOKUP(A169,PAC!$A$2:$V$5011,16,0),"")</f>
        <v>45292</v>
      </c>
      <c r="E169" s="99" t="str">
        <f>VLOOKUP(A169,PAC!$A$2:$V$5011,17,0)</f>
        <v>30 DIAS</v>
      </c>
      <c r="F169" s="100">
        <f>IFERROR(VLOOKUP(A169,PAC!$A$2:$V$5011,14,0),"")</f>
        <v>4500</v>
      </c>
      <c r="G169" s="100" t="str">
        <f>IFERROR(VLOOKUP(A169,PAC!$A$2:$V$5011,19,0),"")</f>
        <v>DISPENSA</v>
      </c>
      <c r="H169" s="111" t="s">
        <v>22</v>
      </c>
      <c r="I169" s="111" t="s">
        <v>22</v>
      </c>
      <c r="J169" s="110">
        <f>SUMIF(PAC!$A$2:$A$5011,A169,PAC!$W$2:$W$5011)</f>
        <v>1</v>
      </c>
      <c r="K169" s="110">
        <f t="shared" si="80"/>
        <v>15</v>
      </c>
      <c r="L169" s="102">
        <f t="shared" si="81"/>
        <v>10</v>
      </c>
      <c r="M169" s="102" t="str">
        <f t="shared" si="69"/>
        <v>0</v>
      </c>
      <c r="N169" s="102" t="str">
        <f t="shared" si="86"/>
        <v>0</v>
      </c>
      <c r="O169" s="102" t="str">
        <f t="shared" si="87"/>
        <v>0</v>
      </c>
      <c r="P169" s="102">
        <f t="shared" si="82"/>
        <v>35</v>
      </c>
      <c r="Q169" s="102">
        <f t="shared" si="83"/>
        <v>3</v>
      </c>
      <c r="R169" s="102">
        <f t="shared" si="84"/>
        <v>3</v>
      </c>
      <c r="S169" s="102" t="str">
        <f t="shared" si="88"/>
        <v>0</v>
      </c>
      <c r="T169" s="102">
        <f t="shared" si="89"/>
        <v>3</v>
      </c>
      <c r="U169" s="102">
        <f t="shared" si="85"/>
        <v>18</v>
      </c>
      <c r="V169" s="102">
        <f t="shared" si="90"/>
        <v>87</v>
      </c>
      <c r="W169" s="103">
        <f t="shared" si="73"/>
        <v>45205</v>
      </c>
      <c r="X169" s="103">
        <f t="shared" si="74"/>
        <v>45230</v>
      </c>
      <c r="Y169" s="103">
        <f t="shared" si="75"/>
        <v>45265</v>
      </c>
      <c r="Z169" s="103">
        <f t="shared" si="76"/>
        <v>45268</v>
      </c>
      <c r="AA169" s="103">
        <f t="shared" si="77"/>
        <v>45271</v>
      </c>
      <c r="AB169" s="103" t="str">
        <f t="shared" si="78"/>
        <v>---</v>
      </c>
      <c r="AC169" s="103">
        <f t="shared" si="79"/>
        <v>45274</v>
      </c>
    </row>
    <row r="170" spans="1:29" ht="36">
      <c r="A170" s="116" t="s">
        <v>802</v>
      </c>
      <c r="B170" s="89" t="str">
        <f>IFERROR(VLOOKUP(A170,PAC!$A$2:$V$5011,2,0),"")</f>
        <v>Contratação de empresa especializada para pintura interna e externa do prédio sede da Subseção Judiciária de Marabá.</v>
      </c>
      <c r="C170" s="90" t="s">
        <v>1210</v>
      </c>
      <c r="D170" s="98">
        <f>IFERROR(VLOOKUP(A170,PAC!$A$2:$V$5011,16,0),"")</f>
        <v>45292</v>
      </c>
      <c r="E170" s="99" t="str">
        <f>VLOOKUP(A170,PAC!$A$2:$V$5011,17,0)</f>
        <v>90 DIAS</v>
      </c>
      <c r="F170" s="100">
        <f>IFERROR(VLOOKUP(A170,PAC!$A$2:$V$5011,14,0),"")</f>
        <v>150000</v>
      </c>
      <c r="G170" s="100" t="str">
        <f>IFERROR(VLOOKUP(A170,PAC!$A$2:$V$5011,19,0),"")</f>
        <v>LICITAÇÃO</v>
      </c>
      <c r="H170" s="111" t="s">
        <v>22</v>
      </c>
      <c r="I170" s="111" t="s">
        <v>22</v>
      </c>
      <c r="J170" s="110">
        <f>SUMIF(PAC!$A$2:$A$5011,A170,PAC!$W$2:$W$5011)</f>
        <v>1</v>
      </c>
      <c r="K170" s="110">
        <f t="shared" si="80"/>
        <v>15</v>
      </c>
      <c r="L170" s="102">
        <f t="shared" si="81"/>
        <v>10</v>
      </c>
      <c r="M170" s="102">
        <f t="shared" si="69"/>
        <v>20</v>
      </c>
      <c r="N170" s="102">
        <f t="shared" si="86"/>
        <v>15</v>
      </c>
      <c r="O170" s="102">
        <f t="shared" si="87"/>
        <v>25</v>
      </c>
      <c r="P170" s="102" t="str">
        <f t="shared" si="82"/>
        <v>0</v>
      </c>
      <c r="Q170" s="102" t="str">
        <f t="shared" si="83"/>
        <v>0</v>
      </c>
      <c r="R170" s="102" t="str">
        <f t="shared" si="84"/>
        <v>0</v>
      </c>
      <c r="S170" s="102" t="str">
        <f t="shared" si="88"/>
        <v>0</v>
      </c>
      <c r="T170" s="102">
        <f t="shared" si="89"/>
        <v>3</v>
      </c>
      <c r="U170" s="102">
        <f t="shared" si="85"/>
        <v>18</v>
      </c>
      <c r="V170" s="102">
        <f t="shared" si="90"/>
        <v>106</v>
      </c>
      <c r="W170" s="103">
        <f t="shared" si="73"/>
        <v>45186</v>
      </c>
      <c r="X170" s="103">
        <f t="shared" si="74"/>
        <v>45211</v>
      </c>
      <c r="Y170" s="103">
        <f t="shared" si="75"/>
        <v>45231</v>
      </c>
      <c r="Z170" s="103">
        <f t="shared" si="76"/>
        <v>45246</v>
      </c>
      <c r="AA170" s="103">
        <f t="shared" si="77"/>
        <v>45271</v>
      </c>
      <c r="AB170" s="103" t="str">
        <f t="shared" si="78"/>
        <v>---</v>
      </c>
      <c r="AC170" s="103">
        <f t="shared" si="79"/>
        <v>45274</v>
      </c>
    </row>
    <row r="171" spans="1:29" ht="24">
      <c r="A171" s="116" t="s">
        <v>807</v>
      </c>
      <c r="B171" s="89" t="str">
        <f>IFERROR(VLOOKUP(A171,PAC!$A$2:$V$5011,2,0),"")</f>
        <v>Aquisição de cofre para acautelar armas de usuários externos.</v>
      </c>
      <c r="C171" s="90" t="s">
        <v>1210</v>
      </c>
      <c r="D171" s="98">
        <f>IFERROR(VLOOKUP(A171,PAC!$A$2:$V$5011,16,0),"")</f>
        <v>45292</v>
      </c>
      <c r="E171" s="99" t="str">
        <f>VLOOKUP(A171,PAC!$A$2:$V$5011,17,0)</f>
        <v>30 DIAS</v>
      </c>
      <c r="F171" s="100">
        <f>IFERROR(VLOOKUP(A171,PAC!$A$2:$V$5011,14,0),"")</f>
        <v>1500</v>
      </c>
      <c r="G171" s="100" t="str">
        <f>IFERROR(VLOOKUP(A171,PAC!$A$2:$V$5011,19,0),"")</f>
        <v>DISPENSA</v>
      </c>
      <c r="H171" s="111" t="s">
        <v>22</v>
      </c>
      <c r="I171" s="111" t="s">
        <v>22</v>
      </c>
      <c r="J171" s="110">
        <f>SUMIF(PAC!$A$2:$A$5011,A171,PAC!$W$2:$W$5011)</f>
        <v>1</v>
      </c>
      <c r="K171" s="110">
        <f t="shared" si="80"/>
        <v>15</v>
      </c>
      <c r="L171" s="102">
        <f t="shared" si="81"/>
        <v>10</v>
      </c>
      <c r="M171" s="102" t="str">
        <f t="shared" si="69"/>
        <v>0</v>
      </c>
      <c r="N171" s="102" t="str">
        <f t="shared" si="86"/>
        <v>0</v>
      </c>
      <c r="O171" s="102" t="str">
        <f t="shared" si="87"/>
        <v>0</v>
      </c>
      <c r="P171" s="102">
        <f t="shared" si="82"/>
        <v>35</v>
      </c>
      <c r="Q171" s="102">
        <f t="shared" si="83"/>
        <v>3</v>
      </c>
      <c r="R171" s="102">
        <f t="shared" si="84"/>
        <v>3</v>
      </c>
      <c r="S171" s="102" t="str">
        <f t="shared" si="88"/>
        <v>0</v>
      </c>
      <c r="T171" s="102">
        <f t="shared" si="89"/>
        <v>3</v>
      </c>
      <c r="U171" s="102">
        <f t="shared" si="85"/>
        <v>18</v>
      </c>
      <c r="V171" s="102">
        <f t="shared" si="90"/>
        <v>87</v>
      </c>
      <c r="W171" s="103">
        <f t="shared" si="73"/>
        <v>45205</v>
      </c>
      <c r="X171" s="103">
        <f t="shared" si="74"/>
        <v>45230</v>
      </c>
      <c r="Y171" s="103">
        <f t="shared" si="75"/>
        <v>45265</v>
      </c>
      <c r="Z171" s="103">
        <f t="shared" si="76"/>
        <v>45268</v>
      </c>
      <c r="AA171" s="103">
        <f t="shared" si="77"/>
        <v>45271</v>
      </c>
      <c r="AB171" s="103" t="str">
        <f t="shared" si="78"/>
        <v>---</v>
      </c>
      <c r="AC171" s="103">
        <f t="shared" si="79"/>
        <v>45274</v>
      </c>
    </row>
    <row r="172" spans="1:29" ht="36">
      <c r="A172" s="116" t="s">
        <v>811</v>
      </c>
      <c r="B172" s="89" t="str">
        <f>IFERROR(VLOOKUP(A172,PAC!$A$2:$V$5011,2,0),"")</f>
        <v>Adequação de sala para colocação de Cofre e acautelamento de armas de usuários externos.</v>
      </c>
      <c r="C172" s="90" t="s">
        <v>1210</v>
      </c>
      <c r="D172" s="98">
        <f>IFERROR(VLOOKUP(A172,PAC!$A$2:$V$5011,16,0),"")</f>
        <v>45292</v>
      </c>
      <c r="E172" s="99" t="str">
        <f>VLOOKUP(A172,PAC!$A$2:$V$5011,17,0)</f>
        <v>30 DIAS</v>
      </c>
      <c r="F172" s="100">
        <f>IFERROR(VLOOKUP(A172,PAC!$A$2:$V$5011,14,0),"")</f>
        <v>15000</v>
      </c>
      <c r="G172" s="100" t="str">
        <f>IFERROR(VLOOKUP(A172,PAC!$A$2:$V$5011,19,0),"")</f>
        <v>DISPENSA</v>
      </c>
      <c r="H172" s="111" t="s">
        <v>22</v>
      </c>
      <c r="I172" s="111" t="s">
        <v>22</v>
      </c>
      <c r="J172" s="110">
        <f>SUMIF(PAC!$A$2:$A$5011,A172,PAC!$W$2:$W$5011)</f>
        <v>1</v>
      </c>
      <c r="K172" s="110">
        <f t="shared" si="80"/>
        <v>15</v>
      </c>
      <c r="L172" s="102">
        <f t="shared" si="81"/>
        <v>10</v>
      </c>
      <c r="M172" s="102" t="str">
        <f t="shared" si="69"/>
        <v>0</v>
      </c>
      <c r="N172" s="102" t="str">
        <f t="shared" si="86"/>
        <v>0</v>
      </c>
      <c r="O172" s="102" t="str">
        <f t="shared" si="87"/>
        <v>0</v>
      </c>
      <c r="P172" s="102">
        <f t="shared" si="82"/>
        <v>35</v>
      </c>
      <c r="Q172" s="102">
        <f t="shared" si="83"/>
        <v>3</v>
      </c>
      <c r="R172" s="102">
        <f t="shared" si="84"/>
        <v>3</v>
      </c>
      <c r="S172" s="102" t="str">
        <f t="shared" si="88"/>
        <v>0</v>
      </c>
      <c r="T172" s="102">
        <f t="shared" si="89"/>
        <v>3</v>
      </c>
      <c r="U172" s="102">
        <f t="shared" si="85"/>
        <v>18</v>
      </c>
      <c r="V172" s="102">
        <f t="shared" si="90"/>
        <v>87</v>
      </c>
      <c r="W172" s="103">
        <f t="shared" si="73"/>
        <v>45205</v>
      </c>
      <c r="X172" s="103">
        <f t="shared" si="74"/>
        <v>45230</v>
      </c>
      <c r="Y172" s="103">
        <f t="shared" si="75"/>
        <v>45265</v>
      </c>
      <c r="Z172" s="103">
        <f t="shared" si="76"/>
        <v>45268</v>
      </c>
      <c r="AA172" s="103">
        <f t="shared" si="77"/>
        <v>45271</v>
      </c>
      <c r="AB172" s="103" t="str">
        <f t="shared" si="78"/>
        <v>---</v>
      </c>
      <c r="AC172" s="103">
        <f t="shared" si="79"/>
        <v>45274</v>
      </c>
    </row>
    <row r="173" spans="1:29" ht="24">
      <c r="A173" s="116" t="s">
        <v>813</v>
      </c>
      <c r="B173" s="89" t="str">
        <f>IFERROR(VLOOKUP(A173,PAC!$A$2:$V$5011,2,0),"")</f>
        <v>Permanecer executando as atividades no mesmo local.</v>
      </c>
      <c r="C173" s="90" t="s">
        <v>1211</v>
      </c>
      <c r="D173" s="98">
        <f>IFERROR(VLOOKUP(A173,PAC!$A$2:$V$5011,16,0),"")</f>
        <v>45292</v>
      </c>
      <c r="E173" s="99" t="str">
        <f>VLOOKUP(A173,PAC!$A$2:$V$5011,17,0)</f>
        <v>30 DIAS</v>
      </c>
      <c r="F173" s="100">
        <f>IFERROR(VLOOKUP(A173,PAC!$A$2:$V$5011,14,0),"")</f>
        <v>206908.68</v>
      </c>
      <c r="G173" s="100" t="str">
        <f>IFERROR(VLOOKUP(A173,PAC!$A$2:$V$5011,19,0),"")</f>
        <v>PRORROGAÇÃO</v>
      </c>
      <c r="H173" s="111" t="s">
        <v>22</v>
      </c>
      <c r="I173" s="111" t="s">
        <v>22</v>
      </c>
      <c r="J173" s="110">
        <f>SUMIF(PAC!$A$2:$A$5011,A173,PAC!$W$2:$W$5011)</f>
        <v>1</v>
      </c>
      <c r="K173" s="110" t="str">
        <f t="shared" si="80"/>
        <v>0</v>
      </c>
      <c r="L173" s="102" t="str">
        <f t="shared" si="81"/>
        <v>0</v>
      </c>
      <c r="M173" s="102" t="str">
        <f t="shared" si="69"/>
        <v>0</v>
      </c>
      <c r="N173" s="102" t="str">
        <f t="shared" si="86"/>
        <v>0</v>
      </c>
      <c r="O173" s="102" t="str">
        <f t="shared" si="87"/>
        <v>0</v>
      </c>
      <c r="P173" s="102" t="str">
        <f t="shared" si="82"/>
        <v>0</v>
      </c>
      <c r="Q173" s="102" t="str">
        <f t="shared" si="83"/>
        <v>0</v>
      </c>
      <c r="R173" s="102" t="str">
        <f t="shared" si="84"/>
        <v>0</v>
      </c>
      <c r="S173" s="102">
        <f t="shared" si="88"/>
        <v>60</v>
      </c>
      <c r="T173" s="102" t="str">
        <f t="shared" si="89"/>
        <v>0</v>
      </c>
      <c r="U173" s="102">
        <f t="shared" si="85"/>
        <v>18</v>
      </c>
      <c r="V173" s="102">
        <f t="shared" si="90"/>
        <v>78</v>
      </c>
      <c r="W173" s="103" t="str">
        <f t="shared" si="73"/>
        <v>---</v>
      </c>
      <c r="X173" s="103" t="str">
        <f t="shared" si="74"/>
        <v>---</v>
      </c>
      <c r="Y173" s="103" t="str">
        <f t="shared" si="75"/>
        <v>---</v>
      </c>
      <c r="Z173" s="103" t="str">
        <f t="shared" si="76"/>
        <v>---</v>
      </c>
      <c r="AA173" s="103" t="str">
        <f t="shared" si="77"/>
        <v>---</v>
      </c>
      <c r="AB173" s="103">
        <f t="shared" si="78"/>
        <v>45214</v>
      </c>
      <c r="AC173" s="103">
        <f t="shared" si="79"/>
        <v>45274</v>
      </c>
    </row>
    <row r="174" spans="1:29" ht="24">
      <c r="A174" s="116" t="s">
        <v>821</v>
      </c>
      <c r="B174" s="89" t="str">
        <f>IFERROR(VLOOKUP(A174,PAC!$A$2:$V$5011,2,0),"")</f>
        <v>Suprir necessidade vital e promover bem estar das pessoas.</v>
      </c>
      <c r="C174" s="90" t="s">
        <v>1211</v>
      </c>
      <c r="D174" s="98">
        <f>IFERROR(VLOOKUP(A174,PAC!$A$2:$V$5011,16,0),"")</f>
        <v>45306</v>
      </c>
      <c r="E174" s="99" t="str">
        <f>VLOOKUP(A174,PAC!$A$2:$V$5011,17,0)</f>
        <v>30 DIAS</v>
      </c>
      <c r="F174" s="100">
        <f>IFERROR(VLOOKUP(A174,PAC!$A$2:$V$5011,14,0),"")</f>
        <v>4500</v>
      </c>
      <c r="G174" s="100" t="str">
        <f>IFERROR(VLOOKUP(A174,PAC!$A$2:$V$5011,19,0),"")</f>
        <v>DISPENSA</v>
      </c>
      <c r="H174" s="111" t="s">
        <v>22</v>
      </c>
      <c r="I174" s="111" t="s">
        <v>22</v>
      </c>
      <c r="J174" s="110">
        <f>SUMIF(PAC!$A$2:$A$5011,A174,PAC!$W$2:$W$5011)</f>
        <v>1</v>
      </c>
      <c r="K174" s="110">
        <f t="shared" si="80"/>
        <v>15</v>
      </c>
      <c r="L174" s="102">
        <f t="shared" si="81"/>
        <v>10</v>
      </c>
      <c r="M174" s="102" t="str">
        <f t="shared" si="69"/>
        <v>0</v>
      </c>
      <c r="N174" s="102" t="str">
        <f t="shared" si="86"/>
        <v>0</v>
      </c>
      <c r="O174" s="102" t="str">
        <f t="shared" si="87"/>
        <v>0</v>
      </c>
      <c r="P174" s="102">
        <f t="shared" si="82"/>
        <v>35</v>
      </c>
      <c r="Q174" s="102">
        <f t="shared" si="83"/>
        <v>3</v>
      </c>
      <c r="R174" s="102">
        <f t="shared" si="84"/>
        <v>3</v>
      </c>
      <c r="S174" s="102" t="str">
        <f t="shared" si="88"/>
        <v>0</v>
      </c>
      <c r="T174" s="102">
        <f t="shared" si="89"/>
        <v>3</v>
      </c>
      <c r="U174" s="102">
        <f t="shared" si="85"/>
        <v>18</v>
      </c>
      <c r="V174" s="102">
        <f t="shared" si="90"/>
        <v>87</v>
      </c>
      <c r="W174" s="103">
        <f t="shared" si="73"/>
        <v>45219</v>
      </c>
      <c r="X174" s="103">
        <f t="shared" si="74"/>
        <v>45244</v>
      </c>
      <c r="Y174" s="103">
        <f t="shared" si="75"/>
        <v>45279</v>
      </c>
      <c r="Z174" s="103">
        <f t="shared" si="76"/>
        <v>45282</v>
      </c>
      <c r="AA174" s="103">
        <f t="shared" si="77"/>
        <v>45285</v>
      </c>
      <c r="AB174" s="103" t="str">
        <f t="shared" si="78"/>
        <v>---</v>
      </c>
      <c r="AC174" s="103">
        <f t="shared" si="79"/>
        <v>45288</v>
      </c>
    </row>
    <row r="175" spans="1:29" ht="24">
      <c r="A175" s="116" t="s">
        <v>824</v>
      </c>
      <c r="B175" s="89" t="str">
        <f>IFERROR(VLOOKUP(A175,PAC!$A$2:$V$5011,2,0),"")</f>
        <v>Suprir necessidade vital e promover bem estar das pessoas.</v>
      </c>
      <c r="C175" s="90" t="s">
        <v>1211</v>
      </c>
      <c r="D175" s="98">
        <f>IFERROR(VLOOKUP(A175,PAC!$A$2:$V$5011,16,0),"")</f>
        <v>45306</v>
      </c>
      <c r="E175" s="99" t="str">
        <f>VLOOKUP(A175,PAC!$A$2:$V$5011,17,0)</f>
        <v>30 DIAS</v>
      </c>
      <c r="F175" s="100">
        <f>IFERROR(VLOOKUP(A175,PAC!$A$2:$V$5011,14,0),"")</f>
        <v>1440</v>
      </c>
      <c r="G175" s="100" t="str">
        <f>IFERROR(VLOOKUP(A175,PAC!$A$2:$V$5011,19,0),"")</f>
        <v>DISPENSA</v>
      </c>
      <c r="H175" s="111" t="s">
        <v>1180</v>
      </c>
      <c r="I175" s="111" t="s">
        <v>22</v>
      </c>
      <c r="J175" s="110">
        <f>SUMIF(PAC!$A$2:$A$5011,A175,PAC!$W$2:$W$5011)</f>
        <v>1</v>
      </c>
      <c r="K175" s="110">
        <f t="shared" si="80"/>
        <v>15</v>
      </c>
      <c r="L175" s="102">
        <f t="shared" si="81"/>
        <v>10</v>
      </c>
      <c r="M175" s="102" t="str">
        <f t="shared" si="69"/>
        <v>0</v>
      </c>
      <c r="N175" s="102" t="str">
        <f t="shared" si="86"/>
        <v>0</v>
      </c>
      <c r="O175" s="102" t="str">
        <f t="shared" si="87"/>
        <v>0</v>
      </c>
      <c r="P175" s="102">
        <f t="shared" si="82"/>
        <v>35</v>
      </c>
      <c r="Q175" s="102">
        <f t="shared" si="83"/>
        <v>3</v>
      </c>
      <c r="R175" s="102">
        <f t="shared" si="84"/>
        <v>3</v>
      </c>
      <c r="S175" s="102" t="str">
        <f t="shared" si="88"/>
        <v>0</v>
      </c>
      <c r="T175" s="102">
        <f t="shared" si="89"/>
        <v>5</v>
      </c>
      <c r="U175" s="102">
        <f t="shared" si="85"/>
        <v>18</v>
      </c>
      <c r="V175" s="102">
        <f t="shared" si="90"/>
        <v>89</v>
      </c>
      <c r="W175" s="103">
        <f t="shared" si="73"/>
        <v>45217</v>
      </c>
      <c r="X175" s="103">
        <f t="shared" si="74"/>
        <v>45242</v>
      </c>
      <c r="Y175" s="103">
        <f t="shared" si="75"/>
        <v>45277</v>
      </c>
      <c r="Z175" s="103">
        <f t="shared" si="76"/>
        <v>45280</v>
      </c>
      <c r="AA175" s="103">
        <f t="shared" si="77"/>
        <v>45283</v>
      </c>
      <c r="AB175" s="103" t="str">
        <f t="shared" si="78"/>
        <v>---</v>
      </c>
      <c r="AC175" s="103">
        <f t="shared" si="79"/>
        <v>45288</v>
      </c>
    </row>
    <row r="176" spans="1:29" ht="24">
      <c r="A176" s="116" t="s">
        <v>826</v>
      </c>
      <c r="B176" s="89" t="str">
        <f>IFERROR(VLOOKUP(A176,PAC!$A$2:$V$5011,2,0),"")</f>
        <v>Promover execução dos serviços.</v>
      </c>
      <c r="C176" s="90" t="s">
        <v>1211</v>
      </c>
      <c r="D176" s="98">
        <f>IFERROR(VLOOKUP(A176,PAC!$A$2:$V$5011,16,0),"")</f>
        <v>45292</v>
      </c>
      <c r="E176" s="99" t="str">
        <f>VLOOKUP(A176,PAC!$A$2:$V$5011,17,0)</f>
        <v>15 DIAS</v>
      </c>
      <c r="F176" s="100">
        <f>IFERROR(VLOOKUP(A176,PAC!$A$2:$V$5011,14,0),"")</f>
        <v>87600</v>
      </c>
      <c r="G176" s="100" t="str">
        <f>IFERROR(VLOOKUP(A176,PAC!$A$2:$V$5011,19,0),"")</f>
        <v>INEXIGIBILIDADE</v>
      </c>
      <c r="H176" s="111" t="s">
        <v>22</v>
      </c>
      <c r="I176" s="111" t="s">
        <v>22</v>
      </c>
      <c r="J176" s="110">
        <f>SUMIF(PAC!$A$2:$A$5011,A176,PAC!$W$2:$W$5011)</f>
        <v>1</v>
      </c>
      <c r="K176" s="110">
        <f t="shared" si="80"/>
        <v>15</v>
      </c>
      <c r="L176" s="102">
        <f t="shared" si="81"/>
        <v>10</v>
      </c>
      <c r="M176" s="102" t="str">
        <f t="shared" si="69"/>
        <v>0</v>
      </c>
      <c r="N176" s="102" t="str">
        <f t="shared" si="86"/>
        <v>0</v>
      </c>
      <c r="O176" s="102" t="str">
        <f t="shared" si="87"/>
        <v>0</v>
      </c>
      <c r="P176" s="102">
        <f t="shared" si="82"/>
        <v>35</v>
      </c>
      <c r="Q176" s="102">
        <f t="shared" si="83"/>
        <v>3</v>
      </c>
      <c r="R176" s="102">
        <f t="shared" si="84"/>
        <v>3</v>
      </c>
      <c r="S176" s="102" t="str">
        <f t="shared" si="88"/>
        <v>0</v>
      </c>
      <c r="T176" s="102">
        <f t="shared" si="89"/>
        <v>3</v>
      </c>
      <c r="U176" s="102">
        <f t="shared" si="85"/>
        <v>18</v>
      </c>
      <c r="V176" s="102">
        <f t="shared" si="90"/>
        <v>87</v>
      </c>
      <c r="W176" s="103">
        <f t="shared" si="73"/>
        <v>45205</v>
      </c>
      <c r="X176" s="103">
        <f t="shared" si="74"/>
        <v>45230</v>
      </c>
      <c r="Y176" s="103">
        <f t="shared" si="75"/>
        <v>45265</v>
      </c>
      <c r="Z176" s="103">
        <f t="shared" si="76"/>
        <v>45268</v>
      </c>
      <c r="AA176" s="103">
        <f t="shared" si="77"/>
        <v>45271</v>
      </c>
      <c r="AB176" s="103" t="str">
        <f t="shared" si="78"/>
        <v>---</v>
      </c>
      <c r="AC176" s="103">
        <f t="shared" si="79"/>
        <v>45274</v>
      </c>
    </row>
    <row r="177" spans="1:29" ht="24">
      <c r="A177" s="116" t="s">
        <v>831</v>
      </c>
      <c r="B177" s="89" t="str">
        <f>IFERROR(VLOOKUP(A177,PAC!$A$2:$V$5011,2,0),"")</f>
        <v>Promover higiene pessoal, bem como a limpeza do prédio.</v>
      </c>
      <c r="C177" s="90" t="s">
        <v>1211</v>
      </c>
      <c r="D177" s="98">
        <f>IFERROR(VLOOKUP(A177,PAC!$A$2:$V$5011,16,0),"")</f>
        <v>45292</v>
      </c>
      <c r="E177" s="99" t="str">
        <f>VLOOKUP(A177,PAC!$A$2:$V$5011,17,0)</f>
        <v>15 DIAS</v>
      </c>
      <c r="F177" s="100">
        <f>IFERROR(VLOOKUP(A177,PAC!$A$2:$V$5011,14,0),"")</f>
        <v>1320</v>
      </c>
      <c r="G177" s="100" t="str">
        <f>IFERROR(VLOOKUP(A177,PAC!$A$2:$V$5011,19,0),"")</f>
        <v>INEXIGIBILIDADE</v>
      </c>
      <c r="H177" s="111" t="s">
        <v>22</v>
      </c>
      <c r="I177" s="111" t="s">
        <v>22</v>
      </c>
      <c r="J177" s="110">
        <f>SUMIF(PAC!$A$2:$A$5011,A177,PAC!$W$2:$W$5011)</f>
        <v>1</v>
      </c>
      <c r="K177" s="110">
        <f t="shared" si="80"/>
        <v>15</v>
      </c>
      <c r="L177" s="102">
        <f t="shared" si="81"/>
        <v>10</v>
      </c>
      <c r="M177" s="102" t="str">
        <f t="shared" si="69"/>
        <v>0</v>
      </c>
      <c r="N177" s="102" t="str">
        <f t="shared" si="86"/>
        <v>0</v>
      </c>
      <c r="O177" s="102" t="str">
        <f t="shared" si="87"/>
        <v>0</v>
      </c>
      <c r="P177" s="102">
        <f t="shared" si="82"/>
        <v>35</v>
      </c>
      <c r="Q177" s="102">
        <f t="shared" si="83"/>
        <v>3</v>
      </c>
      <c r="R177" s="102">
        <f t="shared" si="84"/>
        <v>3</v>
      </c>
      <c r="S177" s="102" t="str">
        <f t="shared" si="88"/>
        <v>0</v>
      </c>
      <c r="T177" s="102">
        <f t="shared" si="89"/>
        <v>3</v>
      </c>
      <c r="U177" s="102">
        <f t="shared" si="85"/>
        <v>18</v>
      </c>
      <c r="V177" s="102">
        <f t="shared" si="90"/>
        <v>87</v>
      </c>
      <c r="W177" s="103">
        <f t="shared" si="73"/>
        <v>45205</v>
      </c>
      <c r="X177" s="103">
        <f t="shared" si="74"/>
        <v>45230</v>
      </c>
      <c r="Y177" s="103">
        <f t="shared" si="75"/>
        <v>45265</v>
      </c>
      <c r="Z177" s="103">
        <f t="shared" si="76"/>
        <v>45268</v>
      </c>
      <c r="AA177" s="103">
        <f t="shared" si="77"/>
        <v>45271</v>
      </c>
      <c r="AB177" s="103" t="str">
        <f t="shared" si="78"/>
        <v>---</v>
      </c>
      <c r="AC177" s="103">
        <f t="shared" si="79"/>
        <v>45274</v>
      </c>
    </row>
    <row r="178" spans="1:29" ht="24">
      <c r="A178" s="116" t="s">
        <v>837</v>
      </c>
      <c r="B178" s="89" t="str">
        <f>IFERROR(VLOOKUP(A178,PAC!$A$2:$V$5011,2,0),"")</f>
        <v>Proteção do imóvel, equipamentos e pessoas.</v>
      </c>
      <c r="C178" s="90" t="s">
        <v>1211</v>
      </c>
      <c r="D178" s="98">
        <f>IFERROR(VLOOKUP(A178,PAC!$A$2:$V$5011,16,0),"")</f>
        <v>45627</v>
      </c>
      <c r="E178" s="99" t="str">
        <f>VLOOKUP(A178,PAC!$A$2:$V$5011,17,0)</f>
        <v>30 DIAS</v>
      </c>
      <c r="F178" s="100">
        <f>IFERROR(VLOOKUP(A178,PAC!$A$2:$V$5011,14,0),"")</f>
        <v>600</v>
      </c>
      <c r="G178" s="100" t="str">
        <f>IFERROR(VLOOKUP(A178,PAC!$A$2:$V$5011,19,0),"")</f>
        <v>DISPENSA</v>
      </c>
      <c r="H178" s="111" t="s">
        <v>22</v>
      </c>
      <c r="I178" s="111" t="s">
        <v>22</v>
      </c>
      <c r="J178" s="110">
        <f>SUMIF(PAC!$A$2:$A$5011,A178,PAC!$W$2:$W$5011)</f>
        <v>1</v>
      </c>
      <c r="K178" s="110">
        <f t="shared" si="80"/>
        <v>15</v>
      </c>
      <c r="L178" s="102">
        <f t="shared" si="81"/>
        <v>10</v>
      </c>
      <c r="M178" s="102" t="str">
        <f t="shared" si="69"/>
        <v>0</v>
      </c>
      <c r="N178" s="102" t="str">
        <f t="shared" si="86"/>
        <v>0</v>
      </c>
      <c r="O178" s="102" t="str">
        <f t="shared" si="87"/>
        <v>0</v>
      </c>
      <c r="P178" s="102">
        <f t="shared" si="82"/>
        <v>35</v>
      </c>
      <c r="Q178" s="102">
        <f t="shared" si="83"/>
        <v>3</v>
      </c>
      <c r="R178" s="102">
        <f t="shared" si="84"/>
        <v>3</v>
      </c>
      <c r="S178" s="102" t="str">
        <f t="shared" si="88"/>
        <v>0</v>
      </c>
      <c r="T178" s="102">
        <f t="shared" si="89"/>
        <v>3</v>
      </c>
      <c r="U178" s="102">
        <f t="shared" si="85"/>
        <v>18</v>
      </c>
      <c r="V178" s="102">
        <f t="shared" si="90"/>
        <v>87</v>
      </c>
      <c r="W178" s="103">
        <f t="shared" si="73"/>
        <v>45540</v>
      </c>
      <c r="X178" s="103">
        <f t="shared" si="74"/>
        <v>45565</v>
      </c>
      <c r="Y178" s="103">
        <f t="shared" si="75"/>
        <v>45600</v>
      </c>
      <c r="Z178" s="103">
        <f t="shared" si="76"/>
        <v>45603</v>
      </c>
      <c r="AA178" s="103">
        <f t="shared" si="77"/>
        <v>45606</v>
      </c>
      <c r="AB178" s="103" t="str">
        <f t="shared" si="78"/>
        <v>---</v>
      </c>
      <c r="AC178" s="103">
        <f t="shared" si="79"/>
        <v>45609</v>
      </c>
    </row>
    <row r="179" spans="1:29" ht="24">
      <c r="A179" s="116" t="s">
        <v>843</v>
      </c>
      <c r="B179" s="89" t="str">
        <f>IFERROR(VLOOKUP(A179,PAC!$A$2:$V$5011,2,0),"")</f>
        <v>Proteção do imóvel, equipamentos e pessoas.</v>
      </c>
      <c r="C179" s="90" t="s">
        <v>1211</v>
      </c>
      <c r="D179" s="98">
        <f>IFERROR(VLOOKUP(A179,PAC!$A$2:$V$5011,16,0),"")</f>
        <v>45627</v>
      </c>
      <c r="E179" s="99" t="str">
        <f>VLOOKUP(A179,PAC!$A$2:$V$5011,17,0)</f>
        <v>30 DIAS</v>
      </c>
      <c r="F179" s="100">
        <f>IFERROR(VLOOKUP(A179,PAC!$A$2:$V$5011,14,0),"")</f>
        <v>240</v>
      </c>
      <c r="G179" s="100" t="str">
        <f>IFERROR(VLOOKUP(A179,PAC!$A$2:$V$5011,19,0),"")</f>
        <v>DISPENSA</v>
      </c>
      <c r="H179" s="111" t="s">
        <v>22</v>
      </c>
      <c r="I179" s="111" t="s">
        <v>22</v>
      </c>
      <c r="J179" s="110">
        <f>SUMIF(PAC!$A$2:$A$5011,A179,PAC!$W$2:$W$5011)</f>
        <v>1</v>
      </c>
      <c r="K179" s="110">
        <f t="shared" si="80"/>
        <v>15</v>
      </c>
      <c r="L179" s="102">
        <f t="shared" si="81"/>
        <v>10</v>
      </c>
      <c r="M179" s="102" t="str">
        <f t="shared" si="69"/>
        <v>0</v>
      </c>
      <c r="N179" s="102" t="str">
        <f t="shared" si="86"/>
        <v>0</v>
      </c>
      <c r="O179" s="102" t="str">
        <f t="shared" si="87"/>
        <v>0</v>
      </c>
      <c r="P179" s="102">
        <f t="shared" si="82"/>
        <v>35</v>
      </c>
      <c r="Q179" s="102">
        <f t="shared" si="83"/>
        <v>3</v>
      </c>
      <c r="R179" s="102">
        <f t="shared" si="84"/>
        <v>3</v>
      </c>
      <c r="S179" s="102" t="str">
        <f t="shared" si="88"/>
        <v>0</v>
      </c>
      <c r="T179" s="102">
        <f t="shared" si="89"/>
        <v>3</v>
      </c>
      <c r="U179" s="102">
        <f t="shared" si="85"/>
        <v>18</v>
      </c>
      <c r="V179" s="102">
        <f t="shared" si="90"/>
        <v>87</v>
      </c>
      <c r="W179" s="103">
        <f t="shared" si="73"/>
        <v>45540</v>
      </c>
      <c r="X179" s="103">
        <f t="shared" si="74"/>
        <v>45565</v>
      </c>
      <c r="Y179" s="103">
        <f t="shared" si="75"/>
        <v>45600</v>
      </c>
      <c r="Z179" s="103">
        <f t="shared" si="76"/>
        <v>45603</v>
      </c>
      <c r="AA179" s="103">
        <f t="shared" si="77"/>
        <v>45606</v>
      </c>
      <c r="AB179" s="103" t="str">
        <f t="shared" si="78"/>
        <v>---</v>
      </c>
      <c r="AC179" s="103">
        <f t="shared" si="79"/>
        <v>45609</v>
      </c>
    </row>
    <row r="180" spans="1:29" ht="24">
      <c r="A180" s="116" t="s">
        <v>845</v>
      </c>
      <c r="B180" s="89" t="str">
        <f>IFERROR(VLOOKUP(A180,PAC!$A$2:$V$5011,2,0),"")</f>
        <v>Proteção do imóvel, equipamentos e pessoas.</v>
      </c>
      <c r="C180" s="90" t="s">
        <v>1211</v>
      </c>
      <c r="D180" s="98">
        <f>IFERROR(VLOOKUP(A180,PAC!$A$2:$V$5011,16,0),"")</f>
        <v>45627</v>
      </c>
      <c r="E180" s="99" t="str">
        <f>VLOOKUP(A180,PAC!$A$2:$V$5011,17,0)</f>
        <v>30 DIAS</v>
      </c>
      <c r="F180" s="100">
        <f>IFERROR(VLOOKUP(A180,PAC!$A$2:$V$5011,14,0),"")</f>
        <v>320</v>
      </c>
      <c r="G180" s="100" t="str">
        <f>IFERROR(VLOOKUP(A180,PAC!$A$2:$V$5011,19,0),"")</f>
        <v>DISPENSA</v>
      </c>
      <c r="H180" s="111" t="s">
        <v>1180</v>
      </c>
      <c r="I180" s="111" t="s">
        <v>22</v>
      </c>
      <c r="J180" s="110">
        <f>SUMIF(PAC!$A$2:$A$5011,A180,PAC!$W$2:$W$5011)</f>
        <v>1</v>
      </c>
      <c r="K180" s="110">
        <f t="shared" si="80"/>
        <v>15</v>
      </c>
      <c r="L180" s="102">
        <f t="shared" si="81"/>
        <v>10</v>
      </c>
      <c r="M180" s="102" t="str">
        <f t="shared" si="69"/>
        <v>0</v>
      </c>
      <c r="N180" s="102" t="str">
        <f t="shared" si="86"/>
        <v>0</v>
      </c>
      <c r="O180" s="102" t="str">
        <f t="shared" si="87"/>
        <v>0</v>
      </c>
      <c r="P180" s="102">
        <f t="shared" si="82"/>
        <v>35</v>
      </c>
      <c r="Q180" s="102">
        <f t="shared" si="83"/>
        <v>3</v>
      </c>
      <c r="R180" s="102">
        <f t="shared" si="84"/>
        <v>3</v>
      </c>
      <c r="S180" s="102" t="str">
        <f t="shared" si="88"/>
        <v>0</v>
      </c>
      <c r="T180" s="102">
        <f t="shared" si="89"/>
        <v>5</v>
      </c>
      <c r="U180" s="102">
        <f t="shared" si="85"/>
        <v>18</v>
      </c>
      <c r="V180" s="102">
        <f t="shared" si="90"/>
        <v>89</v>
      </c>
      <c r="W180" s="103">
        <f t="shared" si="73"/>
        <v>45538</v>
      </c>
      <c r="X180" s="103">
        <f t="shared" si="74"/>
        <v>45563</v>
      </c>
      <c r="Y180" s="103">
        <f t="shared" si="75"/>
        <v>45598</v>
      </c>
      <c r="Z180" s="103">
        <f t="shared" si="76"/>
        <v>45601</v>
      </c>
      <c r="AA180" s="103">
        <f t="shared" si="77"/>
        <v>45604</v>
      </c>
      <c r="AB180" s="103" t="str">
        <f t="shared" si="78"/>
        <v>---</v>
      </c>
      <c r="AC180" s="103">
        <f t="shared" si="79"/>
        <v>45609</v>
      </c>
    </row>
    <row r="181" spans="1:29" ht="36">
      <c r="A181" s="116" t="s">
        <v>847</v>
      </c>
      <c r="B181" s="89" t="str">
        <f>IFERROR(VLOOKUP(A181,PAC!$A$2:$V$5011,2,0),"")</f>
        <v>Promover ambiente salubre e confortável para a execução dos trabalhos e atendimento ao público.</v>
      </c>
      <c r="C181" s="90" t="s">
        <v>1211</v>
      </c>
      <c r="D181" s="98">
        <f>IFERROR(VLOOKUP(A181,PAC!$A$2:$V$5011,16,0),"")</f>
        <v>45383</v>
      </c>
      <c r="E181" s="99" t="str">
        <f>VLOOKUP(A181,PAC!$A$2:$V$5011,17,0)</f>
        <v>30 DIAS</v>
      </c>
      <c r="F181" s="100">
        <f>IFERROR(VLOOKUP(A181,PAC!$A$2:$V$5011,14,0),"")</f>
        <v>3500</v>
      </c>
      <c r="G181" s="100" t="str">
        <f>IFERROR(VLOOKUP(A181,PAC!$A$2:$V$5011,19,0),"")</f>
        <v>DISPENSA</v>
      </c>
      <c r="H181" s="111" t="s">
        <v>1180</v>
      </c>
      <c r="I181" s="111" t="s">
        <v>22</v>
      </c>
      <c r="J181" s="110">
        <f>SUMIF(PAC!$A$2:$A$5011,A181,PAC!$W$2:$W$5011)</f>
        <v>1</v>
      </c>
      <c r="K181" s="110">
        <f t="shared" si="80"/>
        <v>15</v>
      </c>
      <c r="L181" s="102">
        <f t="shared" si="81"/>
        <v>10</v>
      </c>
      <c r="M181" s="102" t="str">
        <f t="shared" si="69"/>
        <v>0</v>
      </c>
      <c r="N181" s="102" t="str">
        <f t="shared" si="86"/>
        <v>0</v>
      </c>
      <c r="O181" s="102" t="str">
        <f t="shared" si="87"/>
        <v>0</v>
      </c>
      <c r="P181" s="102">
        <f t="shared" si="82"/>
        <v>35</v>
      </c>
      <c r="Q181" s="102">
        <f t="shared" si="83"/>
        <v>3</v>
      </c>
      <c r="R181" s="102">
        <f t="shared" si="84"/>
        <v>3</v>
      </c>
      <c r="S181" s="102" t="str">
        <f t="shared" si="88"/>
        <v>0</v>
      </c>
      <c r="T181" s="102">
        <f t="shared" si="89"/>
        <v>5</v>
      </c>
      <c r="U181" s="102">
        <f t="shared" si="85"/>
        <v>18</v>
      </c>
      <c r="V181" s="102">
        <f t="shared" si="90"/>
        <v>89</v>
      </c>
      <c r="W181" s="103">
        <f t="shared" si="73"/>
        <v>45294</v>
      </c>
      <c r="X181" s="103">
        <f t="shared" si="74"/>
        <v>45319</v>
      </c>
      <c r="Y181" s="103">
        <f t="shared" si="75"/>
        <v>45354</v>
      </c>
      <c r="Z181" s="103">
        <f t="shared" si="76"/>
        <v>45357</v>
      </c>
      <c r="AA181" s="103">
        <f t="shared" si="77"/>
        <v>45360</v>
      </c>
      <c r="AB181" s="103" t="str">
        <f t="shared" si="78"/>
        <v>---</v>
      </c>
      <c r="AC181" s="103">
        <f t="shared" si="79"/>
        <v>45365</v>
      </c>
    </row>
    <row r="182" spans="1:29" ht="36">
      <c r="A182" s="116" t="s">
        <v>853</v>
      </c>
      <c r="B182" s="89" t="str">
        <f>IFERROR(VLOOKUP(A182,PAC!$A$2:$V$5011,2,0),"")</f>
        <v>Promover ambiente salubre e confortável para a execução dos trabalhos e atendimento ao público.</v>
      </c>
      <c r="C182" s="90" t="s">
        <v>1211</v>
      </c>
      <c r="D182" s="98">
        <f>IFERROR(VLOOKUP(A182,PAC!$A$2:$V$5011,16,0),"")</f>
        <v>45383</v>
      </c>
      <c r="E182" s="99" t="str">
        <f>VLOOKUP(A182,PAC!$A$2:$V$5011,17,0)</f>
        <v>30 DIAS</v>
      </c>
      <c r="F182" s="100">
        <f>IFERROR(VLOOKUP(A182,PAC!$A$2:$V$5011,14,0),"")</f>
        <v>4200</v>
      </c>
      <c r="G182" s="100" t="str">
        <f>IFERROR(VLOOKUP(A182,PAC!$A$2:$V$5011,19,0),"")</f>
        <v>DISPENSA</v>
      </c>
      <c r="H182" s="111" t="s">
        <v>1180</v>
      </c>
      <c r="I182" s="111" t="s">
        <v>22</v>
      </c>
      <c r="J182" s="110">
        <f>SUMIF(PAC!$A$2:$A$5011,A182,PAC!$W$2:$W$5011)</f>
        <v>1</v>
      </c>
      <c r="K182" s="110">
        <f t="shared" si="80"/>
        <v>15</v>
      </c>
      <c r="L182" s="102">
        <f t="shared" si="81"/>
        <v>10</v>
      </c>
      <c r="M182" s="102" t="str">
        <f t="shared" si="69"/>
        <v>0</v>
      </c>
      <c r="N182" s="102" t="str">
        <f t="shared" si="86"/>
        <v>0</v>
      </c>
      <c r="O182" s="102" t="str">
        <f t="shared" si="87"/>
        <v>0</v>
      </c>
      <c r="P182" s="102">
        <f t="shared" si="82"/>
        <v>35</v>
      </c>
      <c r="Q182" s="102">
        <f t="shared" si="83"/>
        <v>3</v>
      </c>
      <c r="R182" s="102">
        <f t="shared" si="84"/>
        <v>3</v>
      </c>
      <c r="S182" s="102" t="str">
        <f t="shared" si="88"/>
        <v>0</v>
      </c>
      <c r="T182" s="102">
        <f t="shared" si="89"/>
        <v>5</v>
      </c>
      <c r="U182" s="102">
        <f t="shared" si="85"/>
        <v>18</v>
      </c>
      <c r="V182" s="102">
        <f t="shared" si="90"/>
        <v>89</v>
      </c>
      <c r="W182" s="103">
        <f t="shared" si="73"/>
        <v>45294</v>
      </c>
      <c r="X182" s="103">
        <f t="shared" si="74"/>
        <v>45319</v>
      </c>
      <c r="Y182" s="103">
        <f t="shared" si="75"/>
        <v>45354</v>
      </c>
      <c r="Z182" s="103">
        <f t="shared" si="76"/>
        <v>45357</v>
      </c>
      <c r="AA182" s="103">
        <f t="shared" si="77"/>
        <v>45360</v>
      </c>
      <c r="AB182" s="103" t="str">
        <f t="shared" si="78"/>
        <v>---</v>
      </c>
      <c r="AC182" s="103">
        <f t="shared" si="79"/>
        <v>45365</v>
      </c>
    </row>
    <row r="183" spans="1:29" ht="36">
      <c r="A183" s="116" t="s">
        <v>855</v>
      </c>
      <c r="B183" s="89" t="str">
        <f>IFERROR(VLOOKUP(A183,PAC!$A$2:$V$5011,2,0),"")</f>
        <v>Proteger as pessoas e o meio ambiente da contaminação e doenças provenientes dos dejetos humanos</v>
      </c>
      <c r="C183" s="90" t="s">
        <v>1211</v>
      </c>
      <c r="D183" s="98">
        <f>IFERROR(VLOOKUP(A183,PAC!$A$2:$V$5011,16,0),"")</f>
        <v>45383</v>
      </c>
      <c r="E183" s="99" t="str">
        <f>VLOOKUP(A183,PAC!$A$2:$V$5011,17,0)</f>
        <v>30 DIAS</v>
      </c>
      <c r="F183" s="100">
        <f>IFERROR(VLOOKUP(A183,PAC!$A$2:$V$5011,14,0),"")</f>
        <v>890</v>
      </c>
      <c r="G183" s="100" t="str">
        <f>IFERROR(VLOOKUP(A183,PAC!$A$2:$V$5011,19,0),"")</f>
        <v>DISPENSA</v>
      </c>
      <c r="H183" s="111" t="s">
        <v>1180</v>
      </c>
      <c r="I183" s="111" t="s">
        <v>22</v>
      </c>
      <c r="J183" s="110">
        <f>SUMIF(PAC!$A$2:$A$5011,A183,PAC!$W$2:$W$5011)</f>
        <v>1</v>
      </c>
      <c r="K183" s="110">
        <f t="shared" si="80"/>
        <v>15</v>
      </c>
      <c r="L183" s="102">
        <f t="shared" si="81"/>
        <v>10</v>
      </c>
      <c r="M183" s="102" t="str">
        <f t="shared" si="69"/>
        <v>0</v>
      </c>
      <c r="N183" s="102" t="str">
        <f t="shared" si="86"/>
        <v>0</v>
      </c>
      <c r="O183" s="102" t="str">
        <f t="shared" si="87"/>
        <v>0</v>
      </c>
      <c r="P183" s="102">
        <f t="shared" si="82"/>
        <v>35</v>
      </c>
      <c r="Q183" s="102">
        <f t="shared" si="83"/>
        <v>3</v>
      </c>
      <c r="R183" s="102">
        <f t="shared" si="84"/>
        <v>3</v>
      </c>
      <c r="S183" s="102" t="str">
        <f t="shared" si="88"/>
        <v>0</v>
      </c>
      <c r="T183" s="102">
        <f t="shared" si="89"/>
        <v>5</v>
      </c>
      <c r="U183" s="102">
        <f t="shared" si="85"/>
        <v>18</v>
      </c>
      <c r="V183" s="102">
        <f t="shared" si="90"/>
        <v>89</v>
      </c>
      <c r="W183" s="103">
        <f t="shared" si="73"/>
        <v>45294</v>
      </c>
      <c r="X183" s="103">
        <f t="shared" si="74"/>
        <v>45319</v>
      </c>
      <c r="Y183" s="103">
        <f t="shared" si="75"/>
        <v>45354</v>
      </c>
      <c r="Z183" s="103">
        <f t="shared" si="76"/>
        <v>45357</v>
      </c>
      <c r="AA183" s="103">
        <f t="shared" si="77"/>
        <v>45360</v>
      </c>
      <c r="AB183" s="103" t="str">
        <f t="shared" si="78"/>
        <v>---</v>
      </c>
      <c r="AC183" s="103">
        <f t="shared" si="79"/>
        <v>45365</v>
      </c>
    </row>
    <row r="184" spans="1:29" ht="36">
      <c r="A184" s="116" t="s">
        <v>861</v>
      </c>
      <c r="B184" s="89" t="str">
        <f>IFERROR(VLOOKUP(A184,PAC!$A$2:$V$5011,2,0),"")</f>
        <v>Promover ambiente salubre e confortável para a execução dos trabalhos e atendimento ao público.</v>
      </c>
      <c r="C184" s="90" t="s">
        <v>1211</v>
      </c>
      <c r="D184" s="98">
        <f>IFERROR(VLOOKUP(A184,PAC!$A$2:$V$5011,16,0),"")</f>
        <v>45397</v>
      </c>
      <c r="E184" s="99" t="str">
        <f>VLOOKUP(A184,PAC!$A$2:$V$5011,17,0)</f>
        <v>30 DIAS</v>
      </c>
      <c r="F184" s="100">
        <f>IFERROR(VLOOKUP(A184,PAC!$A$2:$V$5011,14,0),"")</f>
        <v>10420</v>
      </c>
      <c r="G184" s="100" t="str">
        <f>IFERROR(VLOOKUP(A184,PAC!$A$2:$V$5011,19,0),"")</f>
        <v>DISPENSA</v>
      </c>
      <c r="H184" s="111" t="s">
        <v>1180</v>
      </c>
      <c r="I184" s="111" t="s">
        <v>22</v>
      </c>
      <c r="J184" s="110">
        <f>SUMIF(PAC!$A$2:$A$5011,A184,PAC!$W$2:$W$5011)</f>
        <v>1</v>
      </c>
      <c r="K184" s="110">
        <f t="shared" si="80"/>
        <v>15</v>
      </c>
      <c r="L184" s="102">
        <f t="shared" si="81"/>
        <v>10</v>
      </c>
      <c r="M184" s="102" t="str">
        <f t="shared" si="69"/>
        <v>0</v>
      </c>
      <c r="N184" s="102" t="str">
        <f t="shared" si="86"/>
        <v>0</v>
      </c>
      <c r="O184" s="102" t="str">
        <f t="shared" si="87"/>
        <v>0</v>
      </c>
      <c r="P184" s="102">
        <f t="shared" si="82"/>
        <v>35</v>
      </c>
      <c r="Q184" s="102">
        <f t="shared" si="83"/>
        <v>3</v>
      </c>
      <c r="R184" s="102">
        <f t="shared" si="84"/>
        <v>3</v>
      </c>
      <c r="S184" s="102" t="str">
        <f t="shared" si="88"/>
        <v>0</v>
      </c>
      <c r="T184" s="102">
        <f t="shared" si="89"/>
        <v>5</v>
      </c>
      <c r="U184" s="102">
        <f t="shared" si="85"/>
        <v>18</v>
      </c>
      <c r="V184" s="102">
        <f t="shared" si="90"/>
        <v>89</v>
      </c>
      <c r="W184" s="103">
        <f t="shared" si="73"/>
        <v>45308</v>
      </c>
      <c r="X184" s="103">
        <f t="shared" si="74"/>
        <v>45333</v>
      </c>
      <c r="Y184" s="103">
        <f t="shared" si="75"/>
        <v>45368</v>
      </c>
      <c r="Z184" s="103">
        <f t="shared" si="76"/>
        <v>45371</v>
      </c>
      <c r="AA184" s="103">
        <f t="shared" si="77"/>
        <v>45374</v>
      </c>
      <c r="AB184" s="103" t="str">
        <f t="shared" si="78"/>
        <v>---</v>
      </c>
      <c r="AC184" s="103">
        <f t="shared" si="79"/>
        <v>45379</v>
      </c>
    </row>
    <row r="185" spans="1:29" ht="24">
      <c r="A185" s="116" t="s">
        <v>867</v>
      </c>
      <c r="B185" s="89" t="str">
        <f>IFERROR(VLOOKUP(A185,PAC!$A$2:$V$5011,2,0),"")</f>
        <v>Prover continuidade na execução dos serviços.</v>
      </c>
      <c r="C185" s="90" t="s">
        <v>1211</v>
      </c>
      <c r="D185" s="98">
        <f>IFERROR(VLOOKUP(A185,PAC!$A$2:$V$5011,16,0),"")</f>
        <v>45352</v>
      </c>
      <c r="E185" s="99" t="str">
        <f>VLOOKUP(A185,PAC!$A$2:$V$5011,17,0)</f>
        <v>30 DIAS</v>
      </c>
      <c r="F185" s="100">
        <f>IFERROR(VLOOKUP(A185,PAC!$A$2:$V$5011,14,0),"")</f>
        <v>5000</v>
      </c>
      <c r="G185" s="100" t="str">
        <f>IFERROR(VLOOKUP(A185,PAC!$A$2:$V$5011,19,0),"")</f>
        <v>DISPENSA</v>
      </c>
      <c r="H185" s="111" t="s">
        <v>1180</v>
      </c>
      <c r="I185" s="111" t="s">
        <v>22</v>
      </c>
      <c r="J185" s="110">
        <f>SUMIF(PAC!$A$2:$A$5011,A185,PAC!$W$2:$W$5011)</f>
        <v>1</v>
      </c>
      <c r="K185" s="110">
        <f t="shared" si="80"/>
        <v>15</v>
      </c>
      <c r="L185" s="102">
        <f t="shared" si="81"/>
        <v>10</v>
      </c>
      <c r="M185" s="102" t="str">
        <f t="shared" si="69"/>
        <v>0</v>
      </c>
      <c r="N185" s="102" t="str">
        <f t="shared" si="86"/>
        <v>0</v>
      </c>
      <c r="O185" s="102" t="str">
        <f t="shared" si="87"/>
        <v>0</v>
      </c>
      <c r="P185" s="102">
        <f t="shared" si="82"/>
        <v>35</v>
      </c>
      <c r="Q185" s="102">
        <f t="shared" si="83"/>
        <v>3</v>
      </c>
      <c r="R185" s="102">
        <f t="shared" si="84"/>
        <v>3</v>
      </c>
      <c r="S185" s="102" t="str">
        <f t="shared" si="88"/>
        <v>0</v>
      </c>
      <c r="T185" s="102">
        <f t="shared" si="89"/>
        <v>5</v>
      </c>
      <c r="U185" s="102">
        <f t="shared" si="85"/>
        <v>18</v>
      </c>
      <c r="V185" s="102">
        <f t="shared" si="90"/>
        <v>89</v>
      </c>
      <c r="W185" s="103">
        <f t="shared" si="73"/>
        <v>45263</v>
      </c>
      <c r="X185" s="103">
        <f t="shared" si="74"/>
        <v>45288</v>
      </c>
      <c r="Y185" s="103">
        <f t="shared" si="75"/>
        <v>45323</v>
      </c>
      <c r="Z185" s="103">
        <f t="shared" si="76"/>
        <v>45326</v>
      </c>
      <c r="AA185" s="103">
        <f t="shared" si="77"/>
        <v>45329</v>
      </c>
      <c r="AB185" s="103" t="str">
        <f t="shared" si="78"/>
        <v>---</v>
      </c>
      <c r="AC185" s="103">
        <f t="shared" si="79"/>
        <v>45334</v>
      </c>
    </row>
    <row r="186" spans="1:29" ht="36">
      <c r="A186" s="116" t="s">
        <v>873</v>
      </c>
      <c r="B186" s="89" t="str">
        <f>IFERROR(VLOOKUP(A186,PAC!$A$2:$V$5011,2,0),"")</f>
        <v>Prestar um serviço célere ao Jurisdicionado, uma vez que o veículo facilitará a execução dos mandados.</v>
      </c>
      <c r="C186" s="90" t="s">
        <v>1211</v>
      </c>
      <c r="D186" s="98">
        <f>IFERROR(VLOOKUP(A186,PAC!$A$2:$V$5011,16,0),"")</f>
        <v>45597</v>
      </c>
      <c r="E186" s="99" t="str">
        <f>VLOOKUP(A186,PAC!$A$2:$V$5011,17,0)</f>
        <v>90 DIAS</v>
      </c>
      <c r="F186" s="100">
        <f>IFERROR(VLOOKUP(A186,PAC!$A$2:$V$5011,14,0),"")</f>
        <v>230000</v>
      </c>
      <c r="G186" s="100" t="str">
        <f>IFERROR(VLOOKUP(A186,PAC!$A$2:$V$5011,19,0),"")</f>
        <v>LICITAÇÃO</v>
      </c>
      <c r="H186" s="111" t="s">
        <v>1180</v>
      </c>
      <c r="I186" s="111" t="s">
        <v>22</v>
      </c>
      <c r="J186" s="110">
        <f>SUMIF(PAC!$A$2:$A$5011,A186,PAC!$W$2:$W$5011)</f>
        <v>1</v>
      </c>
      <c r="K186" s="110">
        <f t="shared" si="80"/>
        <v>15</v>
      </c>
      <c r="L186" s="102">
        <f t="shared" si="81"/>
        <v>10</v>
      </c>
      <c r="M186" s="102">
        <f t="shared" si="69"/>
        <v>40</v>
      </c>
      <c r="N186" s="102">
        <f t="shared" si="86"/>
        <v>25</v>
      </c>
      <c r="O186" s="102">
        <f t="shared" si="87"/>
        <v>25</v>
      </c>
      <c r="P186" s="102" t="str">
        <f t="shared" si="82"/>
        <v>0</v>
      </c>
      <c r="Q186" s="102" t="str">
        <f t="shared" si="83"/>
        <v>0</v>
      </c>
      <c r="R186" s="102" t="str">
        <f t="shared" si="84"/>
        <v>0</v>
      </c>
      <c r="S186" s="102" t="str">
        <f t="shared" si="88"/>
        <v>0</v>
      </c>
      <c r="T186" s="102">
        <f t="shared" si="89"/>
        <v>5</v>
      </c>
      <c r="U186" s="102">
        <f t="shared" ref="U186:U217" si="91">IF(D186&gt;44549,18,"0")</f>
        <v>18</v>
      </c>
      <c r="V186" s="102">
        <f t="shared" si="90"/>
        <v>138</v>
      </c>
      <c r="W186" s="103">
        <f t="shared" si="73"/>
        <v>45459</v>
      </c>
      <c r="X186" s="103">
        <f t="shared" si="74"/>
        <v>45484</v>
      </c>
      <c r="Y186" s="103">
        <f t="shared" si="75"/>
        <v>45524</v>
      </c>
      <c r="Z186" s="103">
        <f t="shared" si="76"/>
        <v>45549</v>
      </c>
      <c r="AA186" s="103">
        <f t="shared" si="77"/>
        <v>45574</v>
      </c>
      <c r="AB186" s="103" t="str">
        <f t="shared" si="78"/>
        <v>---</v>
      </c>
      <c r="AC186" s="103">
        <f t="shared" si="79"/>
        <v>45579</v>
      </c>
    </row>
    <row r="187" spans="1:29" ht="24">
      <c r="A187" s="116" t="s">
        <v>879</v>
      </c>
      <c r="B187" s="89" t="str">
        <f>IFERROR(VLOOKUP(A187,PAC!$A$2:$V$5011,2,0),"")</f>
        <v>Desgaste de equipamento e poluição ambiental pelo uso do gerador</v>
      </c>
      <c r="C187" s="90" t="s">
        <v>1211</v>
      </c>
      <c r="D187" s="98">
        <f>IFERROR(VLOOKUP(A187,PAC!$A$2:$V$5011,16,0),"")</f>
        <v>45444</v>
      </c>
      <c r="E187" s="99" t="str">
        <f>VLOOKUP(A187,PAC!$A$2:$V$5011,17,0)</f>
        <v>30 DIAS</v>
      </c>
      <c r="F187" s="100">
        <f>IFERROR(VLOOKUP(A187,PAC!$A$2:$V$5011,14,0),"")</f>
        <v>7000</v>
      </c>
      <c r="G187" s="100" t="str">
        <f>IFERROR(VLOOKUP(A187,PAC!$A$2:$V$5011,19,0),"")</f>
        <v>DISPENSA</v>
      </c>
      <c r="H187" s="111" t="s">
        <v>1180</v>
      </c>
      <c r="I187" s="111" t="s">
        <v>22</v>
      </c>
      <c r="J187" s="110">
        <f>SUMIF(PAC!$A$2:$A$5011,A187,PAC!$W$2:$W$5011)</f>
        <v>1</v>
      </c>
      <c r="K187" s="110">
        <f t="shared" si="80"/>
        <v>15</v>
      </c>
      <c r="L187" s="102">
        <f t="shared" si="81"/>
        <v>10</v>
      </c>
      <c r="M187" s="102" t="str">
        <f t="shared" si="69"/>
        <v>0</v>
      </c>
      <c r="N187" s="102" t="str">
        <f t="shared" ref="N187:N218" si="92">IF(AND(G187="Licitação"),IF(AND(H187=""),"0",IF(AND(H187="N"),15,IF(AND(H187="C"),25))),"0")</f>
        <v>0</v>
      </c>
      <c r="O187" s="102" t="str">
        <f t="shared" ref="O187:O218" si="93">IF(AND(G187="Licitação"),IF(AND(I187=""),"0",IF(AND(I187="N"),25,IF(AND(I187="S"),40))),"0")</f>
        <v>0</v>
      </c>
      <c r="P187" s="102">
        <f t="shared" si="82"/>
        <v>35</v>
      </c>
      <c r="Q187" s="102">
        <f t="shared" si="83"/>
        <v>3</v>
      </c>
      <c r="R187" s="102">
        <f t="shared" si="84"/>
        <v>3</v>
      </c>
      <c r="S187" s="102" t="str">
        <f t="shared" ref="S187:S218" si="94">IF(OR(G187="prorrogação",G187="renovação"),60,"0")</f>
        <v>0</v>
      </c>
      <c r="T187" s="102">
        <f t="shared" ref="T187:T218" si="95">IF(OR(G187="dispensa",G187="inexigibilidade",G187="licitação"),IF(AND(H187="C"),5,IF(AND(H187="N"),3,IF(AND(H187=""),"0"))),"0")</f>
        <v>5</v>
      </c>
      <c r="U187" s="102">
        <f t="shared" si="91"/>
        <v>18</v>
      </c>
      <c r="V187" s="102">
        <f t="shared" ref="V187:V218" si="96">SUM(K187:U187)</f>
        <v>89</v>
      </c>
      <c r="W187" s="103">
        <f t="shared" si="73"/>
        <v>45355</v>
      </c>
      <c r="X187" s="103">
        <f t="shared" si="74"/>
        <v>45380</v>
      </c>
      <c r="Y187" s="103">
        <f t="shared" si="75"/>
        <v>45415</v>
      </c>
      <c r="Z187" s="103">
        <f t="shared" si="76"/>
        <v>45418</v>
      </c>
      <c r="AA187" s="103">
        <f t="shared" si="77"/>
        <v>45421</v>
      </c>
      <c r="AB187" s="103" t="str">
        <f t="shared" si="78"/>
        <v>---</v>
      </c>
      <c r="AC187" s="103">
        <f t="shared" si="79"/>
        <v>45426</v>
      </c>
    </row>
    <row r="188" spans="1:29" ht="36">
      <c r="A188" s="116" t="s">
        <v>882</v>
      </c>
      <c r="B188" s="89" t="str">
        <f>IFERROR(VLOOKUP(A188,PAC!$A$2:$V$5011,2,0),"")</f>
        <v>Prover ambiente saudável, eliminando os focos onde determinados insetos e ratos possam se desenvolver.</v>
      </c>
      <c r="C188" s="90" t="s">
        <v>1211</v>
      </c>
      <c r="D188" s="98">
        <f>IFERROR(VLOOKUP(A188,PAC!$A$2:$V$5011,16,0),"")</f>
        <v>45383</v>
      </c>
      <c r="E188" s="99" t="str">
        <f>VLOOKUP(A188,PAC!$A$2:$V$5011,17,0)</f>
        <v>30 DIAS</v>
      </c>
      <c r="F188" s="100">
        <f>IFERROR(VLOOKUP(A188,PAC!$A$2:$V$5011,14,0),"")</f>
        <v>1500</v>
      </c>
      <c r="G188" s="100" t="str">
        <f>IFERROR(VLOOKUP(A188,PAC!$A$2:$V$5011,19,0),"")</f>
        <v>DISPENSA</v>
      </c>
      <c r="H188" s="111" t="s">
        <v>1180</v>
      </c>
      <c r="I188" s="111" t="s">
        <v>22</v>
      </c>
      <c r="J188" s="110">
        <f>SUMIF(PAC!$A$2:$A$5011,A188,PAC!$W$2:$W$5011)</f>
        <v>1</v>
      </c>
      <c r="K188" s="110">
        <f t="shared" si="80"/>
        <v>15</v>
      </c>
      <c r="L188" s="102">
        <f t="shared" si="81"/>
        <v>10</v>
      </c>
      <c r="M188" s="102" t="str">
        <f t="shared" si="69"/>
        <v>0</v>
      </c>
      <c r="N188" s="102" t="str">
        <f t="shared" si="92"/>
        <v>0</v>
      </c>
      <c r="O188" s="102" t="str">
        <f t="shared" si="93"/>
        <v>0</v>
      </c>
      <c r="P188" s="102">
        <f t="shared" si="82"/>
        <v>35</v>
      </c>
      <c r="Q188" s="102">
        <f t="shared" si="83"/>
        <v>3</v>
      </c>
      <c r="R188" s="102">
        <f t="shared" si="84"/>
        <v>3</v>
      </c>
      <c r="S188" s="102" t="str">
        <f t="shared" si="94"/>
        <v>0</v>
      </c>
      <c r="T188" s="102">
        <f t="shared" si="95"/>
        <v>5</v>
      </c>
      <c r="U188" s="102">
        <f t="shared" si="91"/>
        <v>18</v>
      </c>
      <c r="V188" s="102">
        <f t="shared" si="96"/>
        <v>89</v>
      </c>
      <c r="W188" s="103">
        <f t="shared" si="73"/>
        <v>45294</v>
      </c>
      <c r="X188" s="103">
        <f t="shared" si="74"/>
        <v>45319</v>
      </c>
      <c r="Y188" s="103">
        <f t="shared" si="75"/>
        <v>45354</v>
      </c>
      <c r="Z188" s="103">
        <f t="shared" si="76"/>
        <v>45357</v>
      </c>
      <c r="AA188" s="103">
        <f t="shared" si="77"/>
        <v>45360</v>
      </c>
      <c r="AB188" s="103" t="str">
        <f t="shared" si="78"/>
        <v>---</v>
      </c>
      <c r="AC188" s="103">
        <f t="shared" si="79"/>
        <v>45365</v>
      </c>
    </row>
    <row r="189" spans="1:29" ht="36">
      <c r="A189" s="116" t="s">
        <v>887</v>
      </c>
      <c r="B189" s="89" t="str">
        <f>IFERROR(VLOOKUP(A189,PAC!$A$2:$V$5011,2,0),"")</f>
        <v>Facilitar o acesso de pessoas com deficiência entre os pavimentos do prédio da Subseção Judiciária de Paragominas. </v>
      </c>
      <c r="C189" s="90" t="s">
        <v>1211</v>
      </c>
      <c r="D189" s="98">
        <f>IFERROR(VLOOKUP(A189,PAC!$A$2:$V$5011,16,0),"")</f>
        <v>45505</v>
      </c>
      <c r="E189" s="99" t="str">
        <f>VLOOKUP(A189,PAC!$A$2:$V$5011,17,0)</f>
        <v>90 DIAS</v>
      </c>
      <c r="F189" s="100">
        <f>IFERROR(VLOOKUP(A189,PAC!$A$2:$V$5011,14,0),"")</f>
        <v>50000</v>
      </c>
      <c r="G189" s="100" t="str">
        <f>IFERROR(VLOOKUP(A189,PAC!$A$2:$V$5011,19,0),"")</f>
        <v>LICITAÇÃO</v>
      </c>
      <c r="H189" s="111" t="s">
        <v>1180</v>
      </c>
      <c r="I189" s="111" t="s">
        <v>22</v>
      </c>
      <c r="J189" s="110">
        <f>SUMIF(PAC!$A$2:$A$5011,A189,PAC!$W$2:$W$5011)</f>
        <v>1</v>
      </c>
      <c r="K189" s="110">
        <f t="shared" si="80"/>
        <v>15</v>
      </c>
      <c r="L189" s="102">
        <f t="shared" si="81"/>
        <v>10</v>
      </c>
      <c r="M189" s="102">
        <f t="shared" si="69"/>
        <v>40</v>
      </c>
      <c r="N189" s="102">
        <f t="shared" si="92"/>
        <v>25</v>
      </c>
      <c r="O189" s="102">
        <f t="shared" si="93"/>
        <v>25</v>
      </c>
      <c r="P189" s="102" t="str">
        <f t="shared" si="82"/>
        <v>0</v>
      </c>
      <c r="Q189" s="102" t="str">
        <f t="shared" si="83"/>
        <v>0</v>
      </c>
      <c r="R189" s="102" t="str">
        <f t="shared" si="84"/>
        <v>0</v>
      </c>
      <c r="S189" s="102" t="str">
        <f t="shared" si="94"/>
        <v>0</v>
      </c>
      <c r="T189" s="102">
        <f t="shared" si="95"/>
        <v>5</v>
      </c>
      <c r="U189" s="102">
        <f t="shared" si="91"/>
        <v>18</v>
      </c>
      <c r="V189" s="102">
        <f t="shared" si="96"/>
        <v>138</v>
      </c>
      <c r="W189" s="103">
        <f t="shared" si="73"/>
        <v>45367</v>
      </c>
      <c r="X189" s="103">
        <f t="shared" si="74"/>
        <v>45392</v>
      </c>
      <c r="Y189" s="103">
        <f t="shared" si="75"/>
        <v>45432</v>
      </c>
      <c r="Z189" s="103">
        <f t="shared" si="76"/>
        <v>45457</v>
      </c>
      <c r="AA189" s="103">
        <f t="shared" si="77"/>
        <v>45482</v>
      </c>
      <c r="AB189" s="103" t="str">
        <f t="shared" si="78"/>
        <v>---</v>
      </c>
      <c r="AC189" s="103">
        <f t="shared" si="79"/>
        <v>45487</v>
      </c>
    </row>
    <row r="190" spans="1:29" ht="24">
      <c r="A190" s="116" t="s">
        <v>893</v>
      </c>
      <c r="B190" s="89" t="str">
        <f>IFERROR(VLOOKUP(A190,PAC!$A$2:$V$5011,2,0),"")</f>
        <v>Manutenção preventiva e corretiva em refrigeração</v>
      </c>
      <c r="C190" s="90" t="s">
        <v>1212</v>
      </c>
      <c r="D190" s="98">
        <f>IFERROR(VLOOKUP(A190,PAC!$A$2:$V$5011,16,0),"")</f>
        <v>45292</v>
      </c>
      <c r="E190" s="99" t="str">
        <f>VLOOKUP(A190,PAC!$A$2:$V$5011,17,0)</f>
        <v>90 dias</v>
      </c>
      <c r="F190" s="100">
        <f>IFERROR(VLOOKUP(A190,PAC!$A$2:$V$5011,14,0),"")</f>
        <v>48000</v>
      </c>
      <c r="G190" s="100" t="str">
        <f>IFERROR(VLOOKUP(A190,PAC!$A$2:$V$5011,19,0),"")</f>
        <v>LICITAÇÃO</v>
      </c>
      <c r="H190" s="111" t="s">
        <v>1180</v>
      </c>
      <c r="I190" s="111" t="s">
        <v>22</v>
      </c>
      <c r="J190" s="110">
        <f>SUMIF(PAC!$A$2:$A$5011,A190,PAC!$W$2:$W$5011)</f>
        <v>1</v>
      </c>
      <c r="K190" s="110">
        <f t="shared" si="80"/>
        <v>15</v>
      </c>
      <c r="L190" s="102">
        <f t="shared" si="81"/>
        <v>10</v>
      </c>
      <c r="M190" s="102">
        <f t="shared" si="69"/>
        <v>40</v>
      </c>
      <c r="N190" s="102">
        <f t="shared" si="92"/>
        <v>25</v>
      </c>
      <c r="O190" s="102">
        <f t="shared" si="93"/>
        <v>25</v>
      </c>
      <c r="P190" s="102" t="str">
        <f t="shared" si="82"/>
        <v>0</v>
      </c>
      <c r="Q190" s="102" t="str">
        <f t="shared" si="83"/>
        <v>0</v>
      </c>
      <c r="R190" s="102" t="str">
        <f t="shared" si="84"/>
        <v>0</v>
      </c>
      <c r="S190" s="102" t="str">
        <f t="shared" si="94"/>
        <v>0</v>
      </c>
      <c r="T190" s="102">
        <f t="shared" si="95"/>
        <v>5</v>
      </c>
      <c r="U190" s="102">
        <f t="shared" si="91"/>
        <v>18</v>
      </c>
      <c r="V190" s="102">
        <f t="shared" si="96"/>
        <v>138</v>
      </c>
      <c r="W190" s="103">
        <f t="shared" si="73"/>
        <v>45154</v>
      </c>
      <c r="X190" s="103">
        <f t="shared" si="74"/>
        <v>45179</v>
      </c>
      <c r="Y190" s="103">
        <f t="shared" si="75"/>
        <v>45219</v>
      </c>
      <c r="Z190" s="103">
        <f t="shared" si="76"/>
        <v>45244</v>
      </c>
      <c r="AA190" s="103">
        <f t="shared" si="77"/>
        <v>45269</v>
      </c>
      <c r="AB190" s="103" t="str">
        <f t="shared" si="78"/>
        <v>---</v>
      </c>
      <c r="AC190" s="103">
        <f t="shared" si="79"/>
        <v>45274</v>
      </c>
    </row>
    <row r="191" spans="1:29" ht="24">
      <c r="A191" s="116" t="s">
        <v>899</v>
      </c>
      <c r="B191" s="89" t="str">
        <f>IFERROR(VLOOKUP(A191,PAC!$A$2:$V$5011,2,0),"")</f>
        <v>Manutenção preventiva e corretiva do grupo gerador</v>
      </c>
      <c r="C191" s="90" t="s">
        <v>1212</v>
      </c>
      <c r="D191" s="98">
        <f>IFERROR(VLOOKUP(A191,PAC!$A$2:$V$5011,16,0),"")</f>
        <v>45473</v>
      </c>
      <c r="E191" s="99" t="str">
        <f>VLOOKUP(A191,PAC!$A$2:$V$5011,17,0)</f>
        <v>30 dias</v>
      </c>
      <c r="F191" s="100">
        <f>IFERROR(VLOOKUP(A191,PAC!$A$2:$V$5011,14,0),"")</f>
        <v>3500</v>
      </c>
      <c r="G191" s="100" t="str">
        <f>IFERROR(VLOOKUP(A191,PAC!$A$2:$V$5011,19,0),"")</f>
        <v>DISPENSA</v>
      </c>
      <c r="H191" s="111" t="s">
        <v>1180</v>
      </c>
      <c r="I191" s="111" t="s">
        <v>22</v>
      </c>
      <c r="J191" s="110">
        <f>SUMIF(PAC!$A$2:$A$5011,A191,PAC!$W$2:$W$5011)</f>
        <v>1</v>
      </c>
      <c r="K191" s="110">
        <f t="shared" si="80"/>
        <v>15</v>
      </c>
      <c r="L191" s="102">
        <f t="shared" si="81"/>
        <v>10</v>
      </c>
      <c r="M191" s="102" t="str">
        <f t="shared" si="69"/>
        <v>0</v>
      </c>
      <c r="N191" s="102" t="str">
        <f t="shared" si="92"/>
        <v>0</v>
      </c>
      <c r="O191" s="102" t="str">
        <f t="shared" si="93"/>
        <v>0</v>
      </c>
      <c r="P191" s="102">
        <f t="shared" si="82"/>
        <v>35</v>
      </c>
      <c r="Q191" s="102">
        <v>3</v>
      </c>
      <c r="R191" s="102">
        <f t="shared" si="84"/>
        <v>3</v>
      </c>
      <c r="S191" s="102" t="str">
        <f t="shared" si="94"/>
        <v>0</v>
      </c>
      <c r="T191" s="102">
        <f t="shared" si="95"/>
        <v>5</v>
      </c>
      <c r="U191" s="102">
        <f t="shared" si="91"/>
        <v>18</v>
      </c>
      <c r="V191" s="102">
        <f t="shared" si="96"/>
        <v>89</v>
      </c>
      <c r="W191" s="103">
        <f t="shared" si="73"/>
        <v>45384</v>
      </c>
      <c r="X191" s="103">
        <f t="shared" si="74"/>
        <v>45409</v>
      </c>
      <c r="Y191" s="103">
        <f t="shared" si="75"/>
        <v>45444</v>
      </c>
      <c r="Z191" s="103">
        <f t="shared" si="76"/>
        <v>45447</v>
      </c>
      <c r="AA191" s="103">
        <f t="shared" si="77"/>
        <v>45450</v>
      </c>
      <c r="AB191" s="103" t="str">
        <f t="shared" si="78"/>
        <v>---</v>
      </c>
      <c r="AC191" s="103">
        <f t="shared" si="79"/>
        <v>45455</v>
      </c>
    </row>
    <row r="192" spans="1:29" ht="36">
      <c r="A192" s="116" t="s">
        <v>901</v>
      </c>
      <c r="B192" s="89" t="str">
        <f>IFERROR(VLOOKUP(A192,PAC!$A$2:$V$5011,2,0),"")</f>
        <v>Manutenção preventiva e corretiva das instalações físicas da Subseção de Santarém</v>
      </c>
      <c r="C192" s="90" t="s">
        <v>1212</v>
      </c>
      <c r="D192" s="98">
        <f>IFERROR(VLOOKUP(A192,PAC!$A$2:$V$5011,16,0),"")</f>
        <v>45292</v>
      </c>
      <c r="E192" s="99" t="str">
        <f>VLOOKUP(A192,PAC!$A$2:$V$5011,17,0)</f>
        <v>90 DIAS</v>
      </c>
      <c r="F192" s="100">
        <f>IFERROR(VLOOKUP(A192,PAC!$A$2:$V$5011,14,0),"")</f>
        <v>103911.96</v>
      </c>
      <c r="G192" s="100" t="str">
        <f>IFERROR(VLOOKUP(A192,PAC!$A$2:$V$5011,19,0),"")</f>
        <v>LICITAÇÃO</v>
      </c>
      <c r="H192" s="111" t="s">
        <v>1180</v>
      </c>
      <c r="I192" s="111" t="s">
        <v>22</v>
      </c>
      <c r="J192" s="102">
        <f>SUMIF(PAC!$A$2:$A$5011,A192,PAC!$W$2:$W$5011)</f>
        <v>1</v>
      </c>
      <c r="K192" s="102">
        <v>15</v>
      </c>
      <c r="L192" s="102">
        <v>10</v>
      </c>
      <c r="M192" s="102">
        <f t="shared" si="69"/>
        <v>40</v>
      </c>
      <c r="N192" s="102">
        <f t="shared" si="92"/>
        <v>25</v>
      </c>
      <c r="O192" s="102">
        <f t="shared" si="93"/>
        <v>25</v>
      </c>
      <c r="P192" s="102">
        <v>35</v>
      </c>
      <c r="Q192" s="102">
        <v>3</v>
      </c>
      <c r="R192" s="102">
        <v>3</v>
      </c>
      <c r="S192" s="102" t="str">
        <f t="shared" si="94"/>
        <v>0</v>
      </c>
      <c r="T192" s="102">
        <f t="shared" si="95"/>
        <v>5</v>
      </c>
      <c r="U192" s="102">
        <f t="shared" si="91"/>
        <v>18</v>
      </c>
      <c r="V192" s="102">
        <f t="shared" si="96"/>
        <v>179</v>
      </c>
      <c r="W192" s="103">
        <f t="shared" si="73"/>
        <v>45113</v>
      </c>
      <c r="X192" s="103">
        <f t="shared" si="74"/>
        <v>45138</v>
      </c>
      <c r="Y192" s="103">
        <f t="shared" si="75"/>
        <v>45178</v>
      </c>
      <c r="Z192" s="103">
        <f t="shared" si="76"/>
        <v>45203</v>
      </c>
      <c r="AA192" s="103">
        <f t="shared" si="77"/>
        <v>45228</v>
      </c>
      <c r="AB192" s="103" t="str">
        <f t="shared" si="78"/>
        <v>---</v>
      </c>
      <c r="AC192" s="103">
        <f t="shared" si="79"/>
        <v>45233</v>
      </c>
    </row>
    <row r="193" spans="1:29" ht="15">
      <c r="A193" s="116" t="s">
        <v>906</v>
      </c>
      <c r="B193" s="89" t="str">
        <f>IFERROR(VLOOKUP(A193,PAC!$A$2:$V$5011,2,0),"")</f>
        <v>Baterias para o grupo gerador</v>
      </c>
      <c r="C193" s="90" t="s">
        <v>1212</v>
      </c>
      <c r="D193" s="98">
        <f>IFERROR(VLOOKUP(A193,PAC!$A$2:$V$5011,16,0),"")</f>
        <v>45473</v>
      </c>
      <c r="E193" s="99" t="str">
        <f>VLOOKUP(A193,PAC!$A$2:$V$5011,17,0)</f>
        <v>30 dias</v>
      </c>
      <c r="F193" s="100">
        <f>IFERROR(VLOOKUP(A193,PAC!$A$2:$V$5011,14,0),"")</f>
        <v>1600</v>
      </c>
      <c r="G193" s="100" t="str">
        <f>IFERROR(VLOOKUP(A193,PAC!$A$2:$V$5011,19,0),"")</f>
        <v>DISPENSA</v>
      </c>
      <c r="H193" s="111" t="s">
        <v>22</v>
      </c>
      <c r="I193" s="111" t="s">
        <v>22</v>
      </c>
      <c r="J193" s="110">
        <f>SUMIF(PAC!$A$2:$A$5011,A193,PAC!$W$2:$W$5011)</f>
        <v>1</v>
      </c>
      <c r="K193" s="110">
        <f t="shared" ref="K193:K226" si="97">IF(OR(G193="dispensa",G193="inexigibilidade",G193="licitação"),15,"0")</f>
        <v>15</v>
      </c>
      <c r="L193" s="102">
        <f t="shared" ref="L193:L226" si="98">IF(OR(G193="dispensa",G193="inexigibilidade",G193="licitação"),10,"0")</f>
        <v>10</v>
      </c>
      <c r="M193" s="102" t="str">
        <f t="shared" si="69"/>
        <v>0</v>
      </c>
      <c r="N193" s="102" t="str">
        <f t="shared" si="92"/>
        <v>0</v>
      </c>
      <c r="O193" s="102" t="str">
        <f t="shared" si="93"/>
        <v>0</v>
      </c>
      <c r="P193" s="102">
        <f t="shared" ref="P193:P226" si="99">IF(OR(G193="dispensa",G193="inexigibilidade"),IF(AND(J193=0),0,IF(AND(J193&gt;0,J193&lt;11),35,IF(AND(J193&gt;10,J193&lt;21),45,IF(AND(J193&gt;20),60)))),"0")</f>
        <v>35</v>
      </c>
      <c r="Q193" s="102">
        <f t="shared" ref="Q193:Q226" si="100">IF(OR(G193="dispensa",G193="inexigibilidade"),3,"0")</f>
        <v>3</v>
      </c>
      <c r="R193" s="102">
        <f t="shared" ref="R193:R226" si="101">IF(OR(G193="dispensa",G193="inexigibilidade"),3,"0")</f>
        <v>3</v>
      </c>
      <c r="S193" s="102" t="str">
        <f t="shared" si="94"/>
        <v>0</v>
      </c>
      <c r="T193" s="102">
        <f t="shared" si="95"/>
        <v>3</v>
      </c>
      <c r="U193" s="102">
        <f t="shared" si="91"/>
        <v>18</v>
      </c>
      <c r="V193" s="102">
        <f t="shared" si="96"/>
        <v>87</v>
      </c>
      <c r="W193" s="103">
        <f t="shared" si="73"/>
        <v>45386</v>
      </c>
      <c r="X193" s="103">
        <f t="shared" si="74"/>
        <v>45411</v>
      </c>
      <c r="Y193" s="103">
        <f t="shared" si="75"/>
        <v>45446</v>
      </c>
      <c r="Z193" s="103">
        <f t="shared" si="76"/>
        <v>45449</v>
      </c>
      <c r="AA193" s="103">
        <f t="shared" si="77"/>
        <v>45452</v>
      </c>
      <c r="AB193" s="103" t="str">
        <f t="shared" si="78"/>
        <v>---</v>
      </c>
      <c r="AC193" s="103">
        <f t="shared" si="79"/>
        <v>45455</v>
      </c>
    </row>
    <row r="194" spans="1:29" ht="15">
      <c r="A194" s="116" t="s">
        <v>910</v>
      </c>
      <c r="B194" s="89" t="str">
        <f>IFERROR(VLOOKUP(A194,PAC!$A$2:$V$5011,2,0),"")</f>
        <v>Baterias para nobreak de 10 kva</v>
      </c>
      <c r="C194" s="90" t="s">
        <v>1212</v>
      </c>
      <c r="D194" s="98">
        <f>IFERROR(VLOOKUP(A194,PAC!$A$2:$V$5011,16,0),"")</f>
        <v>45382</v>
      </c>
      <c r="E194" s="99" t="str">
        <f>VLOOKUP(A194,PAC!$A$2:$V$5011,17,0)</f>
        <v>30 DIAS</v>
      </c>
      <c r="F194" s="100">
        <f>IFERROR(VLOOKUP(A194,PAC!$A$2:$V$5011,14,0),"")</f>
        <v>10240</v>
      </c>
      <c r="G194" s="100" t="str">
        <f>IFERROR(VLOOKUP(A194,PAC!$A$2:$V$5011,19,0),"")</f>
        <v>DISPENSA</v>
      </c>
      <c r="H194" s="111" t="s">
        <v>1180</v>
      </c>
      <c r="I194" s="111" t="s">
        <v>22</v>
      </c>
      <c r="J194" s="110">
        <f>SUMIF(PAC!$A$2:$A$5011,A194,PAC!$W$2:$W$5011)</f>
        <v>1</v>
      </c>
      <c r="K194" s="110">
        <f t="shared" si="97"/>
        <v>15</v>
      </c>
      <c r="L194" s="102">
        <f t="shared" si="98"/>
        <v>10</v>
      </c>
      <c r="M194" s="102" t="str">
        <f t="shared" si="69"/>
        <v>0</v>
      </c>
      <c r="N194" s="102" t="str">
        <f t="shared" si="92"/>
        <v>0</v>
      </c>
      <c r="O194" s="102" t="str">
        <f t="shared" si="93"/>
        <v>0</v>
      </c>
      <c r="P194" s="102">
        <f t="shared" si="99"/>
        <v>35</v>
      </c>
      <c r="Q194" s="102">
        <f t="shared" si="100"/>
        <v>3</v>
      </c>
      <c r="R194" s="102">
        <f t="shared" si="101"/>
        <v>3</v>
      </c>
      <c r="S194" s="102" t="str">
        <f t="shared" si="94"/>
        <v>0</v>
      </c>
      <c r="T194" s="102">
        <f t="shared" si="95"/>
        <v>5</v>
      </c>
      <c r="U194" s="102">
        <f t="shared" si="91"/>
        <v>18</v>
      </c>
      <c r="V194" s="102">
        <f t="shared" si="96"/>
        <v>89</v>
      </c>
      <c r="W194" s="103">
        <f t="shared" si="73"/>
        <v>45293</v>
      </c>
      <c r="X194" s="103">
        <f t="shared" si="74"/>
        <v>45318</v>
      </c>
      <c r="Y194" s="103">
        <f t="shared" si="75"/>
        <v>45353</v>
      </c>
      <c r="Z194" s="103">
        <f t="shared" si="76"/>
        <v>45356</v>
      </c>
      <c r="AA194" s="103">
        <f t="shared" si="77"/>
        <v>45359</v>
      </c>
      <c r="AB194" s="103" t="str">
        <f t="shared" si="78"/>
        <v>---</v>
      </c>
      <c r="AC194" s="103">
        <f t="shared" si="79"/>
        <v>45364</v>
      </c>
    </row>
    <row r="195" spans="1:29" ht="36">
      <c r="A195" s="116" t="s">
        <v>915</v>
      </c>
      <c r="B195" s="89" t="str">
        <f>IFERROR(VLOOKUP(A195,PAC!$A$2:$V$5011,2,0),"")</f>
        <v>Conserto de 2 câmaras externas e da fibra óptica do sistema de Circuito Fechado de TV – CFTV</v>
      </c>
      <c r="C195" s="90" t="s">
        <v>1212</v>
      </c>
      <c r="D195" s="98">
        <f>IFERROR(VLOOKUP(A195,PAC!$A$2:$V$5011,16,0),"")</f>
        <v>45292</v>
      </c>
      <c r="E195" s="99" t="str">
        <f>VLOOKUP(A195,PAC!$A$2:$V$5011,17,0)</f>
        <v>30 DIAS</v>
      </c>
      <c r="F195" s="100">
        <f>IFERROR(VLOOKUP(A195,PAC!$A$2:$V$5011,14,0),"")</f>
        <v>3300</v>
      </c>
      <c r="G195" s="100" t="str">
        <f>IFERROR(VLOOKUP(A195,PAC!$A$2:$V$5011,19,0),"")</f>
        <v>DISPENSA</v>
      </c>
      <c r="H195" s="111" t="s">
        <v>1180</v>
      </c>
      <c r="I195" s="111" t="s">
        <v>22</v>
      </c>
      <c r="J195" s="110">
        <f>SUMIF(PAC!$A$2:$A$5011,A195,PAC!$W$2:$W$5011)</f>
        <v>1</v>
      </c>
      <c r="K195" s="110">
        <f t="shared" si="97"/>
        <v>15</v>
      </c>
      <c r="L195" s="102">
        <f t="shared" si="98"/>
        <v>10</v>
      </c>
      <c r="M195" s="102" t="str">
        <f t="shared" si="69"/>
        <v>0</v>
      </c>
      <c r="N195" s="102" t="str">
        <f t="shared" si="92"/>
        <v>0</v>
      </c>
      <c r="O195" s="102" t="str">
        <f t="shared" si="93"/>
        <v>0</v>
      </c>
      <c r="P195" s="102">
        <f t="shared" si="99"/>
        <v>35</v>
      </c>
      <c r="Q195" s="102">
        <f t="shared" si="100"/>
        <v>3</v>
      </c>
      <c r="R195" s="102">
        <f t="shared" si="101"/>
        <v>3</v>
      </c>
      <c r="S195" s="102" t="str">
        <f t="shared" si="94"/>
        <v>0</v>
      </c>
      <c r="T195" s="102">
        <f t="shared" si="95"/>
        <v>5</v>
      </c>
      <c r="U195" s="102">
        <f t="shared" si="91"/>
        <v>18</v>
      </c>
      <c r="V195" s="102">
        <f t="shared" si="96"/>
        <v>89</v>
      </c>
      <c r="W195" s="103">
        <f t="shared" si="73"/>
        <v>45203</v>
      </c>
      <c r="X195" s="103">
        <f t="shared" si="74"/>
        <v>45228</v>
      </c>
      <c r="Y195" s="103">
        <f t="shared" si="75"/>
        <v>45263</v>
      </c>
      <c r="Z195" s="103">
        <f t="shared" si="76"/>
        <v>45266</v>
      </c>
      <c r="AA195" s="103">
        <f t="shared" si="77"/>
        <v>45269</v>
      </c>
      <c r="AB195" s="103" t="str">
        <f t="shared" si="78"/>
        <v>---</v>
      </c>
      <c r="AC195" s="103">
        <f t="shared" si="79"/>
        <v>45274</v>
      </c>
    </row>
    <row r="196" spans="1:29" ht="15">
      <c r="A196" s="116" t="s">
        <v>920</v>
      </c>
      <c r="B196" s="89" t="str">
        <f>IFERROR(VLOOKUP(A196,PAC!$A$2:$V$5011,2,0),"")</f>
        <v>Cooler para nobreak SMS - Aquisição e troca</v>
      </c>
      <c r="C196" s="90" t="s">
        <v>1212</v>
      </c>
      <c r="D196" s="98">
        <f>IFERROR(VLOOKUP(A196,PAC!$A$2:$V$5011,16,0),"")</f>
        <v>45443</v>
      </c>
      <c r="E196" s="99" t="str">
        <f>VLOOKUP(A196,PAC!$A$2:$V$5011,17,0)</f>
        <v>30 DIAS</v>
      </c>
      <c r="F196" s="100">
        <f>IFERROR(VLOOKUP(A196,PAC!$A$2:$V$5011,14,0),"")</f>
        <v>1320</v>
      </c>
      <c r="G196" s="100" t="str">
        <f>IFERROR(VLOOKUP(A196,PAC!$A$2:$V$5011,19,0),"")</f>
        <v>DISPENSA</v>
      </c>
      <c r="H196" s="111" t="s">
        <v>22</v>
      </c>
      <c r="I196" s="111" t="s">
        <v>22</v>
      </c>
      <c r="J196" s="110">
        <f>SUMIF(PAC!$A$2:$A$5011,A196,PAC!$W$2:$W$5011)</f>
        <v>1</v>
      </c>
      <c r="K196" s="110">
        <f t="shared" si="97"/>
        <v>15</v>
      </c>
      <c r="L196" s="102">
        <f t="shared" si="98"/>
        <v>10</v>
      </c>
      <c r="M196" s="102" t="str">
        <f t="shared" si="69"/>
        <v>0</v>
      </c>
      <c r="N196" s="102" t="str">
        <f t="shared" si="92"/>
        <v>0</v>
      </c>
      <c r="O196" s="102" t="str">
        <f t="shared" si="93"/>
        <v>0</v>
      </c>
      <c r="P196" s="102">
        <f t="shared" si="99"/>
        <v>35</v>
      </c>
      <c r="Q196" s="102">
        <f t="shared" si="100"/>
        <v>3</v>
      </c>
      <c r="R196" s="102">
        <f t="shared" si="101"/>
        <v>3</v>
      </c>
      <c r="S196" s="102" t="str">
        <f t="shared" si="94"/>
        <v>0</v>
      </c>
      <c r="T196" s="102">
        <f t="shared" si="95"/>
        <v>3</v>
      </c>
      <c r="U196" s="102">
        <f t="shared" si="91"/>
        <v>18</v>
      </c>
      <c r="V196" s="102">
        <f t="shared" si="96"/>
        <v>87</v>
      </c>
      <c r="W196" s="103">
        <f t="shared" si="73"/>
        <v>45356</v>
      </c>
      <c r="X196" s="103">
        <f t="shared" si="74"/>
        <v>45381</v>
      </c>
      <c r="Y196" s="103">
        <f t="shared" si="75"/>
        <v>45416</v>
      </c>
      <c r="Z196" s="103">
        <f t="shared" si="76"/>
        <v>45419</v>
      </c>
      <c r="AA196" s="103">
        <f t="shared" si="77"/>
        <v>45422</v>
      </c>
      <c r="AB196" s="103" t="str">
        <f t="shared" si="78"/>
        <v>---</v>
      </c>
      <c r="AC196" s="103">
        <f t="shared" si="79"/>
        <v>45425</v>
      </c>
    </row>
    <row r="197" spans="1:29" ht="15">
      <c r="A197" s="116" t="s">
        <v>925</v>
      </c>
      <c r="B197" s="89" t="str">
        <f>IFERROR(VLOOKUP(A197,PAC!$A$2:$V$5011,2,0),"")</f>
        <v>Reativação do Circuito Fechado de TV – CFTV</v>
      </c>
      <c r="C197" s="90" t="s">
        <v>1212</v>
      </c>
      <c r="D197" s="98">
        <f>IFERROR(VLOOKUP(A197,PAC!$A$2:$V$5011,16,0),"")</f>
        <v>45350</v>
      </c>
      <c r="E197" s="99" t="str">
        <f>VLOOKUP(A197,PAC!$A$2:$V$5011,17,0)</f>
        <v>30 DIAS</v>
      </c>
      <c r="F197" s="100">
        <f>IFERROR(VLOOKUP(A197,PAC!$A$2:$V$5011,14,0),"")</f>
        <v>8600</v>
      </c>
      <c r="G197" s="100" t="str">
        <f>IFERROR(VLOOKUP(A197,PAC!$A$2:$V$5011,19,0),"")</f>
        <v>DISPENSA</v>
      </c>
      <c r="H197" s="111" t="s">
        <v>1180</v>
      </c>
      <c r="I197" s="111" t="s">
        <v>22</v>
      </c>
      <c r="J197" s="110">
        <f>SUMIF(PAC!$A$2:$A$5011,A197,PAC!$W$2:$W$5011)</f>
        <v>1</v>
      </c>
      <c r="K197" s="110">
        <f t="shared" si="97"/>
        <v>15</v>
      </c>
      <c r="L197" s="102">
        <f t="shared" si="98"/>
        <v>10</v>
      </c>
      <c r="M197" s="102" t="str">
        <f t="shared" si="69"/>
        <v>0</v>
      </c>
      <c r="N197" s="102" t="str">
        <f t="shared" si="92"/>
        <v>0</v>
      </c>
      <c r="O197" s="102" t="str">
        <f t="shared" si="93"/>
        <v>0</v>
      </c>
      <c r="P197" s="102">
        <f t="shared" si="99"/>
        <v>35</v>
      </c>
      <c r="Q197" s="102">
        <f t="shared" si="100"/>
        <v>3</v>
      </c>
      <c r="R197" s="102">
        <f t="shared" si="101"/>
        <v>3</v>
      </c>
      <c r="S197" s="102" t="str">
        <f t="shared" si="94"/>
        <v>0</v>
      </c>
      <c r="T197" s="102">
        <f t="shared" si="95"/>
        <v>5</v>
      </c>
      <c r="U197" s="102">
        <f t="shared" si="91"/>
        <v>18</v>
      </c>
      <c r="V197" s="102">
        <f t="shared" si="96"/>
        <v>89</v>
      </c>
      <c r="W197" s="103">
        <f t="shared" si="73"/>
        <v>45261</v>
      </c>
      <c r="X197" s="103">
        <f t="shared" si="74"/>
        <v>45286</v>
      </c>
      <c r="Y197" s="103">
        <f t="shared" si="75"/>
        <v>45321</v>
      </c>
      <c r="Z197" s="103">
        <f t="shared" si="76"/>
        <v>45324</v>
      </c>
      <c r="AA197" s="103">
        <f t="shared" si="77"/>
        <v>45327</v>
      </c>
      <c r="AB197" s="103" t="str">
        <f t="shared" si="78"/>
        <v>---</v>
      </c>
      <c r="AC197" s="103">
        <f t="shared" si="79"/>
        <v>45332</v>
      </c>
    </row>
    <row r="198" spans="1:29" ht="24">
      <c r="A198" s="116" t="s">
        <v>930</v>
      </c>
      <c r="B198" s="89" t="str">
        <f>IFERROR(VLOOKUP(A198,PAC!$A$2:$V$5011,2,0),"")</f>
        <v>Fornecimento de energia elétrica</v>
      </c>
      <c r="C198" s="90" t="s">
        <v>1212</v>
      </c>
      <c r="D198" s="98">
        <f>IFERROR(VLOOKUP(A198,PAC!$A$2:$V$5011,16,0),"")</f>
        <v>45292</v>
      </c>
      <c r="E198" s="99" t="str">
        <f>VLOOKUP(A198,PAC!$A$2:$V$5011,17,0)</f>
        <v>15 DIAS</v>
      </c>
      <c r="F198" s="100">
        <f>IFERROR(VLOOKUP(A198,PAC!$A$2:$V$5011,14,0),"")</f>
        <v>156000</v>
      </c>
      <c r="G198" s="100" t="str">
        <f>IFERROR(VLOOKUP(A198,PAC!$A$2:$V$5011,19,0),"")</f>
        <v>INEXIGIBILIDADE</v>
      </c>
      <c r="H198" s="111" t="s">
        <v>1180</v>
      </c>
      <c r="I198" s="111" t="s">
        <v>22</v>
      </c>
      <c r="J198" s="110">
        <f>SUMIF(PAC!$A$2:$A$5011,A198,PAC!$W$2:$W$5011)</f>
        <v>1</v>
      </c>
      <c r="K198" s="110">
        <f t="shared" si="97"/>
        <v>15</v>
      </c>
      <c r="L198" s="102">
        <f t="shared" si="98"/>
        <v>10</v>
      </c>
      <c r="M198" s="102" t="str">
        <f t="shared" ref="M198:M252" si="102">IF(AND(G198="Licitação"),IF(AND(H198=""),"0",IF(AND(H198="N"),20,IF(AND(H198="C"),40))),"0")</f>
        <v>0</v>
      </c>
      <c r="N198" s="102" t="str">
        <f t="shared" si="92"/>
        <v>0</v>
      </c>
      <c r="O198" s="102" t="str">
        <f t="shared" si="93"/>
        <v>0</v>
      </c>
      <c r="P198" s="102">
        <f t="shared" si="99"/>
        <v>35</v>
      </c>
      <c r="Q198" s="102">
        <f t="shared" si="100"/>
        <v>3</v>
      </c>
      <c r="R198" s="102">
        <f t="shared" si="101"/>
        <v>3</v>
      </c>
      <c r="S198" s="102" t="str">
        <f t="shared" si="94"/>
        <v>0</v>
      </c>
      <c r="T198" s="102">
        <f t="shared" si="95"/>
        <v>5</v>
      </c>
      <c r="U198" s="102">
        <f t="shared" si="91"/>
        <v>18</v>
      </c>
      <c r="V198" s="102">
        <f t="shared" si="96"/>
        <v>89</v>
      </c>
      <c r="W198" s="103">
        <f t="shared" ref="W198:W252" si="103">IF(AND($G198="licitação"),$D198-$V198,IF(AND($G198="dispensa"),$D198-$V198,IF(AND($G198="inexigibilidade"),$D198-$V198,IF(AND($G198="renovação"),"---",IF(AND($G198="prorrogação"),"---",IF(AND($G198=""),"---"))))))</f>
        <v>45203</v>
      </c>
      <c r="X198" s="103">
        <f t="shared" ref="X198:X252" si="104">IF(AND($G198="licitação"),$W198+$K198+$L198,IF(AND($G198="dispensa"),$W198+$K198+$L198,IF(AND($G198="inexigibilidade"),$W198+$K198+$L198,IF(AND($G198="renovação"),"---",IF(AND($G198="prorrogação"),"---",IF(AND($G198=""),"---"))))))</f>
        <v>45228</v>
      </c>
      <c r="Y198" s="103">
        <f t="shared" ref="Y198:Y252" si="105">IF(AND($G198="licitação"),$X198+$M198,IF(AND($G198="dispensa"),$X198+$P198,IF(AND($G198="inexigibilidade"),$X198+$P198,IF(AND($G198="prorrogação"),"---",IF(AND($G198="renovação"),"---",IF(AND($G198=""),"---"))))))</f>
        <v>45263</v>
      </c>
      <c r="Z198" s="103">
        <f t="shared" ref="Z198:Z252" si="106">IF(AND($G198="licitação"),$Y198+$N198,IF(AND($G198="dispensa"),$Y198+$Q198,IF(AND($G198="inexigibilidade"),$Y198+$Q198,IF(AND($G198="prorrogação"),"---",IF(AND($G198="renovação"),"---",IF(AND($G198=""),"---"))))))</f>
        <v>45266</v>
      </c>
      <c r="AA198" s="103">
        <f t="shared" ref="AA198:AA252" si="107">IF(AND($G198="licitação"),$Z198+$O198,IF(AND($G198="dispensa"),$Z198+$R198,IF(AND($G198="inexigibilidade"),$Z198+$R198,IF(AND($G198="prorrogação"),"---",IF(AND($G198="renovação"),"---",IF(AND($G198=""),"---"))))))</f>
        <v>45269</v>
      </c>
      <c r="AB198" s="103" t="str">
        <f t="shared" ref="AB198:AB252" si="108">IF(AND($G198="licitação"),"---",IF(AND($G198="dispensa"),"---",IF(AND($G198="inexigibilidade"),"---",IF(AND($G198="renovação"),$D198-$V198,IF(AND($G198="prorrogação"),$D198-$V198,IF(AND($G198=""),"---"))))))</f>
        <v>---</v>
      </c>
      <c r="AC198" s="103">
        <f t="shared" ref="AC198:AC252" si="109">IF(AND($G198="licitação"),AA198+T198,IF(AND($G198="dispensa"),AA198+T198,IF(AND($G198="inexigibilidade"),AA198+T198,IF(AND($G198="renovação"),$AB198+$S198,IF(AND($G198="prorrogação"),$AB198+$S198,IF(AND($G198=""),"---"))))))</f>
        <v>45274</v>
      </c>
    </row>
    <row r="199" spans="1:29" ht="15">
      <c r="A199" s="116" t="s">
        <v>932</v>
      </c>
      <c r="B199" s="89" t="str">
        <f>IFERROR(VLOOKUP(A199,PAC!$A$2:$V$5011,2,0),"")</f>
        <v>Modernização do sistema de refrigeração</v>
      </c>
      <c r="C199" s="90" t="s">
        <v>1212</v>
      </c>
      <c r="D199" s="98">
        <f>IFERROR(VLOOKUP(A199,PAC!$A$2:$V$5011,16,0),"")</f>
        <v>45595</v>
      </c>
      <c r="E199" s="99" t="str">
        <f>VLOOKUP(A199,PAC!$A$2:$V$5011,17,0)</f>
        <v>90 DIAS</v>
      </c>
      <c r="F199" s="100">
        <f>IFERROR(VLOOKUP(A199,PAC!$A$2:$V$5011,14,0),"")</f>
        <v>1210000</v>
      </c>
      <c r="G199" s="100" t="s">
        <v>310</v>
      </c>
      <c r="H199" s="111" t="s">
        <v>22</v>
      </c>
      <c r="I199" s="111" t="s">
        <v>22</v>
      </c>
      <c r="J199" s="110">
        <f>SUMIF(PAC!$A$2:$A$5011,A199,PAC!$W$2:$W$5011)</f>
        <v>1</v>
      </c>
      <c r="K199" s="110">
        <f t="shared" si="97"/>
        <v>15</v>
      </c>
      <c r="L199" s="102">
        <f t="shared" si="98"/>
        <v>10</v>
      </c>
      <c r="M199" s="102">
        <f t="shared" si="102"/>
        <v>20</v>
      </c>
      <c r="N199" s="102">
        <f t="shared" si="92"/>
        <v>15</v>
      </c>
      <c r="O199" s="102">
        <f t="shared" si="93"/>
        <v>25</v>
      </c>
      <c r="P199" s="102" t="str">
        <f t="shared" si="99"/>
        <v>0</v>
      </c>
      <c r="Q199" s="102" t="str">
        <f t="shared" si="100"/>
        <v>0</v>
      </c>
      <c r="R199" s="102" t="str">
        <f t="shared" si="101"/>
        <v>0</v>
      </c>
      <c r="S199" s="102" t="str">
        <f t="shared" si="94"/>
        <v>0</v>
      </c>
      <c r="T199" s="102">
        <f t="shared" si="95"/>
        <v>3</v>
      </c>
      <c r="U199" s="102">
        <f t="shared" si="91"/>
        <v>18</v>
      </c>
      <c r="V199" s="102">
        <f t="shared" si="96"/>
        <v>106</v>
      </c>
      <c r="W199" s="103">
        <f t="shared" si="103"/>
        <v>45489</v>
      </c>
      <c r="X199" s="103">
        <f t="shared" si="104"/>
        <v>45514</v>
      </c>
      <c r="Y199" s="103">
        <f t="shared" si="105"/>
        <v>45534</v>
      </c>
      <c r="Z199" s="103">
        <f t="shared" si="106"/>
        <v>45549</v>
      </c>
      <c r="AA199" s="103">
        <f t="shared" si="107"/>
        <v>45574</v>
      </c>
      <c r="AB199" s="103" t="str">
        <f t="shared" si="108"/>
        <v>---</v>
      </c>
      <c r="AC199" s="103">
        <f t="shared" si="109"/>
        <v>45577</v>
      </c>
    </row>
    <row r="200" spans="1:29" ht="15">
      <c r="A200" s="116" t="s">
        <v>938</v>
      </c>
      <c r="B200" s="89" t="str">
        <f>IFERROR(VLOOKUP(A200,PAC!$A$2:$V$5011,2,0),"")</f>
        <v>Recarga de extintores</v>
      </c>
      <c r="C200" s="90" t="s">
        <v>1212</v>
      </c>
      <c r="D200" s="98">
        <f>IFERROR(VLOOKUP(A200,PAC!$A$2:$V$5011,16,0),"")</f>
        <v>45504</v>
      </c>
      <c r="E200" s="99" t="str">
        <f>VLOOKUP(A200,PAC!$A$2:$V$5011,17,0)</f>
        <v>30 DIAS</v>
      </c>
      <c r="F200" s="100">
        <f>IFERROR(VLOOKUP(A200,PAC!$A$2:$V$5011,14,0),"")</f>
        <v>1920</v>
      </c>
      <c r="G200" s="100" t="str">
        <f>IFERROR(VLOOKUP(A200,PAC!$A$2:$V$5011,19,0),"")</f>
        <v>DISPENSA</v>
      </c>
      <c r="H200" s="111" t="s">
        <v>22</v>
      </c>
      <c r="I200" s="111" t="s">
        <v>22</v>
      </c>
      <c r="J200" s="110">
        <f>SUMIF(PAC!$A$2:$A$5011,A200,PAC!$W$2:$W$5011)</f>
        <v>1</v>
      </c>
      <c r="K200" s="110">
        <f t="shared" si="97"/>
        <v>15</v>
      </c>
      <c r="L200" s="102">
        <f t="shared" si="98"/>
        <v>10</v>
      </c>
      <c r="M200" s="102" t="str">
        <f t="shared" si="102"/>
        <v>0</v>
      </c>
      <c r="N200" s="102" t="str">
        <f t="shared" si="92"/>
        <v>0</v>
      </c>
      <c r="O200" s="102" t="str">
        <f t="shared" si="93"/>
        <v>0</v>
      </c>
      <c r="P200" s="102">
        <f t="shared" si="99"/>
        <v>35</v>
      </c>
      <c r="Q200" s="102">
        <f t="shared" si="100"/>
        <v>3</v>
      </c>
      <c r="R200" s="102">
        <f t="shared" si="101"/>
        <v>3</v>
      </c>
      <c r="S200" s="102" t="str">
        <f t="shared" si="94"/>
        <v>0</v>
      </c>
      <c r="T200" s="102">
        <f t="shared" si="95"/>
        <v>3</v>
      </c>
      <c r="U200" s="102">
        <f t="shared" si="91"/>
        <v>18</v>
      </c>
      <c r="V200" s="102">
        <f t="shared" si="96"/>
        <v>87</v>
      </c>
      <c r="W200" s="103">
        <f t="shared" si="103"/>
        <v>45417</v>
      </c>
      <c r="X200" s="103">
        <f t="shared" si="104"/>
        <v>45442</v>
      </c>
      <c r="Y200" s="103">
        <f t="shared" si="105"/>
        <v>45477</v>
      </c>
      <c r="Z200" s="103">
        <f t="shared" si="106"/>
        <v>45480</v>
      </c>
      <c r="AA200" s="103">
        <f t="shared" si="107"/>
        <v>45483</v>
      </c>
      <c r="AB200" s="103" t="str">
        <f t="shared" si="108"/>
        <v>---</v>
      </c>
      <c r="AC200" s="103">
        <f t="shared" si="109"/>
        <v>45486</v>
      </c>
    </row>
    <row r="201" spans="1:29" ht="15">
      <c r="A201" s="116" t="s">
        <v>942</v>
      </c>
      <c r="B201" s="89" t="str">
        <f>IFERROR(VLOOKUP(A201,PAC!$A$2:$V$5011,2,0),"")</f>
        <v>Recarga de extintores</v>
      </c>
      <c r="C201" s="90" t="s">
        <v>1212</v>
      </c>
      <c r="D201" s="98">
        <f>IFERROR(VLOOKUP(A201,PAC!$A$2:$V$5011,16,0),"")</f>
        <v>45504</v>
      </c>
      <c r="E201" s="99" t="str">
        <f>VLOOKUP(A201,PAC!$A$2:$V$5011,17,0)</f>
        <v>30 DIAS</v>
      </c>
      <c r="F201" s="100">
        <f>IFERROR(VLOOKUP(A201,PAC!$A$2:$V$5011,14,0),"")</f>
        <v>200</v>
      </c>
      <c r="G201" s="100" t="str">
        <f>IFERROR(VLOOKUP(A201,PAC!$A$2:$V$5011,19,0),"")</f>
        <v>DISPENSA</v>
      </c>
      <c r="H201" s="111" t="s">
        <v>1180</v>
      </c>
      <c r="I201" s="111" t="s">
        <v>22</v>
      </c>
      <c r="J201" s="110">
        <f>SUMIF(PAC!$A$2:$A$5011,A201,PAC!$W$2:$W$5011)</f>
        <v>1</v>
      </c>
      <c r="K201" s="110">
        <f t="shared" si="97"/>
        <v>15</v>
      </c>
      <c r="L201" s="102">
        <f t="shared" si="98"/>
        <v>10</v>
      </c>
      <c r="M201" s="102" t="str">
        <f t="shared" si="102"/>
        <v>0</v>
      </c>
      <c r="N201" s="102" t="str">
        <f t="shared" si="92"/>
        <v>0</v>
      </c>
      <c r="O201" s="102" t="str">
        <f t="shared" si="93"/>
        <v>0</v>
      </c>
      <c r="P201" s="102">
        <f t="shared" si="99"/>
        <v>35</v>
      </c>
      <c r="Q201" s="102">
        <f t="shared" si="100"/>
        <v>3</v>
      </c>
      <c r="R201" s="102">
        <f t="shared" si="101"/>
        <v>3</v>
      </c>
      <c r="S201" s="102" t="str">
        <f t="shared" si="94"/>
        <v>0</v>
      </c>
      <c r="T201" s="102">
        <f t="shared" si="95"/>
        <v>5</v>
      </c>
      <c r="U201" s="102">
        <f t="shared" si="91"/>
        <v>18</v>
      </c>
      <c r="V201" s="102">
        <f t="shared" si="96"/>
        <v>89</v>
      </c>
      <c r="W201" s="103">
        <f t="shared" si="103"/>
        <v>45415</v>
      </c>
      <c r="X201" s="103">
        <f t="shared" si="104"/>
        <v>45440</v>
      </c>
      <c r="Y201" s="103">
        <f t="shared" si="105"/>
        <v>45475</v>
      </c>
      <c r="Z201" s="103">
        <f t="shared" si="106"/>
        <v>45478</v>
      </c>
      <c r="AA201" s="103">
        <f t="shared" si="107"/>
        <v>45481</v>
      </c>
      <c r="AB201" s="103" t="str">
        <f t="shared" si="108"/>
        <v>---</v>
      </c>
      <c r="AC201" s="103">
        <f t="shared" si="109"/>
        <v>45486</v>
      </c>
    </row>
    <row r="202" spans="1:29" ht="15">
      <c r="A202" s="116" t="s">
        <v>945</v>
      </c>
      <c r="B202" s="89" t="str">
        <f>IFERROR(VLOOKUP(A202,PAC!$A$2:$V$5011,2,0),"")</f>
        <v>Recarga de extintores</v>
      </c>
      <c r="C202" s="90" t="s">
        <v>1212</v>
      </c>
      <c r="D202" s="98">
        <f>IFERROR(VLOOKUP(A202,PAC!$A$2:$V$5011,16,0),"")</f>
        <v>45504</v>
      </c>
      <c r="E202" s="99" t="str">
        <f>VLOOKUP(A202,PAC!$A$2:$V$5011,17,0)</f>
        <v>30 DIAS</v>
      </c>
      <c r="F202" s="100">
        <f>IFERROR(VLOOKUP(A202,PAC!$A$2:$V$5011,14,0),"")</f>
        <v>250</v>
      </c>
      <c r="G202" s="100" t="str">
        <f>IFERROR(VLOOKUP(A202,PAC!$A$2:$V$5011,19,0),"")</f>
        <v>DISPENSA</v>
      </c>
      <c r="H202" s="111" t="s">
        <v>1180</v>
      </c>
      <c r="I202" s="111" t="s">
        <v>22</v>
      </c>
      <c r="J202" s="110">
        <f>SUMIF(PAC!$A$2:$A$5011,A202,PAC!$W$2:$W$5011)</f>
        <v>1</v>
      </c>
      <c r="K202" s="110">
        <f t="shared" si="97"/>
        <v>15</v>
      </c>
      <c r="L202" s="102">
        <f t="shared" si="98"/>
        <v>10</v>
      </c>
      <c r="M202" s="102" t="str">
        <f t="shared" si="102"/>
        <v>0</v>
      </c>
      <c r="N202" s="102" t="str">
        <f t="shared" si="92"/>
        <v>0</v>
      </c>
      <c r="O202" s="102" t="str">
        <f t="shared" si="93"/>
        <v>0</v>
      </c>
      <c r="P202" s="102">
        <f t="shared" si="99"/>
        <v>35</v>
      </c>
      <c r="Q202" s="102">
        <f t="shared" si="100"/>
        <v>3</v>
      </c>
      <c r="R202" s="102">
        <f t="shared" si="101"/>
        <v>3</v>
      </c>
      <c r="S202" s="102" t="str">
        <f t="shared" si="94"/>
        <v>0</v>
      </c>
      <c r="T202" s="102">
        <f t="shared" si="95"/>
        <v>5</v>
      </c>
      <c r="U202" s="102">
        <f t="shared" si="91"/>
        <v>18</v>
      </c>
      <c r="V202" s="102">
        <f t="shared" si="96"/>
        <v>89</v>
      </c>
      <c r="W202" s="103">
        <f t="shared" si="103"/>
        <v>45415</v>
      </c>
      <c r="X202" s="103">
        <f t="shared" si="104"/>
        <v>45440</v>
      </c>
      <c r="Y202" s="103">
        <f t="shared" si="105"/>
        <v>45475</v>
      </c>
      <c r="Z202" s="103">
        <f t="shared" si="106"/>
        <v>45478</v>
      </c>
      <c r="AA202" s="103">
        <f t="shared" si="107"/>
        <v>45481</v>
      </c>
      <c r="AB202" s="103" t="str">
        <f t="shared" si="108"/>
        <v>---</v>
      </c>
      <c r="AC202" s="103">
        <f t="shared" si="109"/>
        <v>45486</v>
      </c>
    </row>
    <row r="203" spans="1:29" ht="15">
      <c r="A203" s="116" t="s">
        <v>946</v>
      </c>
      <c r="B203" s="89" t="str">
        <f>IFERROR(VLOOKUP(A203,PAC!$A$2:$V$5011,2,0),"")</f>
        <v>Recarga de extintores</v>
      </c>
      <c r="C203" s="90" t="s">
        <v>1212</v>
      </c>
      <c r="D203" s="98">
        <f>IFERROR(VLOOKUP(A203,PAC!$A$2:$V$5011,16,0),"")</f>
        <v>45504</v>
      </c>
      <c r="E203" s="99" t="str">
        <f>VLOOKUP(A203,PAC!$A$2:$V$5011,17,0)</f>
        <v>30 DIAS</v>
      </c>
      <c r="F203" s="100">
        <f>IFERROR(VLOOKUP(A203,PAC!$A$2:$V$5011,14,0),"")</f>
        <v>90</v>
      </c>
      <c r="G203" s="100" t="str">
        <f>IFERROR(VLOOKUP(A203,PAC!$A$2:$V$5011,19,0),"")</f>
        <v>DISPENSA</v>
      </c>
      <c r="H203" s="111" t="s">
        <v>22</v>
      </c>
      <c r="I203" s="111" t="s">
        <v>22</v>
      </c>
      <c r="J203" s="110">
        <f>SUMIF(PAC!$A$2:$A$5011,A203,PAC!$W$2:$W$5011)</f>
        <v>1</v>
      </c>
      <c r="K203" s="110">
        <f t="shared" si="97"/>
        <v>15</v>
      </c>
      <c r="L203" s="102">
        <f t="shared" si="98"/>
        <v>10</v>
      </c>
      <c r="M203" s="102" t="str">
        <f t="shared" si="102"/>
        <v>0</v>
      </c>
      <c r="N203" s="102" t="str">
        <f t="shared" si="92"/>
        <v>0</v>
      </c>
      <c r="O203" s="102" t="str">
        <f t="shared" si="93"/>
        <v>0</v>
      </c>
      <c r="P203" s="102">
        <f t="shared" si="99"/>
        <v>35</v>
      </c>
      <c r="Q203" s="102">
        <f t="shared" si="100"/>
        <v>3</v>
      </c>
      <c r="R203" s="102">
        <f t="shared" si="101"/>
        <v>3</v>
      </c>
      <c r="S203" s="102" t="str">
        <f t="shared" si="94"/>
        <v>0</v>
      </c>
      <c r="T203" s="102">
        <f t="shared" si="95"/>
        <v>3</v>
      </c>
      <c r="U203" s="102">
        <f t="shared" si="91"/>
        <v>18</v>
      </c>
      <c r="V203" s="102">
        <f t="shared" si="96"/>
        <v>87</v>
      </c>
      <c r="W203" s="103">
        <f t="shared" si="103"/>
        <v>45417</v>
      </c>
      <c r="X203" s="103">
        <f t="shared" si="104"/>
        <v>45442</v>
      </c>
      <c r="Y203" s="103">
        <f t="shared" si="105"/>
        <v>45477</v>
      </c>
      <c r="Z203" s="103">
        <f t="shared" si="106"/>
        <v>45480</v>
      </c>
      <c r="AA203" s="103">
        <f t="shared" si="107"/>
        <v>45483</v>
      </c>
      <c r="AB203" s="103" t="str">
        <f t="shared" si="108"/>
        <v>---</v>
      </c>
      <c r="AC203" s="103">
        <f t="shared" si="109"/>
        <v>45486</v>
      </c>
    </row>
    <row r="204" spans="1:29" ht="15">
      <c r="A204" s="116" t="s">
        <v>949</v>
      </c>
      <c r="B204" s="89" t="str">
        <f>IFERROR(VLOOKUP(A204,PAC!$A$2:$V$5011,2,0),"")</f>
        <v>Recarga de extintores</v>
      </c>
      <c r="C204" s="90" t="s">
        <v>1212</v>
      </c>
      <c r="D204" s="98">
        <f>IFERROR(VLOOKUP(A204,PAC!$A$2:$V$5011,16,0),"")</f>
        <v>45504</v>
      </c>
      <c r="E204" s="99" t="str">
        <f>VLOOKUP(A204,PAC!$A$2:$V$5011,17,0)</f>
        <v>30 DIAS</v>
      </c>
      <c r="F204" s="100">
        <f>IFERROR(VLOOKUP(A204,PAC!$A$2:$V$5011,14,0),"")</f>
        <v>580</v>
      </c>
      <c r="G204" s="100" t="str">
        <f>IFERROR(VLOOKUP(A204,PAC!$A$2:$V$5011,19,0),"")</f>
        <v>DISPENSA</v>
      </c>
      <c r="H204" s="111" t="s">
        <v>22</v>
      </c>
      <c r="I204" s="111" t="s">
        <v>22</v>
      </c>
      <c r="J204" s="110">
        <f>SUMIF(PAC!$A$2:$A$5011,A204,PAC!$W$2:$W$5011)</f>
        <v>1</v>
      </c>
      <c r="K204" s="110">
        <f t="shared" si="97"/>
        <v>15</v>
      </c>
      <c r="L204" s="102">
        <f t="shared" si="98"/>
        <v>10</v>
      </c>
      <c r="M204" s="102" t="str">
        <f t="shared" si="102"/>
        <v>0</v>
      </c>
      <c r="N204" s="102" t="str">
        <f t="shared" si="92"/>
        <v>0</v>
      </c>
      <c r="O204" s="102" t="str">
        <f t="shared" si="93"/>
        <v>0</v>
      </c>
      <c r="P204" s="102">
        <f t="shared" si="99"/>
        <v>35</v>
      </c>
      <c r="Q204" s="102">
        <f t="shared" si="100"/>
        <v>3</v>
      </c>
      <c r="R204" s="102">
        <f t="shared" si="101"/>
        <v>3</v>
      </c>
      <c r="S204" s="102" t="str">
        <f t="shared" si="94"/>
        <v>0</v>
      </c>
      <c r="T204" s="102">
        <f t="shared" si="95"/>
        <v>3</v>
      </c>
      <c r="U204" s="102">
        <f t="shared" si="91"/>
        <v>18</v>
      </c>
      <c r="V204" s="102">
        <f t="shared" si="96"/>
        <v>87</v>
      </c>
      <c r="W204" s="103">
        <f t="shared" si="103"/>
        <v>45417</v>
      </c>
      <c r="X204" s="103">
        <f t="shared" si="104"/>
        <v>45442</v>
      </c>
      <c r="Y204" s="103">
        <f t="shared" si="105"/>
        <v>45477</v>
      </c>
      <c r="Z204" s="103">
        <f t="shared" si="106"/>
        <v>45480</v>
      </c>
      <c r="AA204" s="103">
        <f t="shared" si="107"/>
        <v>45483</v>
      </c>
      <c r="AB204" s="103" t="str">
        <f t="shared" si="108"/>
        <v>---</v>
      </c>
      <c r="AC204" s="103">
        <f t="shared" si="109"/>
        <v>45486</v>
      </c>
    </row>
    <row r="205" spans="1:29" ht="36">
      <c r="A205" s="116" t="s">
        <v>953</v>
      </c>
      <c r="B205" s="89" t="str">
        <f>IFERROR(VLOOKUP(A205,PAC!$A$2:$V$5011,2,0),"")</f>
        <v>Limpeza / manutenção preventiva e corretiva da Estação de Tratamento de Efluentes – ETE</v>
      </c>
      <c r="C205" s="90" t="s">
        <v>1212</v>
      </c>
      <c r="D205" s="98">
        <f>IFERROR(VLOOKUP(A205,PAC!$A$2:$V$5011,16,0),"")</f>
        <v>45504</v>
      </c>
      <c r="E205" s="99" t="str">
        <f>VLOOKUP(A205,PAC!$A$2:$V$5011,17,0)</f>
        <v>30 DIAS</v>
      </c>
      <c r="F205" s="100">
        <f>IFERROR(VLOOKUP(A205,PAC!$A$2:$V$5011,14,0),"")</f>
        <v>3500</v>
      </c>
      <c r="G205" s="100" t="str">
        <f>IFERROR(VLOOKUP(A205,PAC!$A$2:$V$5011,19,0),"")</f>
        <v>DISPENSA</v>
      </c>
      <c r="H205" s="111" t="s">
        <v>22</v>
      </c>
      <c r="I205" s="111" t="s">
        <v>22</v>
      </c>
      <c r="J205" s="110">
        <f>SUMIF(PAC!$A$2:$A$5011,A205,PAC!$W$2:$W$5011)</f>
        <v>1</v>
      </c>
      <c r="K205" s="110">
        <f t="shared" si="97"/>
        <v>15</v>
      </c>
      <c r="L205" s="102">
        <f t="shared" si="98"/>
        <v>10</v>
      </c>
      <c r="M205" s="102" t="str">
        <f t="shared" si="102"/>
        <v>0</v>
      </c>
      <c r="N205" s="102" t="str">
        <f t="shared" si="92"/>
        <v>0</v>
      </c>
      <c r="O205" s="102" t="str">
        <f t="shared" si="93"/>
        <v>0</v>
      </c>
      <c r="P205" s="102">
        <f t="shared" si="99"/>
        <v>35</v>
      </c>
      <c r="Q205" s="102">
        <f t="shared" si="100"/>
        <v>3</v>
      </c>
      <c r="R205" s="102">
        <f t="shared" si="101"/>
        <v>3</v>
      </c>
      <c r="S205" s="102" t="str">
        <f t="shared" si="94"/>
        <v>0</v>
      </c>
      <c r="T205" s="102">
        <f t="shared" si="95"/>
        <v>3</v>
      </c>
      <c r="U205" s="102">
        <f t="shared" si="91"/>
        <v>18</v>
      </c>
      <c r="V205" s="102">
        <f t="shared" si="96"/>
        <v>87</v>
      </c>
      <c r="W205" s="103">
        <f t="shared" si="103"/>
        <v>45417</v>
      </c>
      <c r="X205" s="103">
        <f t="shared" si="104"/>
        <v>45442</v>
      </c>
      <c r="Y205" s="103">
        <f t="shared" si="105"/>
        <v>45477</v>
      </c>
      <c r="Z205" s="103">
        <f t="shared" si="106"/>
        <v>45480</v>
      </c>
      <c r="AA205" s="103">
        <f t="shared" si="107"/>
        <v>45483</v>
      </c>
      <c r="AB205" s="103" t="str">
        <f t="shared" si="108"/>
        <v>---</v>
      </c>
      <c r="AC205" s="103">
        <f t="shared" si="109"/>
        <v>45486</v>
      </c>
    </row>
    <row r="206" spans="1:29" ht="36">
      <c r="A206" s="116" t="s">
        <v>958</v>
      </c>
      <c r="B206" s="89" t="str">
        <f>IFERROR(VLOOKUP(A206,PAC!$A$2:$V$5011,2,0),"")</f>
        <v>Limpeza periódica das placas solares e manutenção da mini usina solar fotovoltaica</v>
      </c>
      <c r="C206" s="90" t="s">
        <v>1212</v>
      </c>
      <c r="D206" s="98">
        <f>IFERROR(VLOOKUP(A206,PAC!$A$2:$V$5011,16,0),"")</f>
        <v>45382</v>
      </c>
      <c r="E206" s="99" t="str">
        <f>VLOOKUP(A206,PAC!$A$2:$V$5011,17,0)</f>
        <v>90 DIAS</v>
      </c>
      <c r="F206" s="100">
        <f>IFERROR(VLOOKUP(A206,PAC!$A$2:$V$5011,14,0),"")</f>
        <v>32080</v>
      </c>
      <c r="G206" s="100" t="str">
        <f>IFERROR(VLOOKUP(A206,PAC!$A$2:$V$5011,19,0),"")</f>
        <v>LICITAÇÃO</v>
      </c>
      <c r="H206" s="111" t="s">
        <v>22</v>
      </c>
      <c r="I206" s="111" t="s">
        <v>22</v>
      </c>
      <c r="J206" s="110">
        <f>SUMIF(PAC!$A$2:$A$5011,A206,PAC!$W$2:$W$5011)</f>
        <v>1</v>
      </c>
      <c r="K206" s="110">
        <f t="shared" si="97"/>
        <v>15</v>
      </c>
      <c r="L206" s="102">
        <f t="shared" si="98"/>
        <v>10</v>
      </c>
      <c r="M206" s="102">
        <f t="shared" si="102"/>
        <v>20</v>
      </c>
      <c r="N206" s="102">
        <f t="shared" si="92"/>
        <v>15</v>
      </c>
      <c r="O206" s="102">
        <f t="shared" si="93"/>
        <v>25</v>
      </c>
      <c r="P206" s="102" t="str">
        <f t="shared" si="99"/>
        <v>0</v>
      </c>
      <c r="Q206" s="102" t="str">
        <f t="shared" si="100"/>
        <v>0</v>
      </c>
      <c r="R206" s="102" t="str">
        <f t="shared" si="101"/>
        <v>0</v>
      </c>
      <c r="S206" s="102" t="str">
        <f t="shared" si="94"/>
        <v>0</v>
      </c>
      <c r="T206" s="102">
        <f t="shared" si="95"/>
        <v>3</v>
      </c>
      <c r="U206" s="102">
        <f t="shared" si="91"/>
        <v>18</v>
      </c>
      <c r="V206" s="102">
        <f t="shared" si="96"/>
        <v>106</v>
      </c>
      <c r="W206" s="103">
        <f t="shared" si="103"/>
        <v>45276</v>
      </c>
      <c r="X206" s="103">
        <f t="shared" si="104"/>
        <v>45301</v>
      </c>
      <c r="Y206" s="103">
        <f t="shared" si="105"/>
        <v>45321</v>
      </c>
      <c r="Z206" s="103">
        <f t="shared" si="106"/>
        <v>45336</v>
      </c>
      <c r="AA206" s="103">
        <f t="shared" si="107"/>
        <v>45361</v>
      </c>
      <c r="AB206" s="103" t="str">
        <f t="shared" si="108"/>
        <v>---</v>
      </c>
      <c r="AC206" s="103">
        <f t="shared" si="109"/>
        <v>45364</v>
      </c>
    </row>
    <row r="207" spans="1:29" ht="24">
      <c r="A207" s="116" t="s">
        <v>963</v>
      </c>
      <c r="B207" s="89" t="str">
        <f>IFERROR(VLOOKUP(A207,PAC!$A$2:$V$5011,2,0),"")</f>
        <v>Aquisição de veículo utilitário tipo pikcup e acessórios</v>
      </c>
      <c r="C207" s="90" t="s">
        <v>1212</v>
      </c>
      <c r="D207" s="98">
        <f>IFERROR(VLOOKUP(A207,PAC!$A$2:$V$5011,16,0),"")</f>
        <v>45322</v>
      </c>
      <c r="E207" s="99" t="str">
        <f>VLOOKUP(A207,PAC!$A$2:$V$5011,17,0)</f>
        <v>90 DIAS</v>
      </c>
      <c r="F207" s="100">
        <f>IFERROR(VLOOKUP(A207,PAC!$A$2:$V$5011,14,0),"")</f>
        <v>320000</v>
      </c>
      <c r="G207" s="100" t="str">
        <f>IFERROR(VLOOKUP(A207,PAC!$A$2:$V$5011,19,0),"")</f>
        <v>LICITAÇÃO</v>
      </c>
      <c r="H207" s="111" t="s">
        <v>22</v>
      </c>
      <c r="I207" s="111" t="s">
        <v>22</v>
      </c>
      <c r="J207" s="110">
        <f>SUMIF(PAC!$A$2:$A$5011,A207,PAC!$W$2:$W$5011)</f>
        <v>1</v>
      </c>
      <c r="K207" s="110">
        <f t="shared" si="97"/>
        <v>15</v>
      </c>
      <c r="L207" s="102">
        <f t="shared" si="98"/>
        <v>10</v>
      </c>
      <c r="M207" s="102">
        <f t="shared" si="102"/>
        <v>20</v>
      </c>
      <c r="N207" s="102">
        <f t="shared" si="92"/>
        <v>15</v>
      </c>
      <c r="O207" s="102">
        <f t="shared" si="93"/>
        <v>25</v>
      </c>
      <c r="P207" s="102" t="str">
        <f t="shared" si="99"/>
        <v>0</v>
      </c>
      <c r="Q207" s="102" t="str">
        <f t="shared" si="100"/>
        <v>0</v>
      </c>
      <c r="R207" s="102" t="str">
        <f t="shared" si="101"/>
        <v>0</v>
      </c>
      <c r="S207" s="102" t="str">
        <f t="shared" si="94"/>
        <v>0</v>
      </c>
      <c r="T207" s="102">
        <f t="shared" si="95"/>
        <v>3</v>
      </c>
      <c r="U207" s="102">
        <f t="shared" si="91"/>
        <v>18</v>
      </c>
      <c r="V207" s="102">
        <f t="shared" si="96"/>
        <v>106</v>
      </c>
      <c r="W207" s="103">
        <f t="shared" si="103"/>
        <v>45216</v>
      </c>
      <c r="X207" s="103">
        <f t="shared" si="104"/>
        <v>45241</v>
      </c>
      <c r="Y207" s="103">
        <f t="shared" si="105"/>
        <v>45261</v>
      </c>
      <c r="Z207" s="103">
        <f t="shared" si="106"/>
        <v>45276</v>
      </c>
      <c r="AA207" s="103">
        <f t="shared" si="107"/>
        <v>45301</v>
      </c>
      <c r="AB207" s="103" t="str">
        <f t="shared" si="108"/>
        <v>---</v>
      </c>
      <c r="AC207" s="103">
        <f t="shared" si="109"/>
        <v>45304</v>
      </c>
    </row>
    <row r="208" spans="1:29" ht="24">
      <c r="A208" s="116" t="s">
        <v>970</v>
      </c>
      <c r="B208" s="89" t="str">
        <f>IFERROR(VLOOKUP(A208,PAC!$A$2:$V$5011,2,0),"")</f>
        <v>Refrigeração da edícula da subestação de energia elétrica e adequação do ambiente</v>
      </c>
      <c r="C208" s="90" t="s">
        <v>1212</v>
      </c>
      <c r="D208" s="98">
        <f>IFERROR(VLOOKUP(A208,PAC!$A$2:$V$5011,16,0),"")</f>
        <v>45371</v>
      </c>
      <c r="E208" s="99" t="str">
        <f>VLOOKUP(A208,PAC!$A$2:$V$5011,17,0)</f>
        <v>30 DIAS</v>
      </c>
      <c r="F208" s="100">
        <f>IFERROR(VLOOKUP(A208,PAC!$A$2:$V$5011,14,0),"")</f>
        <v>28446.16</v>
      </c>
      <c r="G208" s="100" t="str">
        <f>IFERROR(VLOOKUP(A208,PAC!$A$2:$V$5011,19,0),"")</f>
        <v>DISPENSA</v>
      </c>
      <c r="H208" s="111" t="s">
        <v>22</v>
      </c>
      <c r="I208" s="111" t="s">
        <v>22</v>
      </c>
      <c r="J208" s="110">
        <f>SUMIF(PAC!$A$2:$A$5011,A208,PAC!$W$2:$W$5011)</f>
        <v>1</v>
      </c>
      <c r="K208" s="110">
        <f t="shared" si="97"/>
        <v>15</v>
      </c>
      <c r="L208" s="102">
        <f t="shared" si="98"/>
        <v>10</v>
      </c>
      <c r="M208" s="102" t="str">
        <f t="shared" si="102"/>
        <v>0</v>
      </c>
      <c r="N208" s="102" t="str">
        <f t="shared" si="92"/>
        <v>0</v>
      </c>
      <c r="O208" s="102" t="str">
        <f t="shared" si="93"/>
        <v>0</v>
      </c>
      <c r="P208" s="102">
        <f t="shared" si="99"/>
        <v>35</v>
      </c>
      <c r="Q208" s="102">
        <f t="shared" si="100"/>
        <v>3</v>
      </c>
      <c r="R208" s="102">
        <f t="shared" si="101"/>
        <v>3</v>
      </c>
      <c r="S208" s="102" t="str">
        <f t="shared" si="94"/>
        <v>0</v>
      </c>
      <c r="T208" s="102">
        <f t="shared" si="95"/>
        <v>3</v>
      </c>
      <c r="U208" s="102">
        <f t="shared" si="91"/>
        <v>18</v>
      </c>
      <c r="V208" s="102">
        <f t="shared" si="96"/>
        <v>87</v>
      </c>
      <c r="W208" s="103">
        <f t="shared" si="103"/>
        <v>45284</v>
      </c>
      <c r="X208" s="103">
        <f t="shared" si="104"/>
        <v>45309</v>
      </c>
      <c r="Y208" s="103">
        <f t="shared" si="105"/>
        <v>45344</v>
      </c>
      <c r="Z208" s="103">
        <f t="shared" si="106"/>
        <v>45347</v>
      </c>
      <c r="AA208" s="103">
        <f t="shared" si="107"/>
        <v>45350</v>
      </c>
      <c r="AB208" s="103" t="str">
        <f t="shared" si="108"/>
        <v>---</v>
      </c>
      <c r="AC208" s="103">
        <f t="shared" si="109"/>
        <v>45353</v>
      </c>
    </row>
    <row r="209" spans="1:29" ht="15">
      <c r="A209" s="116" t="s">
        <v>974</v>
      </c>
      <c r="B209" s="89" t="str">
        <f>IFERROR(VLOOKUP(A209,PAC!$A$2:$V$5011,2,0),"")</f>
        <v>Troca da usca ou conserto</v>
      </c>
      <c r="C209" s="90" t="s">
        <v>1212</v>
      </c>
      <c r="D209" s="98">
        <f>IFERROR(VLOOKUP(A209,PAC!$A$2:$V$5011,16,0),"")</f>
        <v>45443</v>
      </c>
      <c r="E209" s="99" t="str">
        <f>VLOOKUP(A209,PAC!$A$2:$V$5011,17,0)</f>
        <v>90 DIAS</v>
      </c>
      <c r="F209" s="100">
        <f>IFERROR(VLOOKUP(A209,PAC!$A$2:$V$5011,14,0),"")</f>
        <v>93568.5</v>
      </c>
      <c r="G209" s="100" t="str">
        <f>IFERROR(VLOOKUP(A209,PAC!$A$2:$V$5011,19,0),"")</f>
        <v>LICITAÇÃO</v>
      </c>
      <c r="H209" s="111" t="s">
        <v>22</v>
      </c>
      <c r="I209" s="111" t="s">
        <v>22</v>
      </c>
      <c r="J209" s="110">
        <f>SUMIF(PAC!$A$2:$A$5011,A209,PAC!$W$2:$W$5011)</f>
        <v>1</v>
      </c>
      <c r="K209" s="110">
        <f t="shared" si="97"/>
        <v>15</v>
      </c>
      <c r="L209" s="102">
        <f t="shared" si="98"/>
        <v>10</v>
      </c>
      <c r="M209" s="102">
        <f t="shared" si="102"/>
        <v>20</v>
      </c>
      <c r="N209" s="102">
        <f t="shared" si="92"/>
        <v>15</v>
      </c>
      <c r="O209" s="102">
        <f t="shared" si="93"/>
        <v>25</v>
      </c>
      <c r="P209" s="102" t="str">
        <f t="shared" si="99"/>
        <v>0</v>
      </c>
      <c r="Q209" s="102" t="str">
        <f t="shared" si="100"/>
        <v>0</v>
      </c>
      <c r="R209" s="102" t="str">
        <f t="shared" si="101"/>
        <v>0</v>
      </c>
      <c r="S209" s="102" t="str">
        <f t="shared" si="94"/>
        <v>0</v>
      </c>
      <c r="T209" s="102">
        <f t="shared" si="95"/>
        <v>3</v>
      </c>
      <c r="U209" s="102">
        <f t="shared" si="91"/>
        <v>18</v>
      </c>
      <c r="V209" s="102">
        <f t="shared" si="96"/>
        <v>106</v>
      </c>
      <c r="W209" s="103">
        <f t="shared" si="103"/>
        <v>45337</v>
      </c>
      <c r="X209" s="103">
        <f t="shared" si="104"/>
        <v>45362</v>
      </c>
      <c r="Y209" s="103">
        <f t="shared" si="105"/>
        <v>45382</v>
      </c>
      <c r="Z209" s="103">
        <f t="shared" si="106"/>
        <v>45397</v>
      </c>
      <c r="AA209" s="103">
        <f t="shared" si="107"/>
        <v>45422</v>
      </c>
      <c r="AB209" s="103" t="str">
        <f t="shared" si="108"/>
        <v>---</v>
      </c>
      <c r="AC209" s="103">
        <f t="shared" si="109"/>
        <v>45425</v>
      </c>
    </row>
    <row r="210" spans="1:29" ht="15">
      <c r="A210" s="116" t="s">
        <v>978</v>
      </c>
      <c r="B210" s="89" t="str">
        <f>IFERROR(VLOOKUP(A210,PAC!$A$2:$V$5011,2,0),"")</f>
        <v>Câmaras externas – modernização</v>
      </c>
      <c r="C210" s="90" t="s">
        <v>1212</v>
      </c>
      <c r="D210" s="98">
        <f>IFERROR(VLOOKUP(A210,PAC!$A$2:$V$5011,16,0),"")</f>
        <v>45443</v>
      </c>
      <c r="E210" s="99" t="str">
        <f>VLOOKUP(A210,PAC!$A$2:$V$5011,17,0)</f>
        <v>30 DIAS</v>
      </c>
      <c r="F210" s="100">
        <f>IFERROR(VLOOKUP(A210,PAC!$A$2:$V$5011,14,0),"")</f>
        <v>15000</v>
      </c>
      <c r="G210" s="100" t="str">
        <f>IFERROR(VLOOKUP(A210,PAC!$A$2:$V$5011,19,0),"")</f>
        <v>DISPENSA</v>
      </c>
      <c r="H210" s="111" t="s">
        <v>22</v>
      </c>
      <c r="I210" s="111" t="s">
        <v>22</v>
      </c>
      <c r="J210" s="110">
        <f>SUMIF(PAC!$A$2:$A$5011,A210,PAC!$W$2:$W$5011)</f>
        <v>1</v>
      </c>
      <c r="K210" s="110">
        <f t="shared" si="97"/>
        <v>15</v>
      </c>
      <c r="L210" s="102">
        <f t="shared" si="98"/>
        <v>10</v>
      </c>
      <c r="M210" s="102" t="str">
        <f t="shared" si="102"/>
        <v>0</v>
      </c>
      <c r="N210" s="102" t="str">
        <f t="shared" si="92"/>
        <v>0</v>
      </c>
      <c r="O210" s="102" t="str">
        <f t="shared" si="93"/>
        <v>0</v>
      </c>
      <c r="P210" s="102">
        <f t="shared" si="99"/>
        <v>35</v>
      </c>
      <c r="Q210" s="102">
        <f t="shared" si="100"/>
        <v>3</v>
      </c>
      <c r="R210" s="102">
        <f t="shared" si="101"/>
        <v>3</v>
      </c>
      <c r="S210" s="102" t="str">
        <f t="shared" si="94"/>
        <v>0</v>
      </c>
      <c r="T210" s="102">
        <f t="shared" si="95"/>
        <v>3</v>
      </c>
      <c r="U210" s="102">
        <f t="shared" si="91"/>
        <v>18</v>
      </c>
      <c r="V210" s="102">
        <f t="shared" si="96"/>
        <v>87</v>
      </c>
      <c r="W210" s="103">
        <f t="shared" si="103"/>
        <v>45356</v>
      </c>
      <c r="X210" s="103">
        <f t="shared" si="104"/>
        <v>45381</v>
      </c>
      <c r="Y210" s="103">
        <f t="shared" si="105"/>
        <v>45416</v>
      </c>
      <c r="Z210" s="103">
        <f t="shared" si="106"/>
        <v>45419</v>
      </c>
      <c r="AA210" s="103">
        <f t="shared" si="107"/>
        <v>45422</v>
      </c>
      <c r="AB210" s="103" t="str">
        <f t="shared" si="108"/>
        <v>---</v>
      </c>
      <c r="AC210" s="103">
        <f t="shared" si="109"/>
        <v>45425</v>
      </c>
    </row>
    <row r="211" spans="1:29" ht="36">
      <c r="A211" s="116" t="s">
        <v>984</v>
      </c>
      <c r="B211" s="89" t="str">
        <f>IFERROR(VLOOKUP(A211,PAC!$A$2:$V$5011,2,0),"")</f>
        <v>Diversas demandas relacionadas à reforma predial não contempladas na reforma (modernização) de 2022.</v>
      </c>
      <c r="C211" s="90" t="s">
        <v>1212</v>
      </c>
      <c r="D211" s="98">
        <f>IFERROR(VLOOKUP(A211,PAC!$A$2:$V$5011,16,0),"")</f>
        <v>45412</v>
      </c>
      <c r="E211" s="99" t="str">
        <f>VLOOKUP(A211,PAC!$A$2:$V$5011,17,0)</f>
        <v>90 DIAS</v>
      </c>
      <c r="F211" s="100">
        <f>IFERROR(VLOOKUP(A211,PAC!$A$2:$V$5011,14,0),"")</f>
        <v>220454.66</v>
      </c>
      <c r="G211" s="100" t="str">
        <f>IFERROR(VLOOKUP(A211,PAC!$A$2:$V$5011,19,0),"")</f>
        <v>LICITAÇÃO</v>
      </c>
      <c r="H211" s="111" t="s">
        <v>22</v>
      </c>
      <c r="I211" s="111" t="s">
        <v>22</v>
      </c>
      <c r="J211" s="110">
        <f>SUMIF(PAC!$A$2:$A$5011,A211,PAC!$W$2:$W$5011)</f>
        <v>1</v>
      </c>
      <c r="K211" s="110">
        <f t="shared" si="97"/>
        <v>15</v>
      </c>
      <c r="L211" s="102">
        <f t="shared" si="98"/>
        <v>10</v>
      </c>
      <c r="M211" s="102">
        <f t="shared" si="102"/>
        <v>20</v>
      </c>
      <c r="N211" s="102">
        <f t="shared" si="92"/>
        <v>15</v>
      </c>
      <c r="O211" s="102">
        <f t="shared" si="93"/>
        <v>25</v>
      </c>
      <c r="P211" s="102" t="str">
        <f t="shared" si="99"/>
        <v>0</v>
      </c>
      <c r="Q211" s="102" t="str">
        <f t="shared" si="100"/>
        <v>0</v>
      </c>
      <c r="R211" s="102" t="str">
        <f t="shared" si="101"/>
        <v>0</v>
      </c>
      <c r="S211" s="102" t="str">
        <f t="shared" si="94"/>
        <v>0</v>
      </c>
      <c r="T211" s="102">
        <f t="shared" si="95"/>
        <v>3</v>
      </c>
      <c r="U211" s="102">
        <f t="shared" si="91"/>
        <v>18</v>
      </c>
      <c r="V211" s="102">
        <f t="shared" si="96"/>
        <v>106</v>
      </c>
      <c r="W211" s="103">
        <f t="shared" si="103"/>
        <v>45306</v>
      </c>
      <c r="X211" s="103">
        <f t="shared" si="104"/>
        <v>45331</v>
      </c>
      <c r="Y211" s="103">
        <f t="shared" si="105"/>
        <v>45351</v>
      </c>
      <c r="Z211" s="103">
        <f t="shared" si="106"/>
        <v>45366</v>
      </c>
      <c r="AA211" s="103">
        <f t="shared" si="107"/>
        <v>45391</v>
      </c>
      <c r="AB211" s="103" t="str">
        <f t="shared" si="108"/>
        <v>---</v>
      </c>
      <c r="AC211" s="103">
        <f t="shared" si="109"/>
        <v>45394</v>
      </c>
    </row>
    <row r="212" spans="1:29" ht="15">
      <c r="A212" s="116" t="s">
        <v>988</v>
      </c>
      <c r="B212" s="89" t="str">
        <f>IFERROR(VLOOKUP(A212,PAC!$A$2:$V$5011,2,0),"")</f>
        <v>Conserto do portão de veículos</v>
      </c>
      <c r="C212" s="90" t="s">
        <v>1212</v>
      </c>
      <c r="D212" s="98">
        <f>IFERROR(VLOOKUP(A212,PAC!$A$2:$V$5011,16,0),"")</f>
        <v>45322</v>
      </c>
      <c r="E212" s="99" t="str">
        <f>VLOOKUP(A212,PAC!$A$2:$V$5011,17,0)</f>
        <v>30 DIAS</v>
      </c>
      <c r="F212" s="100">
        <f>IFERROR(VLOOKUP(A212,PAC!$A$2:$V$5011,14,0),"")</f>
        <v>1800</v>
      </c>
      <c r="G212" s="100" t="str">
        <f>IFERROR(VLOOKUP(A212,PAC!$A$2:$V$5011,19,0),"")</f>
        <v>DISPENSA</v>
      </c>
      <c r="H212" s="111" t="s">
        <v>22</v>
      </c>
      <c r="I212" s="111" t="s">
        <v>22</v>
      </c>
      <c r="J212" s="110">
        <f>SUMIF(PAC!$A$2:$A$5011,A212,PAC!$W$2:$W$5011)</f>
        <v>1</v>
      </c>
      <c r="K212" s="110">
        <f t="shared" si="97"/>
        <v>15</v>
      </c>
      <c r="L212" s="102">
        <f t="shared" si="98"/>
        <v>10</v>
      </c>
      <c r="M212" s="102" t="str">
        <f t="shared" si="102"/>
        <v>0</v>
      </c>
      <c r="N212" s="102" t="str">
        <f t="shared" si="92"/>
        <v>0</v>
      </c>
      <c r="O212" s="102" t="str">
        <f t="shared" si="93"/>
        <v>0</v>
      </c>
      <c r="P212" s="102">
        <f t="shared" si="99"/>
        <v>35</v>
      </c>
      <c r="Q212" s="102">
        <f t="shared" si="100"/>
        <v>3</v>
      </c>
      <c r="R212" s="102">
        <f t="shared" si="101"/>
        <v>3</v>
      </c>
      <c r="S212" s="102" t="str">
        <f t="shared" si="94"/>
        <v>0</v>
      </c>
      <c r="T212" s="102">
        <f t="shared" si="95"/>
        <v>3</v>
      </c>
      <c r="U212" s="102">
        <f t="shared" si="91"/>
        <v>18</v>
      </c>
      <c r="V212" s="102">
        <f t="shared" si="96"/>
        <v>87</v>
      </c>
      <c r="W212" s="103">
        <f t="shared" si="103"/>
        <v>45235</v>
      </c>
      <c r="X212" s="103">
        <f t="shared" si="104"/>
        <v>45260</v>
      </c>
      <c r="Y212" s="103">
        <f t="shared" si="105"/>
        <v>45295</v>
      </c>
      <c r="Z212" s="103">
        <f t="shared" si="106"/>
        <v>45298</v>
      </c>
      <c r="AA212" s="103">
        <f t="shared" si="107"/>
        <v>45301</v>
      </c>
      <c r="AB212" s="103" t="str">
        <f t="shared" si="108"/>
        <v>---</v>
      </c>
      <c r="AC212" s="103">
        <f t="shared" si="109"/>
        <v>45304</v>
      </c>
    </row>
    <row r="213" spans="1:29" ht="24">
      <c r="A213" s="116" t="s">
        <v>993</v>
      </c>
      <c r="B213" s="89" t="str">
        <f>IFERROR(VLOOKUP(A213,PAC!$A$2:$V$5011,2,0),"")</f>
        <v>Banco de capacitores para a subestação de energia elétrica</v>
      </c>
      <c r="C213" s="90" t="s">
        <v>1212</v>
      </c>
      <c r="D213" s="98">
        <f>IFERROR(VLOOKUP(A213,PAC!$A$2:$V$5011,16,0),"")</f>
        <v>45382</v>
      </c>
      <c r="E213" s="99" t="str">
        <f>VLOOKUP(A213,PAC!$A$2:$V$5011,17,0)</f>
        <v>30 DIAS</v>
      </c>
      <c r="F213" s="100">
        <f>IFERROR(VLOOKUP(A213,PAC!$A$2:$V$5011,14,0),"")</f>
        <v>4000</v>
      </c>
      <c r="G213" s="100" t="str">
        <f>IFERROR(VLOOKUP(A213,PAC!$A$2:$V$5011,19,0),"")</f>
        <v>DISPENSA</v>
      </c>
      <c r="H213" s="111" t="s">
        <v>22</v>
      </c>
      <c r="I213" s="111" t="s">
        <v>22</v>
      </c>
      <c r="J213" s="110">
        <f>SUMIF(PAC!$A$2:$A$5011,A213,PAC!$W$2:$W$5011)</f>
        <v>1</v>
      </c>
      <c r="K213" s="110">
        <f t="shared" si="97"/>
        <v>15</v>
      </c>
      <c r="L213" s="102">
        <f t="shared" si="98"/>
        <v>10</v>
      </c>
      <c r="M213" s="102" t="str">
        <f t="shared" si="102"/>
        <v>0</v>
      </c>
      <c r="N213" s="102" t="str">
        <f t="shared" si="92"/>
        <v>0</v>
      </c>
      <c r="O213" s="102" t="str">
        <f t="shared" si="93"/>
        <v>0</v>
      </c>
      <c r="P213" s="102">
        <f t="shared" si="99"/>
        <v>35</v>
      </c>
      <c r="Q213" s="102">
        <f t="shared" si="100"/>
        <v>3</v>
      </c>
      <c r="R213" s="102">
        <f t="shared" si="101"/>
        <v>3</v>
      </c>
      <c r="S213" s="102" t="str">
        <f t="shared" si="94"/>
        <v>0</v>
      </c>
      <c r="T213" s="102">
        <f t="shared" si="95"/>
        <v>3</v>
      </c>
      <c r="U213" s="102">
        <f t="shared" si="91"/>
        <v>18</v>
      </c>
      <c r="V213" s="102">
        <f t="shared" si="96"/>
        <v>87</v>
      </c>
      <c r="W213" s="103">
        <f t="shared" si="103"/>
        <v>45295</v>
      </c>
      <c r="X213" s="103">
        <f t="shared" si="104"/>
        <v>45320</v>
      </c>
      <c r="Y213" s="103">
        <f t="shared" si="105"/>
        <v>45355</v>
      </c>
      <c r="Z213" s="103">
        <f t="shared" si="106"/>
        <v>45358</v>
      </c>
      <c r="AA213" s="103">
        <f t="shared" si="107"/>
        <v>45361</v>
      </c>
      <c r="AB213" s="103" t="str">
        <f t="shared" si="108"/>
        <v>---</v>
      </c>
      <c r="AC213" s="103">
        <f t="shared" si="109"/>
        <v>45364</v>
      </c>
    </row>
    <row r="214" spans="1:29" ht="15">
      <c r="A214" s="116" t="s">
        <v>1000</v>
      </c>
      <c r="B214" s="89" t="str">
        <f>IFERROR(VLOOKUP(A214,PAC!$A$2:$V$5011,2,0),"")</f>
        <v>Moldura para certificado</v>
      </c>
      <c r="C214" s="90" t="s">
        <v>1212</v>
      </c>
      <c r="D214" s="98">
        <f>IFERROR(VLOOKUP(A214,PAC!$A$2:$V$5011,16,0),"")</f>
        <v>45443</v>
      </c>
      <c r="E214" s="99" t="str">
        <f>VLOOKUP(A214,PAC!$A$2:$V$5011,17,0)</f>
        <v>30 DIAS</v>
      </c>
      <c r="F214" s="100">
        <f>IFERROR(VLOOKUP(A214,PAC!$A$2:$V$5011,14,0),"")</f>
        <v>400</v>
      </c>
      <c r="G214" s="100" t="str">
        <f>IFERROR(VLOOKUP(A214,PAC!$A$2:$V$5011,19,0),"")</f>
        <v>DISPENSA</v>
      </c>
      <c r="H214" s="111" t="s">
        <v>22</v>
      </c>
      <c r="I214" s="111" t="s">
        <v>22</v>
      </c>
      <c r="J214" s="110">
        <f>SUMIF(PAC!$A$2:$A$5011,A214,PAC!$W$2:$W$5011)</f>
        <v>1</v>
      </c>
      <c r="K214" s="110">
        <f t="shared" si="97"/>
        <v>15</v>
      </c>
      <c r="L214" s="102">
        <f t="shared" si="98"/>
        <v>10</v>
      </c>
      <c r="M214" s="102" t="str">
        <f t="shared" si="102"/>
        <v>0</v>
      </c>
      <c r="N214" s="102" t="str">
        <f t="shared" si="92"/>
        <v>0</v>
      </c>
      <c r="O214" s="102" t="str">
        <f t="shared" si="93"/>
        <v>0</v>
      </c>
      <c r="P214" s="102">
        <f t="shared" si="99"/>
        <v>35</v>
      </c>
      <c r="Q214" s="102">
        <f t="shared" si="100"/>
        <v>3</v>
      </c>
      <c r="R214" s="102">
        <f t="shared" si="101"/>
        <v>3</v>
      </c>
      <c r="S214" s="102" t="str">
        <f t="shared" si="94"/>
        <v>0</v>
      </c>
      <c r="T214" s="102">
        <f t="shared" si="95"/>
        <v>3</v>
      </c>
      <c r="U214" s="102">
        <f t="shared" si="91"/>
        <v>18</v>
      </c>
      <c r="V214" s="102">
        <f t="shared" si="96"/>
        <v>87</v>
      </c>
      <c r="W214" s="103">
        <f t="shared" si="103"/>
        <v>45356</v>
      </c>
      <c r="X214" s="103">
        <f t="shared" si="104"/>
        <v>45381</v>
      </c>
      <c r="Y214" s="103">
        <f t="shared" si="105"/>
        <v>45416</v>
      </c>
      <c r="Z214" s="103">
        <f t="shared" si="106"/>
        <v>45419</v>
      </c>
      <c r="AA214" s="103">
        <f t="shared" si="107"/>
        <v>45422</v>
      </c>
      <c r="AB214" s="103" t="str">
        <f t="shared" si="108"/>
        <v>---</v>
      </c>
      <c r="AC214" s="103">
        <f t="shared" si="109"/>
        <v>45425</v>
      </c>
    </row>
    <row r="215" spans="1:29" ht="15">
      <c r="A215" s="116" t="s">
        <v>1005</v>
      </c>
      <c r="B215" s="89" t="str">
        <f>IFERROR(VLOOKUP(A215,PAC!$A$2:$V$5011,2,0),"")</f>
        <v>Dedetização e descupinização</v>
      </c>
      <c r="C215" s="90" t="s">
        <v>1212</v>
      </c>
      <c r="D215" s="98">
        <f>IFERROR(VLOOKUP(A215,PAC!$A$2:$V$5011,16,0),"")</f>
        <v>45535</v>
      </c>
      <c r="E215" s="99" t="str">
        <f>VLOOKUP(A215,PAC!$A$2:$V$5011,17,0)</f>
        <v>30 DIAS</v>
      </c>
      <c r="F215" s="100">
        <f>IFERROR(VLOOKUP(A215,PAC!$A$2:$V$5011,14,0),"")</f>
        <v>3000</v>
      </c>
      <c r="G215" s="100" t="str">
        <f>IFERROR(VLOOKUP(A215,PAC!$A$2:$V$5011,19,0),"")</f>
        <v>DISPENSA</v>
      </c>
      <c r="H215" s="111" t="s">
        <v>22</v>
      </c>
      <c r="I215" s="111" t="s">
        <v>22</v>
      </c>
      <c r="J215" s="110">
        <f>SUMIF(PAC!$A$2:$A$5011,A215,PAC!$W$2:$W$5011)</f>
        <v>1</v>
      </c>
      <c r="K215" s="110">
        <f t="shared" si="97"/>
        <v>15</v>
      </c>
      <c r="L215" s="102">
        <f t="shared" si="98"/>
        <v>10</v>
      </c>
      <c r="M215" s="102" t="str">
        <f t="shared" si="102"/>
        <v>0</v>
      </c>
      <c r="N215" s="102" t="str">
        <f t="shared" si="92"/>
        <v>0</v>
      </c>
      <c r="O215" s="102" t="str">
        <f t="shared" si="93"/>
        <v>0</v>
      </c>
      <c r="P215" s="102">
        <f t="shared" si="99"/>
        <v>35</v>
      </c>
      <c r="Q215" s="102">
        <f t="shared" si="100"/>
        <v>3</v>
      </c>
      <c r="R215" s="102">
        <f t="shared" si="101"/>
        <v>3</v>
      </c>
      <c r="S215" s="102" t="str">
        <f t="shared" si="94"/>
        <v>0</v>
      </c>
      <c r="T215" s="102">
        <f t="shared" si="95"/>
        <v>3</v>
      </c>
      <c r="U215" s="102">
        <f t="shared" si="91"/>
        <v>18</v>
      </c>
      <c r="V215" s="102">
        <f t="shared" si="96"/>
        <v>87</v>
      </c>
      <c r="W215" s="103">
        <f t="shared" si="103"/>
        <v>45448</v>
      </c>
      <c r="X215" s="103">
        <f t="shared" si="104"/>
        <v>45473</v>
      </c>
      <c r="Y215" s="103">
        <f t="shared" si="105"/>
        <v>45508</v>
      </c>
      <c r="Z215" s="103">
        <f t="shared" si="106"/>
        <v>45511</v>
      </c>
      <c r="AA215" s="103">
        <f t="shared" si="107"/>
        <v>45514</v>
      </c>
      <c r="AB215" s="103" t="str">
        <f t="shared" si="108"/>
        <v>---</v>
      </c>
      <c r="AC215" s="103">
        <f t="shared" si="109"/>
        <v>45517</v>
      </c>
    </row>
    <row r="216" spans="1:29" ht="24">
      <c r="A216" s="116" t="s">
        <v>1010</v>
      </c>
      <c r="B216" s="89" t="str">
        <f>IFERROR(VLOOKUP(A216,PAC!$A$2:$V$5011,2,0),"")</f>
        <v>Fornecimento de água da Concessionária Cosanpa</v>
      </c>
      <c r="C216" s="90" t="s">
        <v>1212</v>
      </c>
      <c r="D216" s="98">
        <f>IFERROR(VLOOKUP(A216,PAC!$A$2:$V$5011,16,0),"")</f>
        <v>45292</v>
      </c>
      <c r="E216" s="99" t="str">
        <f>VLOOKUP(A216,PAC!$A$2:$V$5011,17,0)</f>
        <v>15 DIAS</v>
      </c>
      <c r="F216" s="100">
        <f>IFERROR(VLOOKUP(A216,PAC!$A$2:$V$5011,14,0),"")</f>
        <v>545.52</v>
      </c>
      <c r="G216" s="100" t="str">
        <f>IFERROR(VLOOKUP(A216,PAC!$A$2:$V$5011,19,0),"")</f>
        <v>INEXIGIBILIDADE</v>
      </c>
      <c r="H216" s="111" t="s">
        <v>22</v>
      </c>
      <c r="I216" s="111" t="s">
        <v>22</v>
      </c>
      <c r="J216" s="110">
        <f>SUMIF(PAC!$A$2:$A$5011,A216,PAC!$W$2:$W$5011)</f>
        <v>1</v>
      </c>
      <c r="K216" s="110">
        <f t="shared" si="97"/>
        <v>15</v>
      </c>
      <c r="L216" s="102">
        <f t="shared" si="98"/>
        <v>10</v>
      </c>
      <c r="M216" s="102" t="str">
        <f t="shared" si="102"/>
        <v>0</v>
      </c>
      <c r="N216" s="102" t="str">
        <f t="shared" si="92"/>
        <v>0</v>
      </c>
      <c r="O216" s="102" t="str">
        <f t="shared" si="93"/>
        <v>0</v>
      </c>
      <c r="P216" s="102">
        <f t="shared" si="99"/>
        <v>35</v>
      </c>
      <c r="Q216" s="102">
        <f t="shared" si="100"/>
        <v>3</v>
      </c>
      <c r="R216" s="102">
        <f t="shared" si="101"/>
        <v>3</v>
      </c>
      <c r="S216" s="102" t="str">
        <f t="shared" si="94"/>
        <v>0</v>
      </c>
      <c r="T216" s="102">
        <f t="shared" si="95"/>
        <v>3</v>
      </c>
      <c r="U216" s="102">
        <f t="shared" si="91"/>
        <v>18</v>
      </c>
      <c r="V216" s="102">
        <f t="shared" si="96"/>
        <v>87</v>
      </c>
      <c r="W216" s="103">
        <f t="shared" si="103"/>
        <v>45205</v>
      </c>
      <c r="X216" s="103">
        <f t="shared" si="104"/>
        <v>45230</v>
      </c>
      <c r="Y216" s="103">
        <f t="shared" si="105"/>
        <v>45265</v>
      </c>
      <c r="Z216" s="103">
        <f t="shared" si="106"/>
        <v>45268</v>
      </c>
      <c r="AA216" s="103">
        <f t="shared" si="107"/>
        <v>45271</v>
      </c>
      <c r="AB216" s="103" t="str">
        <f t="shared" si="108"/>
        <v>---</v>
      </c>
      <c r="AC216" s="103">
        <f t="shared" si="109"/>
        <v>45274</v>
      </c>
    </row>
    <row r="217" spans="1:29" ht="24">
      <c r="A217" s="116" t="s">
        <v>1014</v>
      </c>
      <c r="B217" s="89" t="str">
        <f>IFERROR(VLOOKUP(A217,PAC!$A$2:$V$5011,2,0),"")</f>
        <v>Aquisição de café, açúcar e copo descartável</v>
      </c>
      <c r="C217" s="90" t="s">
        <v>1212</v>
      </c>
      <c r="D217" s="98">
        <f>IFERROR(VLOOKUP(A217,PAC!$A$2:$V$5011,16,0),"")</f>
        <v>45292</v>
      </c>
      <c r="E217" s="99" t="str">
        <f>VLOOKUP(A217,PAC!$A$2:$V$5011,17,0)</f>
        <v>30 DIAS</v>
      </c>
      <c r="F217" s="100">
        <f>IFERROR(VLOOKUP(A217,PAC!$A$2:$V$5011,14,0),"")</f>
        <v>2400</v>
      </c>
      <c r="G217" s="100" t="str">
        <f>IFERROR(VLOOKUP(A217,PAC!$A$2:$V$5011,19,0),"")</f>
        <v>DISPENSA</v>
      </c>
      <c r="H217" s="111" t="s">
        <v>22</v>
      </c>
      <c r="I217" s="111" t="s">
        <v>22</v>
      </c>
      <c r="J217" s="110">
        <f>SUMIF(PAC!$A$2:$A$5011,A217,PAC!$W$2:$W$5011)</f>
        <v>1</v>
      </c>
      <c r="K217" s="110">
        <f t="shared" si="97"/>
        <v>15</v>
      </c>
      <c r="L217" s="102">
        <f t="shared" si="98"/>
        <v>10</v>
      </c>
      <c r="M217" s="102" t="str">
        <f t="shared" si="102"/>
        <v>0</v>
      </c>
      <c r="N217" s="102" t="str">
        <f t="shared" si="92"/>
        <v>0</v>
      </c>
      <c r="O217" s="102" t="str">
        <f t="shared" si="93"/>
        <v>0</v>
      </c>
      <c r="P217" s="102">
        <f t="shared" si="99"/>
        <v>35</v>
      </c>
      <c r="Q217" s="102">
        <f t="shared" si="100"/>
        <v>3</v>
      </c>
      <c r="R217" s="102">
        <f t="shared" si="101"/>
        <v>3</v>
      </c>
      <c r="S217" s="102" t="str">
        <f t="shared" si="94"/>
        <v>0</v>
      </c>
      <c r="T217" s="102">
        <f t="shared" si="95"/>
        <v>3</v>
      </c>
      <c r="U217" s="102">
        <f t="shared" si="91"/>
        <v>18</v>
      </c>
      <c r="V217" s="102">
        <f t="shared" si="96"/>
        <v>87</v>
      </c>
      <c r="W217" s="103">
        <f t="shared" si="103"/>
        <v>45205</v>
      </c>
      <c r="X217" s="103">
        <f t="shared" si="104"/>
        <v>45230</v>
      </c>
      <c r="Y217" s="103">
        <f t="shared" si="105"/>
        <v>45265</v>
      </c>
      <c r="Z217" s="103">
        <f t="shared" si="106"/>
        <v>45268</v>
      </c>
      <c r="AA217" s="103">
        <f t="shared" si="107"/>
        <v>45271</v>
      </c>
      <c r="AB217" s="103" t="str">
        <f t="shared" si="108"/>
        <v>---</v>
      </c>
      <c r="AC217" s="103">
        <f t="shared" si="109"/>
        <v>45274</v>
      </c>
    </row>
    <row r="218" spans="1:29" ht="24">
      <c r="A218" s="116" t="s">
        <v>1019</v>
      </c>
      <c r="B218" s="89" t="str">
        <f>IFERROR(VLOOKUP(A218,PAC!$A$2:$V$5011,2,0),"")</f>
        <v>Aquisição de café, açúcar e copo descartável</v>
      </c>
      <c r="C218" s="90" t="s">
        <v>1212</v>
      </c>
      <c r="D218" s="98">
        <f>IFERROR(VLOOKUP(A218,PAC!$A$2:$V$5011,16,0),"")</f>
        <v>45292</v>
      </c>
      <c r="E218" s="99" t="str">
        <f>VLOOKUP(A218,PAC!$A$2:$V$5011,17,0)</f>
        <v>30 DIAS</v>
      </c>
      <c r="F218" s="100">
        <f>IFERROR(VLOOKUP(A218,PAC!$A$2:$V$5011,14,0),"")</f>
        <v>600</v>
      </c>
      <c r="G218" s="100" t="str">
        <f>IFERROR(VLOOKUP(A218,PAC!$A$2:$V$5011,19,0),"")</f>
        <v>DISPENSA</v>
      </c>
      <c r="H218" s="111" t="s">
        <v>22</v>
      </c>
      <c r="I218" s="111" t="s">
        <v>22</v>
      </c>
      <c r="J218" s="110">
        <f>SUMIF(PAC!$A$2:$A$5011,A218,PAC!$W$2:$W$5011)</f>
        <v>1</v>
      </c>
      <c r="K218" s="110">
        <f t="shared" si="97"/>
        <v>15</v>
      </c>
      <c r="L218" s="102">
        <f t="shared" si="98"/>
        <v>10</v>
      </c>
      <c r="M218" s="102" t="str">
        <f t="shared" si="102"/>
        <v>0</v>
      </c>
      <c r="N218" s="102" t="str">
        <f t="shared" si="92"/>
        <v>0</v>
      </c>
      <c r="O218" s="102" t="str">
        <f t="shared" si="93"/>
        <v>0</v>
      </c>
      <c r="P218" s="102">
        <f t="shared" si="99"/>
        <v>35</v>
      </c>
      <c r="Q218" s="102">
        <f t="shared" si="100"/>
        <v>3</v>
      </c>
      <c r="R218" s="102">
        <f t="shared" si="101"/>
        <v>3</v>
      </c>
      <c r="S218" s="102" t="str">
        <f t="shared" si="94"/>
        <v>0</v>
      </c>
      <c r="T218" s="102">
        <f t="shared" si="95"/>
        <v>3</v>
      </c>
      <c r="U218" s="102">
        <f t="shared" ref="U218:U227" si="110">IF(D218&gt;44549,18,"0")</f>
        <v>18</v>
      </c>
      <c r="V218" s="102">
        <f t="shared" si="96"/>
        <v>87</v>
      </c>
      <c r="W218" s="103">
        <f t="shared" si="103"/>
        <v>45205</v>
      </c>
      <c r="X218" s="103">
        <f t="shared" si="104"/>
        <v>45230</v>
      </c>
      <c r="Y218" s="103">
        <f t="shared" si="105"/>
        <v>45265</v>
      </c>
      <c r="Z218" s="103">
        <f t="shared" si="106"/>
        <v>45268</v>
      </c>
      <c r="AA218" s="103">
        <f t="shared" si="107"/>
        <v>45271</v>
      </c>
      <c r="AB218" s="103" t="str">
        <f t="shared" si="108"/>
        <v>---</v>
      </c>
      <c r="AC218" s="103">
        <f t="shared" si="109"/>
        <v>45274</v>
      </c>
    </row>
    <row r="219" spans="1:29" ht="24">
      <c r="A219" s="116" t="s">
        <v>1021</v>
      </c>
      <c r="B219" s="89" t="str">
        <f>IFERROR(VLOOKUP(A219,PAC!$A$2:$V$5011,2,0),"")</f>
        <v>Aquisição de café, açúcar e copo descartável</v>
      </c>
      <c r="C219" s="90" t="s">
        <v>1212</v>
      </c>
      <c r="D219" s="98">
        <f>IFERROR(VLOOKUP(A219,PAC!$A$2:$V$5011,16,0),"")</f>
        <v>45292</v>
      </c>
      <c r="E219" s="99" t="str">
        <f>VLOOKUP(A219,PAC!$A$2:$V$5011,17,0)</f>
        <v>30 DIAS</v>
      </c>
      <c r="F219" s="100">
        <f>IFERROR(VLOOKUP(A219,PAC!$A$2:$V$5011,14,0),"")</f>
        <v>0</v>
      </c>
      <c r="G219" s="100" t="str">
        <f>IFERROR(VLOOKUP(A219,PAC!$A$2:$V$5011,19,0),"")</f>
        <v>DISPENSA</v>
      </c>
      <c r="H219" s="111" t="s">
        <v>22</v>
      </c>
      <c r="I219" s="111" t="s">
        <v>22</v>
      </c>
      <c r="J219" s="110">
        <f>SUMIF(PAC!$A$2:$A$5011,A219,PAC!$W$2:$W$5011)</f>
        <v>1</v>
      </c>
      <c r="K219" s="110">
        <f t="shared" si="97"/>
        <v>15</v>
      </c>
      <c r="L219" s="102">
        <f t="shared" si="98"/>
        <v>10</v>
      </c>
      <c r="M219" s="102" t="str">
        <f t="shared" si="102"/>
        <v>0</v>
      </c>
      <c r="N219" s="102" t="str">
        <f t="shared" ref="N219:N252" si="111">IF(AND(G219="Licitação"),IF(AND(H219=""),"0",IF(AND(H219="N"),15,IF(AND(H219="C"),25))),"0")</f>
        <v>0</v>
      </c>
      <c r="O219" s="102" t="str">
        <f t="shared" ref="O219:O252" si="112">IF(AND(G219="Licitação"),IF(AND(I219=""),"0",IF(AND(I219="N"),25,IF(AND(I219="S"),40))),"0")</f>
        <v>0</v>
      </c>
      <c r="P219" s="102">
        <f t="shared" si="99"/>
        <v>35</v>
      </c>
      <c r="Q219" s="102">
        <f t="shared" si="100"/>
        <v>3</v>
      </c>
      <c r="R219" s="102">
        <f t="shared" si="101"/>
        <v>3</v>
      </c>
      <c r="S219" s="102" t="str">
        <f t="shared" ref="S219:S252" si="113">IF(OR(G219="prorrogação",G219="renovação"),60,"0")</f>
        <v>0</v>
      </c>
      <c r="T219" s="102">
        <f t="shared" ref="T219:T226" si="114">IF(OR(G219="dispensa",G219="inexigibilidade",G219="licitação"),IF(AND(H219="C"),5,IF(AND(H219="N"),3,IF(AND(H219=""),"0"))),"0")</f>
        <v>3</v>
      </c>
      <c r="U219" s="102">
        <f t="shared" si="110"/>
        <v>18</v>
      </c>
      <c r="V219" s="102">
        <f t="shared" ref="V219:V250" si="115">SUM(K219:U219)</f>
        <v>87</v>
      </c>
      <c r="W219" s="103">
        <f t="shared" si="103"/>
        <v>45205</v>
      </c>
      <c r="X219" s="103">
        <f t="shared" si="104"/>
        <v>45230</v>
      </c>
      <c r="Y219" s="103">
        <f t="shared" si="105"/>
        <v>45265</v>
      </c>
      <c r="Z219" s="103">
        <f t="shared" si="106"/>
        <v>45268</v>
      </c>
      <c r="AA219" s="103">
        <f t="shared" si="107"/>
        <v>45271</v>
      </c>
      <c r="AB219" s="103" t="str">
        <f t="shared" si="108"/>
        <v>---</v>
      </c>
      <c r="AC219" s="103">
        <f t="shared" si="109"/>
        <v>45274</v>
      </c>
    </row>
    <row r="220" spans="1:29" ht="15">
      <c r="A220" s="116" t="s">
        <v>1023</v>
      </c>
      <c r="B220" s="89" t="str">
        <f>IFERROR(VLOOKUP(A220,PAC!$A$2:$V$5011,2,0),"")</f>
        <v>Equipamentos e materiais para copa</v>
      </c>
      <c r="C220" s="90" t="s">
        <v>1212</v>
      </c>
      <c r="D220" s="98">
        <f>IFERROR(VLOOKUP(A220,PAC!$A$2:$V$5011,16,0),"")</f>
        <v>45443</v>
      </c>
      <c r="E220" s="99" t="str">
        <f>VLOOKUP(A220,PAC!$A$2:$V$5011,17,0)</f>
        <v>30 DIAS</v>
      </c>
      <c r="F220" s="100">
        <f>IFERROR(VLOOKUP(A220,PAC!$A$2:$V$5011,14,0),"")</f>
        <v>1700</v>
      </c>
      <c r="G220" s="100" t="str">
        <f>IFERROR(VLOOKUP(A220,PAC!$A$2:$V$5011,19,0),"")</f>
        <v>DISPENSA</v>
      </c>
      <c r="H220" s="111" t="s">
        <v>22</v>
      </c>
      <c r="I220" s="111" t="s">
        <v>22</v>
      </c>
      <c r="J220" s="110">
        <f>SUMIF(PAC!$A$2:$A$5011,A220,PAC!$W$2:$W$5011)</f>
        <v>1</v>
      </c>
      <c r="K220" s="110">
        <f t="shared" si="97"/>
        <v>15</v>
      </c>
      <c r="L220" s="102">
        <f t="shared" si="98"/>
        <v>10</v>
      </c>
      <c r="M220" s="102" t="str">
        <f t="shared" si="102"/>
        <v>0</v>
      </c>
      <c r="N220" s="102" t="str">
        <f t="shared" si="111"/>
        <v>0</v>
      </c>
      <c r="O220" s="102" t="str">
        <f t="shared" si="112"/>
        <v>0</v>
      </c>
      <c r="P220" s="102">
        <f t="shared" si="99"/>
        <v>35</v>
      </c>
      <c r="Q220" s="102">
        <f t="shared" si="100"/>
        <v>3</v>
      </c>
      <c r="R220" s="102">
        <f t="shared" si="101"/>
        <v>3</v>
      </c>
      <c r="S220" s="102" t="str">
        <f t="shared" si="113"/>
        <v>0</v>
      </c>
      <c r="T220" s="102">
        <f t="shared" si="114"/>
        <v>3</v>
      </c>
      <c r="U220" s="102">
        <f t="shared" si="110"/>
        <v>18</v>
      </c>
      <c r="V220" s="102">
        <f t="shared" si="115"/>
        <v>87</v>
      </c>
      <c r="W220" s="103">
        <f t="shared" si="103"/>
        <v>45356</v>
      </c>
      <c r="X220" s="103">
        <f t="shared" si="104"/>
        <v>45381</v>
      </c>
      <c r="Y220" s="103">
        <f t="shared" si="105"/>
        <v>45416</v>
      </c>
      <c r="Z220" s="103">
        <f t="shared" si="106"/>
        <v>45419</v>
      </c>
      <c r="AA220" s="103">
        <f t="shared" si="107"/>
        <v>45422</v>
      </c>
      <c r="AB220" s="103" t="str">
        <f t="shared" si="108"/>
        <v>---</v>
      </c>
      <c r="AC220" s="103">
        <f t="shared" si="109"/>
        <v>45425</v>
      </c>
    </row>
    <row r="221" spans="1:29" ht="15">
      <c r="A221" s="116" t="s">
        <v>1029</v>
      </c>
      <c r="B221" s="89" t="str">
        <f>IFERROR(VLOOKUP(A221,PAC!$A$2:$V$5011,2,0),"")</f>
        <v>Equipamentos e materiais para copa</v>
      </c>
      <c r="C221" s="90" t="s">
        <v>1212</v>
      </c>
      <c r="D221" s="98">
        <f>IFERROR(VLOOKUP(A221,PAC!$A$2:$V$5011,16,0),"")</f>
        <v>45443</v>
      </c>
      <c r="E221" s="99" t="str">
        <f>VLOOKUP(A221,PAC!$A$2:$V$5011,17,0)</f>
        <v>30 DIAS</v>
      </c>
      <c r="F221" s="100">
        <f>IFERROR(VLOOKUP(A221,PAC!$A$2:$V$5011,14,0),"")</f>
        <v>1200</v>
      </c>
      <c r="G221" s="100" t="str">
        <f>IFERROR(VLOOKUP(A221,PAC!$A$2:$V$5011,19,0),"")</f>
        <v>DISPENSA</v>
      </c>
      <c r="H221" s="111" t="s">
        <v>22</v>
      </c>
      <c r="I221" s="111" t="s">
        <v>22</v>
      </c>
      <c r="J221" s="110">
        <f>SUMIF(PAC!$A$2:$A$5011,A221,PAC!$W$2:$W$5011)</f>
        <v>1</v>
      </c>
      <c r="K221" s="110">
        <f t="shared" si="97"/>
        <v>15</v>
      </c>
      <c r="L221" s="102">
        <f t="shared" si="98"/>
        <v>10</v>
      </c>
      <c r="M221" s="102" t="str">
        <f t="shared" si="102"/>
        <v>0</v>
      </c>
      <c r="N221" s="102" t="str">
        <f t="shared" si="111"/>
        <v>0</v>
      </c>
      <c r="O221" s="102" t="str">
        <f t="shared" si="112"/>
        <v>0</v>
      </c>
      <c r="P221" s="102">
        <f t="shared" si="99"/>
        <v>35</v>
      </c>
      <c r="Q221" s="102">
        <f t="shared" si="100"/>
        <v>3</v>
      </c>
      <c r="R221" s="102">
        <f t="shared" si="101"/>
        <v>3</v>
      </c>
      <c r="S221" s="102" t="str">
        <f t="shared" si="113"/>
        <v>0</v>
      </c>
      <c r="T221" s="102">
        <f t="shared" si="114"/>
        <v>3</v>
      </c>
      <c r="U221" s="102">
        <f t="shared" si="110"/>
        <v>18</v>
      </c>
      <c r="V221" s="102">
        <f t="shared" si="115"/>
        <v>87</v>
      </c>
      <c r="W221" s="103">
        <f t="shared" si="103"/>
        <v>45356</v>
      </c>
      <c r="X221" s="103">
        <f t="shared" si="104"/>
        <v>45381</v>
      </c>
      <c r="Y221" s="103">
        <f t="shared" si="105"/>
        <v>45416</v>
      </c>
      <c r="Z221" s="103">
        <f t="shared" si="106"/>
        <v>45419</v>
      </c>
      <c r="AA221" s="103">
        <f t="shared" si="107"/>
        <v>45422</v>
      </c>
      <c r="AB221" s="103" t="str">
        <f t="shared" si="108"/>
        <v>---</v>
      </c>
      <c r="AC221" s="103">
        <f t="shared" si="109"/>
        <v>45425</v>
      </c>
    </row>
    <row r="222" spans="1:29" ht="15">
      <c r="A222" s="116" t="s">
        <v>1031</v>
      </c>
      <c r="B222" s="89" t="str">
        <f>IFERROR(VLOOKUP(A222,PAC!$A$2:$V$5011,2,0),"")</f>
        <v>Equipamentos e materiais para copa</v>
      </c>
      <c r="C222" s="90" t="s">
        <v>1212</v>
      </c>
      <c r="D222" s="98">
        <f>IFERROR(VLOOKUP(A222,PAC!$A$2:$V$5011,16,0),"")</f>
        <v>45443</v>
      </c>
      <c r="E222" s="99" t="str">
        <f>VLOOKUP(A222,PAC!$A$2:$V$5011,17,0)</f>
        <v>30 DIAS</v>
      </c>
      <c r="F222" s="100">
        <f>IFERROR(VLOOKUP(A222,PAC!$A$2:$V$5011,14,0),"")</f>
        <v>600</v>
      </c>
      <c r="G222" s="100" t="str">
        <f>IFERROR(VLOOKUP(A222,PAC!$A$2:$V$5011,19,0),"")</f>
        <v>DISPENSA</v>
      </c>
      <c r="H222" s="111" t="s">
        <v>22</v>
      </c>
      <c r="I222" s="111" t="s">
        <v>22</v>
      </c>
      <c r="J222" s="110">
        <f>SUMIF(PAC!$A$2:$A$5011,A222,PAC!$W$2:$W$5011)</f>
        <v>1</v>
      </c>
      <c r="K222" s="110">
        <f t="shared" si="97"/>
        <v>15</v>
      </c>
      <c r="L222" s="102">
        <f t="shared" si="98"/>
        <v>10</v>
      </c>
      <c r="M222" s="102" t="str">
        <f t="shared" si="102"/>
        <v>0</v>
      </c>
      <c r="N222" s="102" t="str">
        <f t="shared" si="111"/>
        <v>0</v>
      </c>
      <c r="O222" s="102" t="str">
        <f t="shared" si="112"/>
        <v>0</v>
      </c>
      <c r="P222" s="102">
        <f t="shared" si="99"/>
        <v>35</v>
      </c>
      <c r="Q222" s="102">
        <f t="shared" si="100"/>
        <v>3</v>
      </c>
      <c r="R222" s="102">
        <f t="shared" si="101"/>
        <v>3</v>
      </c>
      <c r="S222" s="102" t="str">
        <f t="shared" si="113"/>
        <v>0</v>
      </c>
      <c r="T222" s="102">
        <f t="shared" si="114"/>
        <v>3</v>
      </c>
      <c r="U222" s="102">
        <f t="shared" si="110"/>
        <v>18</v>
      </c>
      <c r="V222" s="102">
        <f t="shared" si="115"/>
        <v>87</v>
      </c>
      <c r="W222" s="103">
        <f t="shared" si="103"/>
        <v>45356</v>
      </c>
      <c r="X222" s="103">
        <f t="shared" si="104"/>
        <v>45381</v>
      </c>
      <c r="Y222" s="103">
        <f t="shared" si="105"/>
        <v>45416</v>
      </c>
      <c r="Z222" s="103">
        <f t="shared" si="106"/>
        <v>45419</v>
      </c>
      <c r="AA222" s="103">
        <f t="shared" si="107"/>
        <v>45422</v>
      </c>
      <c r="AB222" s="103" t="str">
        <f t="shared" si="108"/>
        <v>---</v>
      </c>
      <c r="AC222" s="103">
        <f t="shared" si="109"/>
        <v>45425</v>
      </c>
    </row>
    <row r="223" spans="1:29" ht="15">
      <c r="A223" s="116" t="s">
        <v>1033</v>
      </c>
      <c r="B223" s="89" t="str">
        <f>IFERROR(VLOOKUP(A223,PAC!$A$2:$V$5011,2,0),"")</f>
        <v>Equipamentos e materiais para copa</v>
      </c>
      <c r="C223" s="90" t="s">
        <v>1212</v>
      </c>
      <c r="D223" s="98">
        <f>IFERROR(VLOOKUP(A223,PAC!$A$2:$V$5011,16,0),"")</f>
        <v>45443</v>
      </c>
      <c r="E223" s="99" t="str">
        <f>VLOOKUP(A223,PAC!$A$2:$V$5011,17,0)</f>
        <v>30 DIAS</v>
      </c>
      <c r="F223" s="100">
        <f>IFERROR(VLOOKUP(A223,PAC!$A$2:$V$5011,14,0),"")</f>
        <v>360</v>
      </c>
      <c r="G223" s="100" t="str">
        <f>IFERROR(VLOOKUP(A223,PAC!$A$2:$V$5011,19,0),"")</f>
        <v>DISPENSA</v>
      </c>
      <c r="H223" s="111" t="s">
        <v>22</v>
      </c>
      <c r="I223" s="111" t="s">
        <v>22</v>
      </c>
      <c r="J223" s="110">
        <f>SUMIF(PAC!$A$2:$A$5011,A223,PAC!$W$2:$W$5011)</f>
        <v>1</v>
      </c>
      <c r="K223" s="110">
        <f t="shared" si="97"/>
        <v>15</v>
      </c>
      <c r="L223" s="102">
        <f t="shared" si="98"/>
        <v>10</v>
      </c>
      <c r="M223" s="102" t="str">
        <f t="shared" si="102"/>
        <v>0</v>
      </c>
      <c r="N223" s="102" t="str">
        <f t="shared" si="111"/>
        <v>0</v>
      </c>
      <c r="O223" s="102" t="str">
        <f t="shared" si="112"/>
        <v>0</v>
      </c>
      <c r="P223" s="102">
        <f t="shared" si="99"/>
        <v>35</v>
      </c>
      <c r="Q223" s="102">
        <f t="shared" si="100"/>
        <v>3</v>
      </c>
      <c r="R223" s="102">
        <f t="shared" si="101"/>
        <v>3</v>
      </c>
      <c r="S223" s="102" t="str">
        <f t="shared" si="113"/>
        <v>0</v>
      </c>
      <c r="T223" s="102">
        <f t="shared" si="114"/>
        <v>3</v>
      </c>
      <c r="U223" s="102">
        <f t="shared" si="110"/>
        <v>18</v>
      </c>
      <c r="V223" s="102">
        <f t="shared" si="115"/>
        <v>87</v>
      </c>
      <c r="W223" s="103">
        <f t="shared" si="103"/>
        <v>45356</v>
      </c>
      <c r="X223" s="103">
        <f t="shared" si="104"/>
        <v>45381</v>
      </c>
      <c r="Y223" s="103">
        <f t="shared" si="105"/>
        <v>45416</v>
      </c>
      <c r="Z223" s="103">
        <f t="shared" si="106"/>
        <v>45419</v>
      </c>
      <c r="AA223" s="103">
        <f t="shared" si="107"/>
        <v>45422</v>
      </c>
      <c r="AB223" s="103" t="str">
        <f t="shared" si="108"/>
        <v>---</v>
      </c>
      <c r="AC223" s="103">
        <f t="shared" si="109"/>
        <v>45425</v>
      </c>
    </row>
    <row r="224" spans="1:29" ht="15">
      <c r="A224" s="116" t="s">
        <v>1035</v>
      </c>
      <c r="B224" s="89" t="str">
        <f>IFERROR(VLOOKUP(A224,PAC!$A$2:$V$5011,2,0),"")</f>
        <v>Equipamentos e materiais para copa</v>
      </c>
      <c r="C224" s="90" t="s">
        <v>1212</v>
      </c>
      <c r="D224" s="98">
        <f>IFERROR(VLOOKUP(A224,PAC!$A$2:$V$5011,16,0),"")</f>
        <v>45443</v>
      </c>
      <c r="E224" s="99" t="str">
        <f>VLOOKUP(A224,PAC!$A$2:$V$5011,17,0)</f>
        <v>30 DIAS</v>
      </c>
      <c r="F224" s="100">
        <f>IFERROR(VLOOKUP(A224,PAC!$A$2:$V$5011,14,0),"")</f>
        <v>420</v>
      </c>
      <c r="G224" s="100" t="str">
        <f>IFERROR(VLOOKUP(A224,PAC!$A$2:$V$5011,19,0),"")</f>
        <v>DISPENSA</v>
      </c>
      <c r="H224" s="111" t="s">
        <v>22</v>
      </c>
      <c r="I224" s="111" t="s">
        <v>22</v>
      </c>
      <c r="J224" s="110">
        <f>SUMIF(PAC!$A$2:$A$5011,A224,PAC!$W$2:$W$5011)</f>
        <v>1</v>
      </c>
      <c r="K224" s="110">
        <f t="shared" si="97"/>
        <v>15</v>
      </c>
      <c r="L224" s="102">
        <f t="shared" si="98"/>
        <v>10</v>
      </c>
      <c r="M224" s="102" t="str">
        <f t="shared" si="102"/>
        <v>0</v>
      </c>
      <c r="N224" s="102" t="str">
        <f t="shared" si="111"/>
        <v>0</v>
      </c>
      <c r="O224" s="102" t="str">
        <f t="shared" si="112"/>
        <v>0</v>
      </c>
      <c r="P224" s="102">
        <f t="shared" si="99"/>
        <v>35</v>
      </c>
      <c r="Q224" s="102">
        <f t="shared" si="100"/>
        <v>3</v>
      </c>
      <c r="R224" s="102">
        <f t="shared" si="101"/>
        <v>3</v>
      </c>
      <c r="S224" s="102" t="str">
        <f t="shared" si="113"/>
        <v>0</v>
      </c>
      <c r="T224" s="102">
        <f t="shared" si="114"/>
        <v>3</v>
      </c>
      <c r="U224" s="102">
        <f t="shared" si="110"/>
        <v>18</v>
      </c>
      <c r="V224" s="102">
        <f t="shared" si="115"/>
        <v>87</v>
      </c>
      <c r="W224" s="103">
        <f t="shared" si="103"/>
        <v>45356</v>
      </c>
      <c r="X224" s="103">
        <f t="shared" si="104"/>
        <v>45381</v>
      </c>
      <c r="Y224" s="103">
        <f t="shared" si="105"/>
        <v>45416</v>
      </c>
      <c r="Z224" s="103">
        <f t="shared" si="106"/>
        <v>45419</v>
      </c>
      <c r="AA224" s="103">
        <f t="shared" si="107"/>
        <v>45422</v>
      </c>
      <c r="AB224" s="103" t="str">
        <f t="shared" si="108"/>
        <v>---</v>
      </c>
      <c r="AC224" s="103">
        <f t="shared" si="109"/>
        <v>45425</v>
      </c>
    </row>
    <row r="225" spans="1:29" ht="15">
      <c r="A225" s="116" t="s">
        <v>1037</v>
      </c>
      <c r="B225" s="89" t="str">
        <f>IFERROR(VLOOKUP(A225,PAC!$A$2:$V$5011,2,0),"")</f>
        <v>Equipamentos e materiais para copa</v>
      </c>
      <c r="C225" s="90" t="s">
        <v>1212</v>
      </c>
      <c r="D225" s="98">
        <f>IFERROR(VLOOKUP(A225,PAC!$A$2:$V$5011,16,0),"")</f>
        <v>45443</v>
      </c>
      <c r="E225" s="99" t="str">
        <f>VLOOKUP(A225,PAC!$A$2:$V$5011,17,0)</f>
        <v>30 DIAS</v>
      </c>
      <c r="F225" s="100">
        <f>IFERROR(VLOOKUP(A225,PAC!$A$2:$V$5011,14,0),"")</f>
        <v>600</v>
      </c>
      <c r="G225" s="100" t="str">
        <f>IFERROR(VLOOKUP(A225,PAC!$A$2:$V$5011,19,0),"")</f>
        <v>DISPENSA</v>
      </c>
      <c r="H225" s="111" t="s">
        <v>22</v>
      </c>
      <c r="I225" s="111" t="s">
        <v>22</v>
      </c>
      <c r="J225" s="110">
        <f>SUMIF(PAC!$A$2:$A$5011,A225,PAC!$W$2:$W$5011)</f>
        <v>1</v>
      </c>
      <c r="K225" s="110">
        <f t="shared" si="97"/>
        <v>15</v>
      </c>
      <c r="L225" s="102">
        <f t="shared" si="98"/>
        <v>10</v>
      </c>
      <c r="M225" s="102" t="str">
        <f t="shared" si="102"/>
        <v>0</v>
      </c>
      <c r="N225" s="102" t="str">
        <f t="shared" si="111"/>
        <v>0</v>
      </c>
      <c r="O225" s="102" t="str">
        <f t="shared" si="112"/>
        <v>0</v>
      </c>
      <c r="P225" s="102">
        <f t="shared" si="99"/>
        <v>35</v>
      </c>
      <c r="Q225" s="102">
        <f t="shared" si="100"/>
        <v>3</v>
      </c>
      <c r="R225" s="102">
        <f t="shared" si="101"/>
        <v>3</v>
      </c>
      <c r="S225" s="102" t="str">
        <f t="shared" si="113"/>
        <v>0</v>
      </c>
      <c r="T225" s="102">
        <f t="shared" si="114"/>
        <v>3</v>
      </c>
      <c r="U225" s="102">
        <f t="shared" si="110"/>
        <v>18</v>
      </c>
      <c r="V225" s="102">
        <f t="shared" si="115"/>
        <v>87</v>
      </c>
      <c r="W225" s="103">
        <f t="shared" si="103"/>
        <v>45356</v>
      </c>
      <c r="X225" s="103">
        <f t="shared" si="104"/>
        <v>45381</v>
      </c>
      <c r="Y225" s="103">
        <f t="shared" si="105"/>
        <v>45416</v>
      </c>
      <c r="Z225" s="103">
        <f t="shared" si="106"/>
        <v>45419</v>
      </c>
      <c r="AA225" s="103">
        <f t="shared" si="107"/>
        <v>45422</v>
      </c>
      <c r="AB225" s="103" t="str">
        <f t="shared" si="108"/>
        <v>---</v>
      </c>
      <c r="AC225" s="103">
        <f t="shared" si="109"/>
        <v>45425</v>
      </c>
    </row>
    <row r="226" spans="1:29" ht="15">
      <c r="A226" s="116" t="s">
        <v>1040</v>
      </c>
      <c r="B226" s="89" t="str">
        <f>IFERROR(VLOOKUP(A226,PAC!$A$2:$V$5011,2,0),"")</f>
        <v>Posto de vigilância feminino diurno</v>
      </c>
      <c r="C226" s="90" t="s">
        <v>1212</v>
      </c>
      <c r="D226" s="98">
        <f>IFERROR(VLOOKUP(A226,PAC!$A$2:$V$5011,16,0),"")</f>
        <v>45292</v>
      </c>
      <c r="E226" s="99" t="str">
        <f>VLOOKUP(A226,PAC!$A$2:$V$5011,17,0)</f>
        <v>90 DIAS</v>
      </c>
      <c r="F226" s="100" t="str">
        <f>IFERROR(VLOOKUP(A226,PAC!$A$2:$V$5011,14,0),"")</f>
        <v>137892.48</v>
      </c>
      <c r="G226" s="100" t="str">
        <f>IFERROR(VLOOKUP(A226,PAC!$A$2:$V$5011,19,0),"")</f>
        <v>LICITAÇÃO</v>
      </c>
      <c r="H226" s="111" t="s">
        <v>22</v>
      </c>
      <c r="I226" s="111" t="s">
        <v>22</v>
      </c>
      <c r="J226" s="110">
        <f>SUMIF(PAC!$A$2:$A$5011,A226,PAC!$W$2:$W$5011)</f>
        <v>1</v>
      </c>
      <c r="K226" s="110">
        <f t="shared" si="97"/>
        <v>15</v>
      </c>
      <c r="L226" s="102">
        <f t="shared" si="98"/>
        <v>10</v>
      </c>
      <c r="M226" s="102">
        <f t="shared" si="102"/>
        <v>20</v>
      </c>
      <c r="N226" s="102">
        <f t="shared" si="111"/>
        <v>15</v>
      </c>
      <c r="O226" s="102">
        <f t="shared" si="112"/>
        <v>25</v>
      </c>
      <c r="P226" s="102" t="str">
        <f t="shared" si="99"/>
        <v>0</v>
      </c>
      <c r="Q226" s="102" t="str">
        <f t="shared" si="100"/>
        <v>0</v>
      </c>
      <c r="R226" s="102" t="str">
        <f t="shared" si="101"/>
        <v>0</v>
      </c>
      <c r="S226" s="102" t="str">
        <f t="shared" si="113"/>
        <v>0</v>
      </c>
      <c r="T226" s="102">
        <f t="shared" si="114"/>
        <v>3</v>
      </c>
      <c r="U226" s="102">
        <f t="shared" si="110"/>
        <v>18</v>
      </c>
      <c r="V226" s="102">
        <f t="shared" si="115"/>
        <v>106</v>
      </c>
      <c r="W226" s="103">
        <f t="shared" si="103"/>
        <v>45186</v>
      </c>
      <c r="X226" s="103">
        <f t="shared" si="104"/>
        <v>45211</v>
      </c>
      <c r="Y226" s="103">
        <f t="shared" si="105"/>
        <v>45231</v>
      </c>
      <c r="Z226" s="103">
        <f t="shared" si="106"/>
        <v>45246</v>
      </c>
      <c r="AA226" s="103">
        <f t="shared" si="107"/>
        <v>45271</v>
      </c>
      <c r="AB226" s="103" t="str">
        <f t="shared" si="108"/>
        <v>---</v>
      </c>
      <c r="AC226" s="103">
        <f t="shared" si="109"/>
        <v>45274</v>
      </c>
    </row>
    <row r="227" spans="1:29" ht="15">
      <c r="A227" s="116" t="s">
        <v>1045</v>
      </c>
      <c r="B227" s="89" t="str">
        <f>IFERROR(VLOOKUP(A227,PAC!$A$2:$V$5011,2,0),"")</f>
        <v>PQGVT - equipar sala de qualidade de vida</v>
      </c>
      <c r="C227" s="90" t="s">
        <v>1212</v>
      </c>
      <c r="D227" s="98">
        <f>IFERROR(VLOOKUP(A227,PAC!$A$2:$V$5011,16,0),"")</f>
        <v>45504</v>
      </c>
      <c r="E227" s="99" t="str">
        <f>VLOOKUP(A227,PAC!$A$2:$V$5011,17,0)</f>
        <v>90 DIAS</v>
      </c>
      <c r="F227" s="100">
        <f>IFERROR(VLOOKUP(A227,PAC!$A$2:$V$5011,14,0),"")</f>
        <v>60000</v>
      </c>
      <c r="G227" s="100" t="str">
        <f>IFERROR(VLOOKUP(A227,PAC!$A$2:$V$5011,19,0),"")</f>
        <v>LICITAÇÃO</v>
      </c>
      <c r="H227" s="111" t="s">
        <v>22</v>
      </c>
      <c r="I227" s="111" t="s">
        <v>22</v>
      </c>
      <c r="J227" s="110">
        <f>SUMIF(PAC!$A$2:$A$5011,A227,PAC!$W$2:$W$5011)</f>
        <v>1</v>
      </c>
      <c r="K227" s="110">
        <v>15</v>
      </c>
      <c r="L227" s="102">
        <v>10</v>
      </c>
      <c r="M227" s="102">
        <f t="shared" si="102"/>
        <v>20</v>
      </c>
      <c r="N227" s="102">
        <f t="shared" si="111"/>
        <v>15</v>
      </c>
      <c r="O227" s="102">
        <f t="shared" si="112"/>
        <v>25</v>
      </c>
      <c r="P227" s="102">
        <v>35</v>
      </c>
      <c r="Q227" s="102">
        <v>3</v>
      </c>
      <c r="R227" s="102">
        <v>3</v>
      </c>
      <c r="S227" s="102" t="str">
        <f t="shared" si="113"/>
        <v>0</v>
      </c>
      <c r="T227" s="102">
        <v>3</v>
      </c>
      <c r="U227" s="102">
        <f t="shared" si="110"/>
        <v>18</v>
      </c>
      <c r="V227" s="102">
        <v>87</v>
      </c>
      <c r="W227" s="103">
        <f t="shared" si="103"/>
        <v>45417</v>
      </c>
      <c r="X227" s="103">
        <f t="shared" si="104"/>
        <v>45442</v>
      </c>
      <c r="Y227" s="103">
        <f t="shared" si="105"/>
        <v>45462</v>
      </c>
      <c r="Z227" s="103">
        <f t="shared" si="106"/>
        <v>45477</v>
      </c>
      <c r="AA227" s="103">
        <f t="shared" si="107"/>
        <v>45502</v>
      </c>
      <c r="AB227" s="103" t="str">
        <f t="shared" si="108"/>
        <v>---</v>
      </c>
      <c r="AC227" s="103">
        <f t="shared" si="109"/>
        <v>45505</v>
      </c>
    </row>
    <row r="228" spans="1:29" ht="15">
      <c r="A228" s="116" t="s">
        <v>1050</v>
      </c>
      <c r="B228" s="89" t="str">
        <f>IFERROR(VLOOKUP(A228,PAC!$A$2:$V$5011,2,0),"")</f>
        <v>Mesa para refeitório</v>
      </c>
      <c r="C228" s="90" t="s">
        <v>1212</v>
      </c>
      <c r="D228" s="98">
        <f>IFERROR(VLOOKUP(A228,PAC!$A$2:$V$5011,16,0),"")</f>
        <v>45443</v>
      </c>
      <c r="E228" s="99" t="str">
        <f>VLOOKUP(A228,PAC!$A$2:$V$5011,17,0)</f>
        <v>30 DIAS</v>
      </c>
      <c r="F228" s="100">
        <f>IFERROR(VLOOKUP(A228,PAC!$A$2:$V$5011,14,0),"")</f>
        <v>4200</v>
      </c>
      <c r="G228" s="100" t="str">
        <f>IFERROR(VLOOKUP(A228,PAC!$A$2:$V$5011,19,0),"")</f>
        <v>DISPENSA</v>
      </c>
      <c r="H228" s="111" t="s">
        <v>22</v>
      </c>
      <c r="I228" s="111" t="s">
        <v>22</v>
      </c>
      <c r="J228" s="110">
        <f>SUMIF(PAC!$A$2:$A$5011,A228,PAC!$W$2:$W$5011)</f>
        <v>1</v>
      </c>
      <c r="K228" s="110">
        <v>15</v>
      </c>
      <c r="L228" s="102">
        <v>10</v>
      </c>
      <c r="M228" s="102" t="str">
        <f t="shared" si="102"/>
        <v>0</v>
      </c>
      <c r="N228" s="102" t="str">
        <f t="shared" si="111"/>
        <v>0</v>
      </c>
      <c r="O228" s="102" t="str">
        <f t="shared" si="112"/>
        <v>0</v>
      </c>
      <c r="P228" s="102">
        <v>35</v>
      </c>
      <c r="Q228" s="102">
        <v>3</v>
      </c>
      <c r="R228" s="102">
        <v>3</v>
      </c>
      <c r="S228" s="102" t="str">
        <f t="shared" si="113"/>
        <v>0</v>
      </c>
      <c r="T228" s="102">
        <v>3</v>
      </c>
      <c r="U228" s="102">
        <v>18</v>
      </c>
      <c r="V228" s="102">
        <v>87</v>
      </c>
      <c r="W228" s="103">
        <f t="shared" si="103"/>
        <v>45356</v>
      </c>
      <c r="X228" s="103">
        <f t="shared" si="104"/>
        <v>45381</v>
      </c>
      <c r="Y228" s="103">
        <f t="shared" si="105"/>
        <v>45416</v>
      </c>
      <c r="Z228" s="103">
        <f t="shared" si="106"/>
        <v>45419</v>
      </c>
      <c r="AA228" s="103">
        <f t="shared" si="107"/>
        <v>45422</v>
      </c>
      <c r="AB228" s="103" t="str">
        <f t="shared" si="108"/>
        <v>---</v>
      </c>
      <c r="AC228" s="103">
        <f t="shared" si="109"/>
        <v>45425</v>
      </c>
    </row>
    <row r="229" spans="1:29" ht="36">
      <c r="A229" s="90" t="s">
        <v>1055</v>
      </c>
      <c r="B229" s="89" t="str">
        <f>IFERROR(VLOOKUP(A229,PAC!$A$2:$V$5011,2,0),"")</f>
        <v>Aquisição de água mineral em garrafão de 20l e em garrafa de 500ml e copo descartável de 200ml</v>
      </c>
      <c r="C229" s="90" t="s">
        <v>1213</v>
      </c>
      <c r="D229" s="98">
        <f>IFERROR(VLOOKUP(A229,PAC!$A$2:$V$5011,16,0),"")</f>
        <v>45292</v>
      </c>
      <c r="E229" s="99" t="str">
        <f>VLOOKUP(A229,PAC!$A$2:$V$5011,17,0)</f>
        <v>30 DIAS</v>
      </c>
      <c r="F229" s="100">
        <f>IFERROR(VLOOKUP(A229,PAC!$A$2:$V$5011,14,0),"")</f>
        <v>5670</v>
      </c>
      <c r="G229" s="100" t="str">
        <f>IFERROR(VLOOKUP(A229,PAC!$A$2:$V$5011,19,0),"")</f>
        <v>DISPENSA</v>
      </c>
      <c r="H229" s="111" t="s">
        <v>1180</v>
      </c>
      <c r="I229" s="111" t="s">
        <v>22</v>
      </c>
      <c r="J229" s="110">
        <f>SUMIF(PAC!$A$2:$A$5011,A229,PAC!$W$2:$W$5011)</f>
        <v>1</v>
      </c>
      <c r="K229" s="110">
        <f t="shared" ref="K229:K252" si="116">IF(OR(G229="dispensa",G229="inexigibilidade",G229="licitação"),15,"0")</f>
        <v>15</v>
      </c>
      <c r="L229" s="102">
        <f t="shared" ref="L229:L252" si="117">IF(OR(G229="dispensa",G229="inexigibilidade",G229="licitação"),10,"0")</f>
        <v>10</v>
      </c>
      <c r="M229" s="102" t="str">
        <f t="shared" si="102"/>
        <v>0</v>
      </c>
      <c r="N229" s="102" t="str">
        <f t="shared" si="111"/>
        <v>0</v>
      </c>
      <c r="O229" s="102" t="str">
        <f t="shared" si="112"/>
        <v>0</v>
      </c>
      <c r="P229" s="102">
        <f t="shared" ref="P229:P252" si="118">IF(OR(G229="dispensa",G229="inexigibilidade"),IF(AND(J229=0),0,IF(AND(J229&gt;0,J229&lt;11),35,IF(AND(J229&gt;10,J229&lt;21),45,IF(AND(J229&gt;20),60)))),"0")</f>
        <v>35</v>
      </c>
      <c r="Q229" s="102">
        <f t="shared" ref="Q229:Q252" si="119">IF(OR(G229="dispensa",G229="inexigibilidade"),3,"0")</f>
        <v>3</v>
      </c>
      <c r="R229" s="102">
        <f t="shared" ref="R229:R252" si="120">IF(OR(G229="dispensa",G229="inexigibilidade"),3,"0")</f>
        <v>3</v>
      </c>
      <c r="S229" s="102" t="str">
        <f t="shared" si="113"/>
        <v>0</v>
      </c>
      <c r="T229" s="102">
        <f t="shared" ref="T229:T252" si="121">IF(OR(G229="dispensa",G229="inexigibilidade",G229="licitação"),IF(AND(H229="C"),5,IF(AND(H229="N"),3,IF(AND(H229=""),"0"))),"0")</f>
        <v>5</v>
      </c>
      <c r="U229" s="102">
        <f t="shared" ref="U229:U252" si="122">IF(D229&gt;44549,18,"0")</f>
        <v>18</v>
      </c>
      <c r="V229" s="102">
        <f t="shared" ref="V229:V252" si="123">SUM(K229:U229)</f>
        <v>89</v>
      </c>
      <c r="W229" s="103">
        <f t="shared" si="103"/>
        <v>45203</v>
      </c>
      <c r="X229" s="103">
        <f t="shared" si="104"/>
        <v>45228</v>
      </c>
      <c r="Y229" s="103">
        <f t="shared" si="105"/>
        <v>45263</v>
      </c>
      <c r="Z229" s="103">
        <f t="shared" si="106"/>
        <v>45266</v>
      </c>
      <c r="AA229" s="103">
        <f t="shared" si="107"/>
        <v>45269</v>
      </c>
      <c r="AB229" s="103" t="str">
        <f t="shared" si="108"/>
        <v>---</v>
      </c>
      <c r="AC229" s="103">
        <f t="shared" si="109"/>
        <v>45274</v>
      </c>
    </row>
    <row r="230" spans="1:29" ht="36">
      <c r="A230" s="90" t="s">
        <v>1062</v>
      </c>
      <c r="B230" s="89" t="str">
        <f>IFERROR(VLOOKUP(A230,PAC!$A$2:$V$5011,2,0),"")</f>
        <v>Aquisição de água mineral em garrafão de 20l e em garrafa de 500ml e copo descartável de 200ml</v>
      </c>
      <c r="C230" s="90" t="s">
        <v>1213</v>
      </c>
      <c r="D230" s="98">
        <f>IFERROR(VLOOKUP(A230,PAC!$A$2:$V$5011,16,0),"")</f>
        <v>45292</v>
      </c>
      <c r="E230" s="99" t="str">
        <f>VLOOKUP(A230,PAC!$A$2:$V$5011,17,0)</f>
        <v>30 DIAS</v>
      </c>
      <c r="F230" s="100">
        <f>IFERROR(VLOOKUP(A230,PAC!$A$2:$V$5011,14,0),"")</f>
        <v>672</v>
      </c>
      <c r="G230" s="100" t="str">
        <f>IFERROR(VLOOKUP(A230,PAC!$A$2:$V$5011,19,0),"")</f>
        <v>DISPENSA</v>
      </c>
      <c r="H230" s="111" t="s">
        <v>1180</v>
      </c>
      <c r="I230" s="111" t="s">
        <v>22</v>
      </c>
      <c r="J230" s="110">
        <f>SUMIF(PAC!$A$2:$A$5011,A230,PAC!$W$2:$W$5011)</f>
        <v>1</v>
      </c>
      <c r="K230" s="110">
        <f t="shared" si="116"/>
        <v>15</v>
      </c>
      <c r="L230" s="102">
        <f t="shared" si="117"/>
        <v>10</v>
      </c>
      <c r="M230" s="102" t="str">
        <f t="shared" si="102"/>
        <v>0</v>
      </c>
      <c r="N230" s="102" t="str">
        <f t="shared" si="111"/>
        <v>0</v>
      </c>
      <c r="O230" s="102" t="str">
        <f t="shared" si="112"/>
        <v>0</v>
      </c>
      <c r="P230" s="102">
        <f t="shared" si="118"/>
        <v>35</v>
      </c>
      <c r="Q230" s="102">
        <f t="shared" si="119"/>
        <v>3</v>
      </c>
      <c r="R230" s="102">
        <f t="shared" si="120"/>
        <v>3</v>
      </c>
      <c r="S230" s="102" t="str">
        <f t="shared" si="113"/>
        <v>0</v>
      </c>
      <c r="T230" s="102">
        <f t="shared" si="121"/>
        <v>5</v>
      </c>
      <c r="U230" s="102">
        <f t="shared" si="122"/>
        <v>18</v>
      </c>
      <c r="V230" s="102">
        <f t="shared" si="123"/>
        <v>89</v>
      </c>
      <c r="W230" s="103">
        <f t="shared" si="103"/>
        <v>45203</v>
      </c>
      <c r="X230" s="103">
        <f t="shared" si="104"/>
        <v>45228</v>
      </c>
      <c r="Y230" s="103">
        <f t="shared" si="105"/>
        <v>45263</v>
      </c>
      <c r="Z230" s="103">
        <f t="shared" si="106"/>
        <v>45266</v>
      </c>
      <c r="AA230" s="103">
        <f t="shared" si="107"/>
        <v>45269</v>
      </c>
      <c r="AB230" s="103" t="str">
        <f t="shared" si="108"/>
        <v>---</v>
      </c>
      <c r="AC230" s="103">
        <f t="shared" si="109"/>
        <v>45274</v>
      </c>
    </row>
    <row r="231" spans="1:29" ht="36">
      <c r="A231" s="90" t="s">
        <v>1066</v>
      </c>
      <c r="B231" s="89" t="str">
        <f>IFERROR(VLOOKUP(A231,PAC!$A$2:$V$5011,2,0),"")</f>
        <v>Aquisição de água mineral em garrafão de 20l e em garrafa de 500ml e copo descartável de 200ml</v>
      </c>
      <c r="C231" s="90" t="s">
        <v>1213</v>
      </c>
      <c r="D231" s="98">
        <f>IFERROR(VLOOKUP(A231,PAC!$A$2:$V$5011,16,0),"")</f>
        <v>45292</v>
      </c>
      <c r="E231" s="99" t="str">
        <f>VLOOKUP(A231,PAC!$A$2:$V$5011,17,0)</f>
        <v>30 DIAS</v>
      </c>
      <c r="F231" s="100">
        <f>IFERROR(VLOOKUP(A231,PAC!$A$2:$V$5011,14,0),"")</f>
        <v>1200</v>
      </c>
      <c r="G231" s="100" t="str">
        <f>IFERROR(VLOOKUP(A231,PAC!$A$2:$V$5011,19,0),"")</f>
        <v>DISPENSA</v>
      </c>
      <c r="H231" s="111" t="s">
        <v>1180</v>
      </c>
      <c r="I231" s="111" t="s">
        <v>22</v>
      </c>
      <c r="J231" s="110">
        <f>SUMIF(PAC!$A$2:$A$5011,A231,PAC!$W$2:$W$5011)</f>
        <v>1</v>
      </c>
      <c r="K231" s="110">
        <f t="shared" si="116"/>
        <v>15</v>
      </c>
      <c r="L231" s="102">
        <f t="shared" si="117"/>
        <v>10</v>
      </c>
      <c r="M231" s="102" t="str">
        <f t="shared" si="102"/>
        <v>0</v>
      </c>
      <c r="N231" s="102" t="str">
        <f t="shared" si="111"/>
        <v>0</v>
      </c>
      <c r="O231" s="102" t="str">
        <f t="shared" si="112"/>
        <v>0</v>
      </c>
      <c r="P231" s="102">
        <f t="shared" si="118"/>
        <v>35</v>
      </c>
      <c r="Q231" s="102">
        <f t="shared" si="119"/>
        <v>3</v>
      </c>
      <c r="R231" s="102">
        <f t="shared" si="120"/>
        <v>3</v>
      </c>
      <c r="S231" s="102" t="str">
        <f t="shared" si="113"/>
        <v>0</v>
      </c>
      <c r="T231" s="102">
        <f t="shared" si="121"/>
        <v>5</v>
      </c>
      <c r="U231" s="102">
        <f t="shared" si="122"/>
        <v>18</v>
      </c>
      <c r="V231" s="102">
        <f t="shared" si="123"/>
        <v>89</v>
      </c>
      <c r="W231" s="103">
        <f t="shared" si="103"/>
        <v>45203</v>
      </c>
      <c r="X231" s="103">
        <f t="shared" si="104"/>
        <v>45228</v>
      </c>
      <c r="Y231" s="103">
        <f t="shared" si="105"/>
        <v>45263</v>
      </c>
      <c r="Z231" s="103">
        <f t="shared" si="106"/>
        <v>45266</v>
      </c>
      <c r="AA231" s="103">
        <f t="shared" si="107"/>
        <v>45269</v>
      </c>
      <c r="AB231" s="103" t="str">
        <f t="shared" si="108"/>
        <v>---</v>
      </c>
      <c r="AC231" s="103">
        <f t="shared" si="109"/>
        <v>45274</v>
      </c>
    </row>
    <row r="232" spans="1:29" ht="24">
      <c r="A232" s="90" t="s">
        <v>1070</v>
      </c>
      <c r="B232" s="89" t="str">
        <f>IFERROR(VLOOKUP(A232,PAC!$A$2:$V$5011,2,0),"")</f>
        <v>Fornecimento de energia elétrica </v>
      </c>
      <c r="C232" s="90" t="s">
        <v>1213</v>
      </c>
      <c r="D232" s="98">
        <f>IFERROR(VLOOKUP(A232,PAC!$A$2:$V$5011,16,0),"")</f>
        <v>45292</v>
      </c>
      <c r="E232" s="99" t="str">
        <f>VLOOKUP(A232,PAC!$A$2:$V$5011,17,0)</f>
        <v>15 DIAS</v>
      </c>
      <c r="F232" s="100">
        <f>IFERROR(VLOOKUP(A232,PAC!$A$2:$V$5011,14,0),"")</f>
        <v>71650.95</v>
      </c>
      <c r="G232" s="100" t="str">
        <f>IFERROR(VLOOKUP(A232,PAC!$A$2:$V$5011,19,0),"")</f>
        <v>INEXIGIBILIDADE</v>
      </c>
      <c r="H232" s="111" t="s">
        <v>22</v>
      </c>
      <c r="I232" s="111" t="s">
        <v>22</v>
      </c>
      <c r="J232" s="110">
        <f>SUMIF(PAC!$A$2:$A$5011,A232,PAC!$W$2:$W$5011)</f>
        <v>1</v>
      </c>
      <c r="K232" s="110">
        <f t="shared" si="116"/>
        <v>15</v>
      </c>
      <c r="L232" s="102">
        <f t="shared" si="117"/>
        <v>10</v>
      </c>
      <c r="M232" s="102" t="str">
        <f t="shared" si="102"/>
        <v>0</v>
      </c>
      <c r="N232" s="102" t="str">
        <f t="shared" si="111"/>
        <v>0</v>
      </c>
      <c r="O232" s="102" t="str">
        <f t="shared" si="112"/>
        <v>0</v>
      </c>
      <c r="P232" s="102">
        <f t="shared" si="118"/>
        <v>35</v>
      </c>
      <c r="Q232" s="102">
        <f t="shared" si="119"/>
        <v>3</v>
      </c>
      <c r="R232" s="102">
        <f t="shared" si="120"/>
        <v>3</v>
      </c>
      <c r="S232" s="102" t="str">
        <f t="shared" si="113"/>
        <v>0</v>
      </c>
      <c r="T232" s="102">
        <f t="shared" si="121"/>
        <v>3</v>
      </c>
      <c r="U232" s="102">
        <f t="shared" si="122"/>
        <v>18</v>
      </c>
      <c r="V232" s="102">
        <f t="shared" si="123"/>
        <v>87</v>
      </c>
      <c r="W232" s="103">
        <f t="shared" si="103"/>
        <v>45205</v>
      </c>
      <c r="X232" s="103">
        <f t="shared" si="104"/>
        <v>45230</v>
      </c>
      <c r="Y232" s="103">
        <f t="shared" si="105"/>
        <v>45265</v>
      </c>
      <c r="Z232" s="103">
        <f t="shared" si="106"/>
        <v>45268</v>
      </c>
      <c r="AA232" s="103">
        <f t="shared" si="107"/>
        <v>45271</v>
      </c>
      <c r="AB232" s="103" t="str">
        <f t="shared" si="108"/>
        <v>---</v>
      </c>
      <c r="AC232" s="103">
        <f t="shared" si="109"/>
        <v>45274</v>
      </c>
    </row>
    <row r="233" spans="1:29" ht="24">
      <c r="A233" s="90" t="s">
        <v>1073</v>
      </c>
      <c r="B233" s="89" t="str">
        <f>IFERROR(VLOOKUP(A233,PAC!$A$2:$V$5011,2,0),"")</f>
        <v>Manuteção preventiva e corretiva em equipamento de ar condicionado</v>
      </c>
      <c r="C233" s="90" t="s">
        <v>1213</v>
      </c>
      <c r="D233" s="98">
        <f>IFERROR(VLOOKUP(A233,PAC!$A$2:$V$5011,16,0),"")</f>
        <v>45474</v>
      </c>
      <c r="E233" s="99" t="str">
        <f>VLOOKUP(A233,PAC!$A$2:$V$5011,17,0)</f>
        <v>30 DIAS</v>
      </c>
      <c r="F233" s="100">
        <f>IFERROR(VLOOKUP(A233,PAC!$A$2:$V$5011,14,0),"")</f>
        <v>11140</v>
      </c>
      <c r="G233" s="100" t="str">
        <f>IFERROR(VLOOKUP(A233,PAC!$A$2:$V$5011,19,0),"")</f>
        <v>DISPENSA</v>
      </c>
      <c r="H233" s="111" t="s">
        <v>1180</v>
      </c>
      <c r="I233" s="111" t="s">
        <v>22</v>
      </c>
      <c r="J233" s="110">
        <f>SUMIF(PAC!$A$2:$A$5011,A233,PAC!$W$2:$W$5011)</f>
        <v>1</v>
      </c>
      <c r="K233" s="110">
        <f t="shared" si="116"/>
        <v>15</v>
      </c>
      <c r="L233" s="102">
        <f t="shared" si="117"/>
        <v>10</v>
      </c>
      <c r="M233" s="102" t="str">
        <f t="shared" si="102"/>
        <v>0</v>
      </c>
      <c r="N233" s="102" t="str">
        <f t="shared" si="111"/>
        <v>0</v>
      </c>
      <c r="O233" s="102" t="str">
        <f t="shared" si="112"/>
        <v>0</v>
      </c>
      <c r="P233" s="102">
        <f t="shared" si="118"/>
        <v>35</v>
      </c>
      <c r="Q233" s="102">
        <f t="shared" si="119"/>
        <v>3</v>
      </c>
      <c r="R233" s="102">
        <f t="shared" si="120"/>
        <v>3</v>
      </c>
      <c r="S233" s="102" t="str">
        <f t="shared" si="113"/>
        <v>0</v>
      </c>
      <c r="T233" s="102">
        <f t="shared" si="121"/>
        <v>5</v>
      </c>
      <c r="U233" s="102">
        <f t="shared" si="122"/>
        <v>18</v>
      </c>
      <c r="V233" s="102">
        <f t="shared" si="123"/>
        <v>89</v>
      </c>
      <c r="W233" s="103">
        <f t="shared" si="103"/>
        <v>45385</v>
      </c>
      <c r="X233" s="103">
        <f t="shared" si="104"/>
        <v>45410</v>
      </c>
      <c r="Y233" s="103">
        <f t="shared" si="105"/>
        <v>45445</v>
      </c>
      <c r="Z233" s="103">
        <f t="shared" si="106"/>
        <v>45448</v>
      </c>
      <c r="AA233" s="103">
        <f t="shared" si="107"/>
        <v>45451</v>
      </c>
      <c r="AB233" s="103" t="str">
        <f t="shared" si="108"/>
        <v>---</v>
      </c>
      <c r="AC233" s="103">
        <f t="shared" si="109"/>
        <v>45456</v>
      </c>
    </row>
    <row r="234" spans="1:29" ht="15">
      <c r="A234" s="90" t="s">
        <v>1075</v>
      </c>
      <c r="B234" s="89" t="str">
        <f>IFERROR(VLOOKUP(A234,PAC!$A$2:$V$5011,2,0),"")</f>
        <v>Recarga de extintores de incêndio</v>
      </c>
      <c r="C234" s="90" t="s">
        <v>1213</v>
      </c>
      <c r="D234" s="98">
        <f>IFERROR(VLOOKUP(A234,PAC!$A$2:$V$5011,16,0),"")</f>
        <v>45473</v>
      </c>
      <c r="E234" s="99" t="str">
        <f>VLOOKUP(A234,PAC!$A$2:$V$5011,17,0)</f>
        <v>30 DIAS</v>
      </c>
      <c r="F234" s="100">
        <f>IFERROR(VLOOKUP(A234,PAC!$A$2:$V$5011,14,0),"")</f>
        <v>480</v>
      </c>
      <c r="G234" s="100" t="str">
        <f>IFERROR(VLOOKUP(A234,PAC!$A$2:$V$5011,19,0),"")</f>
        <v>DISPENSA</v>
      </c>
      <c r="H234" s="111" t="s">
        <v>1180</v>
      </c>
      <c r="I234" s="111" t="s">
        <v>22</v>
      </c>
      <c r="J234" s="110">
        <f>SUMIF(PAC!$A$2:$A$5011,A234,PAC!$W$2:$W$5011)</f>
        <v>1</v>
      </c>
      <c r="K234" s="110">
        <f t="shared" si="116"/>
        <v>15</v>
      </c>
      <c r="L234" s="102">
        <f t="shared" si="117"/>
        <v>10</v>
      </c>
      <c r="M234" s="102" t="str">
        <f t="shared" si="102"/>
        <v>0</v>
      </c>
      <c r="N234" s="102" t="str">
        <f t="shared" si="111"/>
        <v>0</v>
      </c>
      <c r="O234" s="102" t="str">
        <f t="shared" si="112"/>
        <v>0</v>
      </c>
      <c r="P234" s="102">
        <f t="shared" si="118"/>
        <v>35</v>
      </c>
      <c r="Q234" s="102">
        <f t="shared" si="119"/>
        <v>3</v>
      </c>
      <c r="R234" s="102">
        <f t="shared" si="120"/>
        <v>3</v>
      </c>
      <c r="S234" s="102" t="str">
        <f t="shared" si="113"/>
        <v>0</v>
      </c>
      <c r="T234" s="102">
        <f t="shared" si="121"/>
        <v>5</v>
      </c>
      <c r="U234" s="102">
        <f t="shared" si="122"/>
        <v>18</v>
      </c>
      <c r="V234" s="102">
        <f t="shared" si="123"/>
        <v>89</v>
      </c>
      <c r="W234" s="103">
        <f t="shared" si="103"/>
        <v>45384</v>
      </c>
      <c r="X234" s="103">
        <f t="shared" si="104"/>
        <v>45409</v>
      </c>
      <c r="Y234" s="103">
        <f t="shared" si="105"/>
        <v>45444</v>
      </c>
      <c r="Z234" s="103">
        <f t="shared" si="106"/>
        <v>45447</v>
      </c>
      <c r="AA234" s="103">
        <f t="shared" si="107"/>
        <v>45450</v>
      </c>
      <c r="AB234" s="103" t="str">
        <f t="shared" si="108"/>
        <v>---</v>
      </c>
      <c r="AC234" s="103">
        <f t="shared" si="109"/>
        <v>45455</v>
      </c>
    </row>
    <row r="235" spans="1:29" ht="15">
      <c r="A235" s="90" t="s">
        <v>1080</v>
      </c>
      <c r="B235" s="89" t="str">
        <f>IFERROR(VLOOKUP(A235,PAC!$A$2:$V$5011,2,0),"")</f>
        <v>Recarga de extintores de incêndio</v>
      </c>
      <c r="C235" s="90" t="s">
        <v>1213</v>
      </c>
      <c r="D235" s="98">
        <f>IFERROR(VLOOKUP(A235,PAC!$A$2:$V$5011,16,0),"")</f>
        <v>45473</v>
      </c>
      <c r="E235" s="99" t="str">
        <f>VLOOKUP(A235,PAC!$A$2:$V$5011,17,0)</f>
        <v>30 DIAS</v>
      </c>
      <c r="F235" s="100">
        <f>IFERROR(VLOOKUP(A235,PAC!$A$2:$V$5011,14,0),"")</f>
        <v>800</v>
      </c>
      <c r="G235" s="100" t="str">
        <f>IFERROR(VLOOKUP(A235,PAC!$A$2:$V$5011,19,0),"")</f>
        <v>DISPENSA</v>
      </c>
      <c r="H235" s="111" t="s">
        <v>1180</v>
      </c>
      <c r="I235" s="111" t="s">
        <v>22</v>
      </c>
      <c r="J235" s="110">
        <f>SUMIF(PAC!$A$2:$A$5011,A235,PAC!$W$2:$W$5011)</f>
        <v>1</v>
      </c>
      <c r="K235" s="110">
        <f t="shared" si="116"/>
        <v>15</v>
      </c>
      <c r="L235" s="102">
        <f t="shared" si="117"/>
        <v>10</v>
      </c>
      <c r="M235" s="102" t="str">
        <f t="shared" si="102"/>
        <v>0</v>
      </c>
      <c r="N235" s="102" t="str">
        <f t="shared" si="111"/>
        <v>0</v>
      </c>
      <c r="O235" s="102" t="str">
        <f t="shared" si="112"/>
        <v>0</v>
      </c>
      <c r="P235" s="102">
        <f t="shared" si="118"/>
        <v>35</v>
      </c>
      <c r="Q235" s="102">
        <f t="shared" si="119"/>
        <v>3</v>
      </c>
      <c r="R235" s="102">
        <f t="shared" si="120"/>
        <v>3</v>
      </c>
      <c r="S235" s="102" t="str">
        <f t="shared" si="113"/>
        <v>0</v>
      </c>
      <c r="T235" s="102">
        <f t="shared" si="121"/>
        <v>5</v>
      </c>
      <c r="U235" s="102">
        <f t="shared" si="122"/>
        <v>18</v>
      </c>
      <c r="V235" s="102">
        <f t="shared" si="123"/>
        <v>89</v>
      </c>
      <c r="W235" s="103">
        <f t="shared" si="103"/>
        <v>45384</v>
      </c>
      <c r="X235" s="103">
        <f t="shared" si="104"/>
        <v>45409</v>
      </c>
      <c r="Y235" s="103">
        <f t="shared" si="105"/>
        <v>45444</v>
      </c>
      <c r="Z235" s="103">
        <f t="shared" si="106"/>
        <v>45447</v>
      </c>
      <c r="AA235" s="103">
        <f t="shared" si="107"/>
        <v>45450</v>
      </c>
      <c r="AB235" s="103" t="str">
        <f t="shared" si="108"/>
        <v>---</v>
      </c>
      <c r="AC235" s="103">
        <f t="shared" si="109"/>
        <v>45455</v>
      </c>
    </row>
    <row r="236" spans="1:29" ht="15">
      <c r="A236" s="90" t="s">
        <v>1082</v>
      </c>
      <c r="B236" s="89" t="str">
        <f>IFERROR(VLOOKUP(A236,PAC!$A$2:$V$5011,2,0),"")</f>
        <v>Recarga de extintores de incêndio</v>
      </c>
      <c r="C236" s="90" t="s">
        <v>1213</v>
      </c>
      <c r="D236" s="98">
        <f>IFERROR(VLOOKUP(A236,PAC!$A$2:$V$5011,16,0),"")</f>
        <v>45473</v>
      </c>
      <c r="E236" s="99" t="str">
        <f>VLOOKUP(A236,PAC!$A$2:$V$5011,17,0)</f>
        <v>30 DIAS</v>
      </c>
      <c r="F236" s="100">
        <f>IFERROR(VLOOKUP(A236,PAC!$A$2:$V$5011,14,0),"")</f>
        <v>600</v>
      </c>
      <c r="G236" s="100" t="str">
        <f>IFERROR(VLOOKUP(A236,PAC!$A$2:$V$5011,19,0),"")</f>
        <v>DISPENSA</v>
      </c>
      <c r="H236" s="111" t="s">
        <v>22</v>
      </c>
      <c r="I236" s="111" t="s">
        <v>22</v>
      </c>
      <c r="J236" s="110">
        <f>SUMIF(PAC!$A$2:$A$5011,A236,PAC!$W$2:$W$5011)</f>
        <v>1</v>
      </c>
      <c r="K236" s="110">
        <f t="shared" si="116"/>
        <v>15</v>
      </c>
      <c r="L236" s="102">
        <f t="shared" si="117"/>
        <v>10</v>
      </c>
      <c r="M236" s="102" t="str">
        <f t="shared" si="102"/>
        <v>0</v>
      </c>
      <c r="N236" s="102" t="str">
        <f t="shared" si="111"/>
        <v>0</v>
      </c>
      <c r="O236" s="102" t="str">
        <f t="shared" si="112"/>
        <v>0</v>
      </c>
      <c r="P236" s="102">
        <f t="shared" si="118"/>
        <v>35</v>
      </c>
      <c r="Q236" s="102">
        <f t="shared" si="119"/>
        <v>3</v>
      </c>
      <c r="R236" s="102">
        <f t="shared" si="120"/>
        <v>3</v>
      </c>
      <c r="S236" s="102" t="str">
        <f t="shared" si="113"/>
        <v>0</v>
      </c>
      <c r="T236" s="102">
        <f t="shared" si="121"/>
        <v>3</v>
      </c>
      <c r="U236" s="102">
        <f t="shared" si="122"/>
        <v>18</v>
      </c>
      <c r="V236" s="102">
        <f t="shared" si="123"/>
        <v>87</v>
      </c>
      <c r="W236" s="103">
        <f t="shared" si="103"/>
        <v>45386</v>
      </c>
      <c r="X236" s="103">
        <f t="shared" si="104"/>
        <v>45411</v>
      </c>
      <c r="Y236" s="103">
        <f t="shared" si="105"/>
        <v>45446</v>
      </c>
      <c r="Z236" s="103">
        <f t="shared" si="106"/>
        <v>45449</v>
      </c>
      <c r="AA236" s="103">
        <f t="shared" si="107"/>
        <v>45452</v>
      </c>
      <c r="AB236" s="103" t="str">
        <f t="shared" si="108"/>
        <v>---</v>
      </c>
      <c r="AC236" s="103">
        <f t="shared" si="109"/>
        <v>45455</v>
      </c>
    </row>
    <row r="237" spans="1:29" ht="24">
      <c r="A237" s="90" t="s">
        <v>1084</v>
      </c>
      <c r="B237" s="89" t="str">
        <f>IFERROR(VLOOKUP(A237,PAC!$A$2:$V$5011,2,0),"")</f>
        <v>Locação de imóvel que abriga a Subseção Judiciária de Tucuruí</v>
      </c>
      <c r="C237" s="90" t="s">
        <v>1213</v>
      </c>
      <c r="D237" s="98">
        <f>IFERROR(VLOOKUP(A237,PAC!$A$2:$V$5011,16,0),"")</f>
        <v>45292</v>
      </c>
      <c r="E237" s="99" t="str">
        <f>VLOOKUP(A237,PAC!$A$2:$V$5011,17,0)</f>
        <v>30 DIAS</v>
      </c>
      <c r="F237" s="100">
        <f>IFERROR(VLOOKUP(A237,PAC!$A$2:$V$5011,14,0),"")</f>
        <v>206388</v>
      </c>
      <c r="G237" s="100" t="str">
        <f>IFERROR(VLOOKUP(A237,PAC!$A$2:$V$5011,19,0),"")</f>
        <v>PRORROGAÇÃO</v>
      </c>
      <c r="H237" s="111" t="s">
        <v>22</v>
      </c>
      <c r="I237" s="111" t="s">
        <v>22</v>
      </c>
      <c r="J237" s="110">
        <f>SUMIF(PAC!$A$2:$A$5011,A237,PAC!$W$2:$W$5011)</f>
        <v>1</v>
      </c>
      <c r="K237" s="110" t="str">
        <f t="shared" si="116"/>
        <v>0</v>
      </c>
      <c r="L237" s="102" t="str">
        <f t="shared" si="117"/>
        <v>0</v>
      </c>
      <c r="M237" s="102" t="str">
        <f t="shared" si="102"/>
        <v>0</v>
      </c>
      <c r="N237" s="102" t="str">
        <f t="shared" si="111"/>
        <v>0</v>
      </c>
      <c r="O237" s="102" t="str">
        <f t="shared" si="112"/>
        <v>0</v>
      </c>
      <c r="P237" s="102" t="str">
        <f t="shared" si="118"/>
        <v>0</v>
      </c>
      <c r="Q237" s="102" t="str">
        <f t="shared" si="119"/>
        <v>0</v>
      </c>
      <c r="R237" s="102" t="str">
        <f t="shared" si="120"/>
        <v>0</v>
      </c>
      <c r="S237" s="102">
        <f t="shared" si="113"/>
        <v>60</v>
      </c>
      <c r="T237" s="102" t="str">
        <f t="shared" si="121"/>
        <v>0</v>
      </c>
      <c r="U237" s="102">
        <f t="shared" si="122"/>
        <v>18</v>
      </c>
      <c r="V237" s="102">
        <f t="shared" si="123"/>
        <v>78</v>
      </c>
      <c r="W237" s="103" t="str">
        <f t="shared" si="103"/>
        <v>---</v>
      </c>
      <c r="X237" s="103" t="str">
        <f t="shared" si="104"/>
        <v>---</v>
      </c>
      <c r="Y237" s="103" t="str">
        <f t="shared" si="105"/>
        <v>---</v>
      </c>
      <c r="Z237" s="103" t="str">
        <f t="shared" si="106"/>
        <v>---</v>
      </c>
      <c r="AA237" s="103" t="str">
        <f t="shared" si="107"/>
        <v>---</v>
      </c>
      <c r="AB237" s="103">
        <f t="shared" si="108"/>
        <v>45214</v>
      </c>
      <c r="AC237" s="103">
        <f t="shared" si="109"/>
        <v>45274</v>
      </c>
    </row>
    <row r="238" spans="1:29" ht="36">
      <c r="A238" s="90" t="s">
        <v>1088</v>
      </c>
      <c r="B238" s="89" t="str">
        <f>IFERROR(VLOOKUP(A238,PAC!$A$2:$V$5011,2,0),"")</f>
        <v>Contratação de empresa  para fazer adaptação do imóvel que abrigará a sede da Subseção Judiciária de Tucuruí</v>
      </c>
      <c r="C238" s="90" t="s">
        <v>1213</v>
      </c>
      <c r="D238" s="98">
        <f>IFERROR(VLOOKUP(A238,PAC!$A$2:$V$5011,16,0),"")</f>
        <v>45646</v>
      </c>
      <c r="E238" s="99" t="str">
        <f>VLOOKUP(A238,PAC!$A$2:$V$5011,17,0)</f>
        <v>90 DIAS</v>
      </c>
      <c r="F238" s="100">
        <f>IFERROR(VLOOKUP(A238,PAC!$A$2:$V$5011,14,0),"")</f>
        <v>1453983.04</v>
      </c>
      <c r="G238" s="100" t="str">
        <f>IFERROR(VLOOKUP(A238,PAC!$A$2:$V$5011,19,0),"")</f>
        <v>LICITAÇÃO</v>
      </c>
      <c r="H238" s="111" t="s">
        <v>22</v>
      </c>
      <c r="I238" s="111" t="s">
        <v>22</v>
      </c>
      <c r="J238" s="110">
        <f>SUMIF(PAC!$A$2:$A$5011,A238,PAC!$W$2:$W$5011)</f>
        <v>1</v>
      </c>
      <c r="K238" s="110">
        <f t="shared" si="116"/>
        <v>15</v>
      </c>
      <c r="L238" s="102">
        <f t="shared" si="117"/>
        <v>10</v>
      </c>
      <c r="M238" s="102">
        <f t="shared" si="102"/>
        <v>20</v>
      </c>
      <c r="N238" s="102">
        <f t="shared" si="111"/>
        <v>15</v>
      </c>
      <c r="O238" s="102">
        <f t="shared" si="112"/>
        <v>25</v>
      </c>
      <c r="P238" s="102" t="str">
        <f t="shared" si="118"/>
        <v>0</v>
      </c>
      <c r="Q238" s="102" t="str">
        <f t="shared" si="119"/>
        <v>0</v>
      </c>
      <c r="R238" s="102" t="str">
        <f t="shared" si="120"/>
        <v>0</v>
      </c>
      <c r="S238" s="102" t="str">
        <f t="shared" si="113"/>
        <v>0</v>
      </c>
      <c r="T238" s="102">
        <f t="shared" si="121"/>
        <v>3</v>
      </c>
      <c r="U238" s="102">
        <f t="shared" si="122"/>
        <v>18</v>
      </c>
      <c r="V238" s="102">
        <f t="shared" si="123"/>
        <v>106</v>
      </c>
      <c r="W238" s="103">
        <f t="shared" si="103"/>
        <v>45540</v>
      </c>
      <c r="X238" s="103">
        <f t="shared" si="104"/>
        <v>45565</v>
      </c>
      <c r="Y238" s="103">
        <f t="shared" si="105"/>
        <v>45585</v>
      </c>
      <c r="Z238" s="103">
        <f t="shared" si="106"/>
        <v>45600</v>
      </c>
      <c r="AA238" s="103">
        <f t="shared" si="107"/>
        <v>45625</v>
      </c>
      <c r="AB238" s="103" t="str">
        <f t="shared" si="108"/>
        <v>---</v>
      </c>
      <c r="AC238" s="103">
        <f t="shared" si="109"/>
        <v>45628</v>
      </c>
    </row>
    <row r="239" spans="1:29" ht="48">
      <c r="A239" s="90" t="s">
        <v>1096</v>
      </c>
      <c r="B239" s="89" t="str">
        <f>IFERROR(VLOOKUP(A239,PAC!$A$2:$V$5011,2,0),"")</f>
        <v>Aparelho de ar condicionado, capacidade refrigeração: 18.000 e 22.000 btu, tensão: 220 v, tipo: split, características adicionais 1: controle remoto sem fio, inverter</v>
      </c>
      <c r="C239" s="90" t="s">
        <v>1213</v>
      </c>
      <c r="D239" s="98">
        <f>IFERROR(VLOOKUP(A239,PAC!$A$2:$V$5011,16,0),"")</f>
        <v>45565</v>
      </c>
      <c r="E239" s="99" t="str">
        <f>VLOOKUP(A239,PAC!$A$2:$V$5011,17,0)</f>
        <v>30 DIAS</v>
      </c>
      <c r="F239" s="100">
        <f>IFERROR(VLOOKUP(A239,PAC!$A$2:$V$5011,14,0),"")</f>
        <v>8937</v>
      </c>
      <c r="G239" s="100" t="str">
        <f>IFERROR(VLOOKUP(A239,PAC!$A$2:$V$5011,19,0),"")</f>
        <v>DISPENSA</v>
      </c>
      <c r="H239" s="111" t="s">
        <v>22</v>
      </c>
      <c r="I239" s="111" t="s">
        <v>22</v>
      </c>
      <c r="J239" s="110">
        <f>SUMIF(PAC!$A$2:$A$5011,A239,PAC!$W$2:$W$5011)</f>
        <v>1</v>
      </c>
      <c r="K239" s="110">
        <f t="shared" si="116"/>
        <v>15</v>
      </c>
      <c r="L239" s="102">
        <f t="shared" si="117"/>
        <v>10</v>
      </c>
      <c r="M239" s="102" t="str">
        <f t="shared" si="102"/>
        <v>0</v>
      </c>
      <c r="N239" s="102" t="str">
        <f t="shared" si="111"/>
        <v>0</v>
      </c>
      <c r="O239" s="102" t="str">
        <f t="shared" si="112"/>
        <v>0</v>
      </c>
      <c r="P239" s="102">
        <f t="shared" si="118"/>
        <v>35</v>
      </c>
      <c r="Q239" s="102">
        <f t="shared" si="119"/>
        <v>3</v>
      </c>
      <c r="R239" s="102">
        <f t="shared" si="120"/>
        <v>3</v>
      </c>
      <c r="S239" s="102" t="str">
        <f t="shared" si="113"/>
        <v>0</v>
      </c>
      <c r="T239" s="102">
        <f t="shared" si="121"/>
        <v>3</v>
      </c>
      <c r="U239" s="102">
        <f t="shared" si="122"/>
        <v>18</v>
      </c>
      <c r="V239" s="102">
        <f t="shared" si="123"/>
        <v>87</v>
      </c>
      <c r="W239" s="103">
        <f t="shared" si="103"/>
        <v>45478</v>
      </c>
      <c r="X239" s="103">
        <f t="shared" si="104"/>
        <v>45503</v>
      </c>
      <c r="Y239" s="103">
        <f t="shared" si="105"/>
        <v>45538</v>
      </c>
      <c r="Z239" s="103">
        <f t="shared" si="106"/>
        <v>45541</v>
      </c>
      <c r="AA239" s="103">
        <f t="shared" si="107"/>
        <v>45544</v>
      </c>
      <c r="AB239" s="103" t="str">
        <f t="shared" si="108"/>
        <v>---</v>
      </c>
      <c r="AC239" s="103">
        <f t="shared" si="109"/>
        <v>45547</v>
      </c>
    </row>
    <row r="240" spans="1:29" ht="48">
      <c r="A240" s="90" t="s">
        <v>1101</v>
      </c>
      <c r="B240" s="89" t="str">
        <f>IFERROR(VLOOKUP(A240,PAC!$A$2:$V$5011,2,0),"")</f>
        <v>Aparelho de ar condicionado, capacidade refrigeração: 18.000 e 22.000 btu, tensão: 220 v, tipo: split, características adicionais 1: controle remoto sem fio, inverter</v>
      </c>
      <c r="C240" s="90" t="s">
        <v>1213</v>
      </c>
      <c r="D240" s="98">
        <f>IFERROR(VLOOKUP(A240,PAC!$A$2:$V$5011,16,0),"")</f>
        <v>45565</v>
      </c>
      <c r="E240" s="99" t="str">
        <f>VLOOKUP(A240,PAC!$A$2:$V$5011,17,0)</f>
        <v>30 DIAS</v>
      </c>
      <c r="F240" s="100">
        <f>IFERROR(VLOOKUP(A240,PAC!$A$2:$V$5011,14,0),"")</f>
        <v>7266</v>
      </c>
      <c r="G240" s="100" t="str">
        <f>IFERROR(VLOOKUP(A240,PAC!$A$2:$V$5011,19,0),"")</f>
        <v>DISPENSA</v>
      </c>
      <c r="H240" s="111" t="s">
        <v>22</v>
      </c>
      <c r="I240" s="111" t="s">
        <v>22</v>
      </c>
      <c r="J240" s="110">
        <f>SUMIF(PAC!$A$2:$A$5011,A240,PAC!$W$2:$W$5011)</f>
        <v>1</v>
      </c>
      <c r="K240" s="110">
        <f t="shared" si="116"/>
        <v>15</v>
      </c>
      <c r="L240" s="102">
        <f t="shared" si="117"/>
        <v>10</v>
      </c>
      <c r="M240" s="102" t="str">
        <f t="shared" si="102"/>
        <v>0</v>
      </c>
      <c r="N240" s="102" t="str">
        <f t="shared" si="111"/>
        <v>0</v>
      </c>
      <c r="O240" s="102" t="str">
        <f t="shared" si="112"/>
        <v>0</v>
      </c>
      <c r="P240" s="102">
        <f t="shared" si="118"/>
        <v>35</v>
      </c>
      <c r="Q240" s="102">
        <f t="shared" si="119"/>
        <v>3</v>
      </c>
      <c r="R240" s="102">
        <f t="shared" si="120"/>
        <v>3</v>
      </c>
      <c r="S240" s="102" t="str">
        <f t="shared" si="113"/>
        <v>0</v>
      </c>
      <c r="T240" s="102">
        <f t="shared" si="121"/>
        <v>3</v>
      </c>
      <c r="U240" s="102">
        <f t="shared" si="122"/>
        <v>18</v>
      </c>
      <c r="V240" s="102">
        <f t="shared" si="123"/>
        <v>87</v>
      </c>
      <c r="W240" s="103">
        <f t="shared" si="103"/>
        <v>45478</v>
      </c>
      <c r="X240" s="103">
        <f t="shared" si="104"/>
        <v>45503</v>
      </c>
      <c r="Y240" s="103">
        <f t="shared" si="105"/>
        <v>45538</v>
      </c>
      <c r="Z240" s="103">
        <f t="shared" si="106"/>
        <v>45541</v>
      </c>
      <c r="AA240" s="103">
        <f t="shared" si="107"/>
        <v>45544</v>
      </c>
      <c r="AB240" s="103" t="str">
        <f t="shared" si="108"/>
        <v>---</v>
      </c>
      <c r="AC240" s="103">
        <f t="shared" si="109"/>
        <v>45547</v>
      </c>
    </row>
    <row r="241" spans="1:29" ht="24">
      <c r="A241" s="90" t="s">
        <v>1103</v>
      </c>
      <c r="B241" s="89" t="str">
        <f>IFERROR(VLOOKUP(A241,PAC!$A$2:$V$5011,2,0),"")</f>
        <v>Instalação de ar condicionados de 18.000 e 22.000 btu</v>
      </c>
      <c r="C241" s="90" t="s">
        <v>1213</v>
      </c>
      <c r="D241" s="98">
        <f>IFERROR(VLOOKUP(A241,PAC!$A$2:$V$5011,16,0),"")</f>
        <v>45596</v>
      </c>
      <c r="E241" s="99" t="str">
        <f>VLOOKUP(A241,PAC!$A$2:$V$5011,17,0)</f>
        <v>30 DIAS</v>
      </c>
      <c r="F241" s="100">
        <f>IFERROR(VLOOKUP(A241,PAC!$A$2:$V$5011,14,0),"")</f>
        <v>3700</v>
      </c>
      <c r="G241" s="100" t="str">
        <f>IFERROR(VLOOKUP(A241,PAC!$A$2:$V$5011,19,0),"")</f>
        <v>DISPENSA</v>
      </c>
      <c r="H241" s="111" t="s">
        <v>22</v>
      </c>
      <c r="I241" s="111" t="s">
        <v>22</v>
      </c>
      <c r="J241" s="110">
        <f>SUMIF(PAC!$A$2:$A$5011,A241,PAC!$W$2:$W$5011)</f>
        <v>1</v>
      </c>
      <c r="K241" s="110">
        <f t="shared" si="116"/>
        <v>15</v>
      </c>
      <c r="L241" s="102">
        <f t="shared" si="117"/>
        <v>10</v>
      </c>
      <c r="M241" s="102" t="str">
        <f t="shared" si="102"/>
        <v>0</v>
      </c>
      <c r="N241" s="102" t="str">
        <f t="shared" si="111"/>
        <v>0</v>
      </c>
      <c r="O241" s="102" t="str">
        <f t="shared" si="112"/>
        <v>0</v>
      </c>
      <c r="P241" s="102">
        <f t="shared" si="118"/>
        <v>35</v>
      </c>
      <c r="Q241" s="102">
        <f t="shared" si="119"/>
        <v>3</v>
      </c>
      <c r="R241" s="102">
        <f t="shared" si="120"/>
        <v>3</v>
      </c>
      <c r="S241" s="102" t="str">
        <f t="shared" si="113"/>
        <v>0</v>
      </c>
      <c r="T241" s="102">
        <f t="shared" si="121"/>
        <v>3</v>
      </c>
      <c r="U241" s="102">
        <f t="shared" si="122"/>
        <v>18</v>
      </c>
      <c r="V241" s="102">
        <f t="shared" si="123"/>
        <v>87</v>
      </c>
      <c r="W241" s="103">
        <f t="shared" si="103"/>
        <v>45509</v>
      </c>
      <c r="X241" s="103">
        <f t="shared" si="104"/>
        <v>45534</v>
      </c>
      <c r="Y241" s="103">
        <f t="shared" si="105"/>
        <v>45569</v>
      </c>
      <c r="Z241" s="103">
        <f t="shared" si="106"/>
        <v>45572</v>
      </c>
      <c r="AA241" s="103">
        <f t="shared" si="107"/>
        <v>45575</v>
      </c>
      <c r="AB241" s="103" t="str">
        <f t="shared" si="108"/>
        <v>---</v>
      </c>
      <c r="AC241" s="103">
        <f t="shared" si="109"/>
        <v>45578</v>
      </c>
    </row>
    <row r="242" spans="1:29" ht="24">
      <c r="A242" s="90" t="s">
        <v>1109</v>
      </c>
      <c r="B242" s="89" t="str">
        <f>IFERROR(VLOOKUP(A242,PAC!$A$2:$V$5011,2,0),"")</f>
        <v>Gás Refrigerante R410A em cilindro de 11,3kg</v>
      </c>
      <c r="C242" s="90" t="s">
        <v>1213</v>
      </c>
      <c r="D242" s="98">
        <f>IFERROR(VLOOKUP(A242,PAC!$A$2:$V$5011,16,0),"")</f>
        <v>45350</v>
      </c>
      <c r="E242" s="99" t="str">
        <f>VLOOKUP(A242,PAC!$A$2:$V$5011,17,0)</f>
        <v>30 DIAS</v>
      </c>
      <c r="F242" s="100">
        <f>IFERROR(VLOOKUP(A242,PAC!$A$2:$V$5011,14,0),"")</f>
        <v>649.9</v>
      </c>
      <c r="G242" s="100" t="str">
        <f>IFERROR(VLOOKUP(A242,PAC!$A$2:$V$5011,19,0),"")</f>
        <v>DISPENSA</v>
      </c>
      <c r="H242" s="111" t="s">
        <v>22</v>
      </c>
      <c r="I242" s="111" t="s">
        <v>22</v>
      </c>
      <c r="J242" s="110">
        <f>SUMIF(PAC!$A$2:$A$5011,A242,PAC!$W$2:$W$5011)</f>
        <v>1</v>
      </c>
      <c r="K242" s="110">
        <f t="shared" si="116"/>
        <v>15</v>
      </c>
      <c r="L242" s="102">
        <f t="shared" si="117"/>
        <v>10</v>
      </c>
      <c r="M242" s="102" t="str">
        <f t="shared" si="102"/>
        <v>0</v>
      </c>
      <c r="N242" s="102" t="str">
        <f t="shared" si="111"/>
        <v>0</v>
      </c>
      <c r="O242" s="102" t="str">
        <f t="shared" si="112"/>
        <v>0</v>
      </c>
      <c r="P242" s="102">
        <f t="shared" si="118"/>
        <v>35</v>
      </c>
      <c r="Q242" s="102">
        <f t="shared" si="119"/>
        <v>3</v>
      </c>
      <c r="R242" s="102">
        <f t="shared" si="120"/>
        <v>3</v>
      </c>
      <c r="S242" s="102" t="str">
        <f t="shared" si="113"/>
        <v>0</v>
      </c>
      <c r="T242" s="102">
        <f t="shared" si="121"/>
        <v>3</v>
      </c>
      <c r="U242" s="102">
        <f t="shared" si="122"/>
        <v>18</v>
      </c>
      <c r="V242" s="102">
        <f t="shared" si="123"/>
        <v>87</v>
      </c>
      <c r="W242" s="103">
        <f t="shared" si="103"/>
        <v>45263</v>
      </c>
      <c r="X242" s="103">
        <f t="shared" si="104"/>
        <v>45288</v>
      </c>
      <c r="Y242" s="103">
        <f t="shared" si="105"/>
        <v>45323</v>
      </c>
      <c r="Z242" s="103">
        <f t="shared" si="106"/>
        <v>45326</v>
      </c>
      <c r="AA242" s="103">
        <f t="shared" si="107"/>
        <v>45329</v>
      </c>
      <c r="AB242" s="103" t="str">
        <f t="shared" si="108"/>
        <v>---</v>
      </c>
      <c r="AC242" s="103">
        <f t="shared" si="109"/>
        <v>45332</v>
      </c>
    </row>
    <row r="243" spans="1:29" ht="168">
      <c r="A243" s="90" t="s">
        <v>1112</v>
      </c>
      <c r="B243" s="89" t="str">
        <f>IFERROR(VLOOKUP(A243,PAC!$A$2:$V$5011,2,0),"")</f>
        <v>Cadeira giratória espaldar com encosto revestido em tela flexível, com apoio lombar independente regulável na altura. Com apoio de braços regulável em altura e ângulo(acabamento em resina plástica). Com assento em tela de alta performance. Com ajuste de altura do assento e inclinação do encosto em 3 pontos de parada. Base da cadeira injetada em resina termostática de alta resistência e alta qualidade, com rodinhas de 55mm de diâmetro, indicado para qualquer tipo de piso. Assento, encosto, apoio de braço e base na cor preta.</v>
      </c>
      <c r="C243" s="90" t="s">
        <v>1213</v>
      </c>
      <c r="D243" s="98">
        <f>IFERROR(VLOOKUP(A243,PAC!$A$2:$V$5011,16,0),"")</f>
        <v>45444</v>
      </c>
      <c r="E243" s="99" t="str">
        <f>VLOOKUP(A243,PAC!$A$2:$V$5011,17,0)</f>
        <v>90 DIAS</v>
      </c>
      <c r="F243" s="100">
        <f>IFERROR(VLOOKUP(A243,PAC!$A$2:$V$5011,14,0),"")</f>
        <v>24420</v>
      </c>
      <c r="G243" s="100" t="str">
        <f>IFERROR(VLOOKUP(A243,PAC!$A$2:$V$5011,19,0),"")</f>
        <v>LICITAÇÃO</v>
      </c>
      <c r="H243" s="111" t="s">
        <v>22</v>
      </c>
      <c r="I243" s="111" t="s">
        <v>22</v>
      </c>
      <c r="J243" s="110">
        <f>SUMIF(PAC!$A$2:$A$5011,A243,PAC!$W$2:$W$5011)</f>
        <v>1</v>
      </c>
      <c r="K243" s="110">
        <f t="shared" si="116"/>
        <v>15</v>
      </c>
      <c r="L243" s="102">
        <f t="shared" si="117"/>
        <v>10</v>
      </c>
      <c r="M243" s="102">
        <f t="shared" si="102"/>
        <v>20</v>
      </c>
      <c r="N243" s="102">
        <f t="shared" si="111"/>
        <v>15</v>
      </c>
      <c r="O243" s="102">
        <f t="shared" si="112"/>
        <v>25</v>
      </c>
      <c r="P243" s="102" t="str">
        <f t="shared" si="118"/>
        <v>0</v>
      </c>
      <c r="Q243" s="102" t="str">
        <f t="shared" si="119"/>
        <v>0</v>
      </c>
      <c r="R243" s="102" t="str">
        <f t="shared" si="120"/>
        <v>0</v>
      </c>
      <c r="S243" s="102" t="str">
        <f t="shared" si="113"/>
        <v>0</v>
      </c>
      <c r="T243" s="102">
        <f t="shared" si="121"/>
        <v>3</v>
      </c>
      <c r="U243" s="102">
        <f t="shared" si="122"/>
        <v>18</v>
      </c>
      <c r="V243" s="102">
        <f t="shared" si="123"/>
        <v>106</v>
      </c>
      <c r="W243" s="103">
        <f t="shared" si="103"/>
        <v>45338</v>
      </c>
      <c r="X243" s="103">
        <f t="shared" si="104"/>
        <v>45363</v>
      </c>
      <c r="Y243" s="103">
        <f t="shared" si="105"/>
        <v>45383</v>
      </c>
      <c r="Z243" s="103">
        <f t="shared" si="106"/>
        <v>45398</v>
      </c>
      <c r="AA243" s="103">
        <f t="shared" si="107"/>
        <v>45423</v>
      </c>
      <c r="AB243" s="103" t="str">
        <f t="shared" si="108"/>
        <v>---</v>
      </c>
      <c r="AC243" s="103">
        <f t="shared" si="109"/>
        <v>45426</v>
      </c>
    </row>
    <row r="244" spans="1:29" ht="15">
      <c r="A244" s="90" t="s">
        <v>1214</v>
      </c>
      <c r="B244" s="89" t="str">
        <f>IFERROR(VLOOKUP(A244,PAC!$A$2:$V$5011,2,0),"")</f>
        <v/>
      </c>
      <c r="C244" s="90" t="s">
        <v>1213</v>
      </c>
      <c r="D244" s="98" t="str">
        <f>IFERROR(VLOOKUP(A244,PAC!$A$2:$V$5011,16,0),"")</f>
        <v/>
      </c>
      <c r="E244" s="99" t="e">
        <f>VLOOKUP(A244,PAC!$A$2:$V$5011,17,0)</f>
        <v>#N/A</v>
      </c>
      <c r="F244" s="100" t="str">
        <f>IFERROR(VLOOKUP(A244,PAC!$A$2:$V$5011,14,0),"")</f>
        <v/>
      </c>
      <c r="G244" s="100" t="str">
        <f>IFERROR(VLOOKUP(A244,PAC!$A$2:$V$5011,19,0),"")</f>
        <v/>
      </c>
      <c r="H244" s="111" t="s">
        <v>22</v>
      </c>
      <c r="I244" s="111" t="s">
        <v>22</v>
      </c>
      <c r="J244" s="110">
        <f>SUMIF(PAC!$A$2:$A$5011,A244,PAC!$W$2:$W$5011)</f>
        <v>0</v>
      </c>
      <c r="K244" s="110" t="str">
        <f t="shared" si="116"/>
        <v>0</v>
      </c>
      <c r="L244" s="102" t="str">
        <f t="shared" si="117"/>
        <v>0</v>
      </c>
      <c r="M244" s="102" t="str">
        <f t="shared" si="102"/>
        <v>0</v>
      </c>
      <c r="N244" s="102" t="str">
        <f t="shared" si="111"/>
        <v>0</v>
      </c>
      <c r="O244" s="102" t="str">
        <f t="shared" si="112"/>
        <v>0</v>
      </c>
      <c r="P244" s="102" t="str">
        <f t="shared" si="118"/>
        <v>0</v>
      </c>
      <c r="Q244" s="102" t="str">
        <f t="shared" si="119"/>
        <v>0</v>
      </c>
      <c r="R244" s="102" t="str">
        <f t="shared" si="120"/>
        <v>0</v>
      </c>
      <c r="S244" s="102" t="str">
        <f t="shared" si="113"/>
        <v>0</v>
      </c>
      <c r="T244" s="102" t="str">
        <f t="shared" si="121"/>
        <v>0</v>
      </c>
      <c r="U244" s="102">
        <f t="shared" si="122"/>
        <v>18</v>
      </c>
      <c r="V244" s="102">
        <f t="shared" si="123"/>
        <v>18</v>
      </c>
      <c r="W244" s="103" t="str">
        <f t="shared" si="103"/>
        <v>---</v>
      </c>
      <c r="X244" s="103" t="str">
        <f t="shared" si="104"/>
        <v>---</v>
      </c>
      <c r="Y244" s="103" t="str">
        <f t="shared" si="105"/>
        <v>---</v>
      </c>
      <c r="Z244" s="103" t="str">
        <f t="shared" si="106"/>
        <v>---</v>
      </c>
      <c r="AA244" s="103" t="str">
        <f t="shared" si="107"/>
        <v>---</v>
      </c>
      <c r="AB244" s="103" t="str">
        <f t="shared" si="108"/>
        <v>---</v>
      </c>
      <c r="AC244" s="103" t="str">
        <f t="shared" si="109"/>
        <v>---</v>
      </c>
    </row>
    <row r="245" spans="1:29" ht="24">
      <c r="A245" s="90" t="s">
        <v>1113</v>
      </c>
      <c r="B245" s="89" t="str">
        <f>IFERROR(VLOOKUP(A245,PAC!$A$2:$V$5011,2,0),"")</f>
        <v>Necessidade básica dos servidores e clientes do consumo de água potável.</v>
      </c>
      <c r="C245" s="90" t="s">
        <v>1215</v>
      </c>
      <c r="D245" s="98">
        <f>IFERROR(VLOOKUP(A245,PAC!$A$2:$V$5011,16,0),"")</f>
        <v>45292</v>
      </c>
      <c r="E245" s="99" t="str">
        <f>VLOOKUP(A245,PAC!$A$2:$V$5011,17,0)</f>
        <v>30 DIAS</v>
      </c>
      <c r="F245" s="100">
        <f>IFERROR(VLOOKUP(A245,PAC!$A$2:$V$5011,14,0),"")</f>
        <v>4824</v>
      </c>
      <c r="G245" s="100" t="str">
        <f>IFERROR(VLOOKUP(A245,PAC!$A$2:$V$5011,19,0),"")</f>
        <v>DISPENSA</v>
      </c>
      <c r="H245" s="111" t="s">
        <v>1180</v>
      </c>
      <c r="I245" s="111" t="s">
        <v>22</v>
      </c>
      <c r="J245" s="110">
        <f>SUMIF(PAC!$A$2:$A$5011,A245,PAC!$W$2:$W$5011)</f>
        <v>1</v>
      </c>
      <c r="K245" s="110">
        <f t="shared" si="116"/>
        <v>15</v>
      </c>
      <c r="L245" s="102">
        <f t="shared" si="117"/>
        <v>10</v>
      </c>
      <c r="M245" s="102" t="str">
        <f t="shared" si="102"/>
        <v>0</v>
      </c>
      <c r="N245" s="102" t="str">
        <f t="shared" si="111"/>
        <v>0</v>
      </c>
      <c r="O245" s="102" t="str">
        <f t="shared" si="112"/>
        <v>0</v>
      </c>
      <c r="P245" s="102">
        <f t="shared" si="118"/>
        <v>35</v>
      </c>
      <c r="Q245" s="102">
        <f t="shared" si="119"/>
        <v>3</v>
      </c>
      <c r="R245" s="102">
        <f t="shared" si="120"/>
        <v>3</v>
      </c>
      <c r="S245" s="102" t="str">
        <f t="shared" si="113"/>
        <v>0</v>
      </c>
      <c r="T245" s="102">
        <f t="shared" si="121"/>
        <v>5</v>
      </c>
      <c r="U245" s="102">
        <f t="shared" si="122"/>
        <v>18</v>
      </c>
      <c r="V245" s="102">
        <f t="shared" si="123"/>
        <v>89</v>
      </c>
      <c r="W245" s="103">
        <f t="shared" si="103"/>
        <v>45203</v>
      </c>
      <c r="X245" s="103">
        <f t="shared" si="104"/>
        <v>45228</v>
      </c>
      <c r="Y245" s="103">
        <f t="shared" si="105"/>
        <v>45263</v>
      </c>
      <c r="Z245" s="103">
        <f t="shared" si="106"/>
        <v>45266</v>
      </c>
      <c r="AA245" s="103">
        <f t="shared" si="107"/>
        <v>45269</v>
      </c>
      <c r="AB245" s="103" t="str">
        <f t="shared" si="108"/>
        <v>---</v>
      </c>
      <c r="AC245" s="103">
        <f t="shared" si="109"/>
        <v>45274</v>
      </c>
    </row>
    <row r="246" spans="1:29" ht="24">
      <c r="A246" s="90" t="s">
        <v>1118</v>
      </c>
      <c r="B246" s="89" t="str">
        <f>IFERROR(VLOOKUP(A246,PAC!$A$2:$V$5011,2,0),"")</f>
        <v>Necessidade básica dos servidores e clientes do consumo de água potável.</v>
      </c>
      <c r="C246" s="90" t="s">
        <v>1215</v>
      </c>
      <c r="D246" s="98">
        <f>IFERROR(VLOOKUP(A246,PAC!$A$2:$V$5011,16,0),"")</f>
        <v>45292</v>
      </c>
      <c r="E246" s="99" t="str">
        <f>VLOOKUP(A246,PAC!$A$2:$V$5011,17,0)</f>
        <v>30 DIAS</v>
      </c>
      <c r="F246" s="100">
        <f>IFERROR(VLOOKUP(A246,PAC!$A$2:$V$5011,14,0),"")</f>
        <v>835.2</v>
      </c>
      <c r="G246" s="100" t="str">
        <f>IFERROR(VLOOKUP(A246,PAC!$A$2:$V$5011,19,0),"")</f>
        <v>DISPENSA</v>
      </c>
      <c r="H246" s="111" t="s">
        <v>1180</v>
      </c>
      <c r="I246" s="111" t="s">
        <v>22</v>
      </c>
      <c r="J246" s="110">
        <f>SUMIF(PAC!$A$2:$A$5011,A246,PAC!$W$2:$W$5011)</f>
        <v>1</v>
      </c>
      <c r="K246" s="110">
        <f t="shared" si="116"/>
        <v>15</v>
      </c>
      <c r="L246" s="102">
        <f t="shared" si="117"/>
        <v>10</v>
      </c>
      <c r="M246" s="102" t="str">
        <f t="shared" si="102"/>
        <v>0</v>
      </c>
      <c r="N246" s="102" t="str">
        <f t="shared" si="111"/>
        <v>0</v>
      </c>
      <c r="O246" s="102" t="str">
        <f t="shared" si="112"/>
        <v>0</v>
      </c>
      <c r="P246" s="102">
        <f t="shared" si="118"/>
        <v>35</v>
      </c>
      <c r="Q246" s="102">
        <f t="shared" si="119"/>
        <v>3</v>
      </c>
      <c r="R246" s="102">
        <f t="shared" si="120"/>
        <v>3</v>
      </c>
      <c r="S246" s="102" t="str">
        <f t="shared" si="113"/>
        <v>0</v>
      </c>
      <c r="T246" s="102">
        <f t="shared" si="121"/>
        <v>5</v>
      </c>
      <c r="U246" s="102">
        <f t="shared" si="122"/>
        <v>18</v>
      </c>
      <c r="V246" s="102">
        <f t="shared" si="123"/>
        <v>89</v>
      </c>
      <c r="W246" s="103">
        <f t="shared" si="103"/>
        <v>45203</v>
      </c>
      <c r="X246" s="103">
        <f t="shared" si="104"/>
        <v>45228</v>
      </c>
      <c r="Y246" s="103">
        <f t="shared" si="105"/>
        <v>45263</v>
      </c>
      <c r="Z246" s="103">
        <f t="shared" si="106"/>
        <v>45266</v>
      </c>
      <c r="AA246" s="103">
        <f t="shared" si="107"/>
        <v>45269</v>
      </c>
      <c r="AB246" s="103" t="str">
        <f t="shared" si="108"/>
        <v>---</v>
      </c>
      <c r="AC246" s="103">
        <f t="shared" si="109"/>
        <v>45274</v>
      </c>
    </row>
    <row r="247" spans="1:29" ht="24">
      <c r="A247" s="90" t="s">
        <v>1119</v>
      </c>
      <c r="B247" s="89" t="str">
        <f>IFERROR(VLOOKUP(A247,PAC!$A$2:$V$5011,2,0),"")</f>
        <v>Necessidade básica dos servidores e clientes do consumo de água potável.</v>
      </c>
      <c r="C247" s="90" t="s">
        <v>1215</v>
      </c>
      <c r="D247" s="98">
        <f>IFERROR(VLOOKUP(A247,PAC!$A$2:$V$5011,16,0),"")</f>
        <v>45292</v>
      </c>
      <c r="E247" s="99" t="str">
        <f>VLOOKUP(A247,PAC!$A$2:$V$5011,17,0)</f>
        <v>30 DIAS</v>
      </c>
      <c r="F247" s="100">
        <f>IFERROR(VLOOKUP(A247,PAC!$A$2:$V$5011,14,0),"")</f>
        <v>1860</v>
      </c>
      <c r="G247" s="100" t="str">
        <f>IFERROR(VLOOKUP(A247,PAC!$A$2:$V$5011,19,0),"")</f>
        <v>DISPENSA</v>
      </c>
      <c r="H247" s="111" t="s">
        <v>1180</v>
      </c>
      <c r="I247" s="111" t="s">
        <v>22</v>
      </c>
      <c r="J247" s="110">
        <f>SUMIF(PAC!$A$2:$A$5011,A247,PAC!$W$2:$W$5011)</f>
        <v>1</v>
      </c>
      <c r="K247" s="110">
        <f t="shared" si="116"/>
        <v>15</v>
      </c>
      <c r="L247" s="102">
        <f t="shared" si="117"/>
        <v>10</v>
      </c>
      <c r="M247" s="102" t="str">
        <f t="shared" si="102"/>
        <v>0</v>
      </c>
      <c r="N247" s="102" t="str">
        <f t="shared" si="111"/>
        <v>0</v>
      </c>
      <c r="O247" s="102" t="str">
        <f t="shared" si="112"/>
        <v>0</v>
      </c>
      <c r="P247" s="102">
        <f t="shared" si="118"/>
        <v>35</v>
      </c>
      <c r="Q247" s="102">
        <f t="shared" si="119"/>
        <v>3</v>
      </c>
      <c r="R247" s="102">
        <f t="shared" si="120"/>
        <v>3</v>
      </c>
      <c r="S247" s="102" t="str">
        <f t="shared" si="113"/>
        <v>0</v>
      </c>
      <c r="T247" s="102">
        <f t="shared" si="121"/>
        <v>5</v>
      </c>
      <c r="U247" s="102">
        <f t="shared" si="122"/>
        <v>18</v>
      </c>
      <c r="V247" s="102">
        <f t="shared" si="123"/>
        <v>89</v>
      </c>
      <c r="W247" s="103">
        <f t="shared" si="103"/>
        <v>45203</v>
      </c>
      <c r="X247" s="103">
        <f t="shared" si="104"/>
        <v>45228</v>
      </c>
      <c r="Y247" s="103">
        <f t="shared" si="105"/>
        <v>45263</v>
      </c>
      <c r="Z247" s="103">
        <f t="shared" si="106"/>
        <v>45266</v>
      </c>
      <c r="AA247" s="103">
        <f t="shared" si="107"/>
        <v>45269</v>
      </c>
      <c r="AB247" s="103" t="str">
        <f t="shared" si="108"/>
        <v>---</v>
      </c>
      <c r="AC247" s="103">
        <f t="shared" si="109"/>
        <v>45274</v>
      </c>
    </row>
    <row r="248" spans="1:29" ht="24">
      <c r="A248" s="90" t="s">
        <v>1120</v>
      </c>
      <c r="B248" s="89" t="str">
        <f>IFERROR(VLOOKUP(A248,PAC!$A$2:$V$5011,2,0),"")</f>
        <v>Fornecimento de energia elétrica.</v>
      </c>
      <c r="C248" s="90" t="s">
        <v>1215</v>
      </c>
      <c r="D248" s="98">
        <f>IFERROR(VLOOKUP(A248,PAC!$A$2:$V$5011,16,0),"")</f>
        <v>45292</v>
      </c>
      <c r="E248" s="99" t="str">
        <f>VLOOKUP(A248,PAC!$A$2:$V$5011,17,0)</f>
        <v>15 DIAS</v>
      </c>
      <c r="F248" s="100">
        <f>IFERROR(VLOOKUP(A248,PAC!$A$2:$V$5011,14,0),"")</f>
        <v>54339.12</v>
      </c>
      <c r="G248" s="100" t="str">
        <f>IFERROR(VLOOKUP(A248,PAC!$A$2:$V$5011,19,0),"")</f>
        <v>INEXIGIBILIDADE</v>
      </c>
      <c r="H248" s="111" t="s">
        <v>22</v>
      </c>
      <c r="I248" s="111" t="s">
        <v>22</v>
      </c>
      <c r="J248" s="110">
        <f>SUMIF(PAC!$A$2:$A$5011,A248,PAC!$W$2:$W$5011)</f>
        <v>1</v>
      </c>
      <c r="K248" s="110">
        <f t="shared" si="116"/>
        <v>15</v>
      </c>
      <c r="L248" s="102">
        <f t="shared" si="117"/>
        <v>10</v>
      </c>
      <c r="M248" s="102" t="str">
        <f t="shared" si="102"/>
        <v>0</v>
      </c>
      <c r="N248" s="102" t="str">
        <f t="shared" si="111"/>
        <v>0</v>
      </c>
      <c r="O248" s="102" t="str">
        <f t="shared" si="112"/>
        <v>0</v>
      </c>
      <c r="P248" s="102">
        <f t="shared" si="118"/>
        <v>35</v>
      </c>
      <c r="Q248" s="102">
        <f t="shared" si="119"/>
        <v>3</v>
      </c>
      <c r="R248" s="102">
        <f t="shared" si="120"/>
        <v>3</v>
      </c>
      <c r="S248" s="102" t="str">
        <f t="shared" si="113"/>
        <v>0</v>
      </c>
      <c r="T248" s="102">
        <f t="shared" si="121"/>
        <v>3</v>
      </c>
      <c r="U248" s="102">
        <f t="shared" si="122"/>
        <v>18</v>
      </c>
      <c r="V248" s="102">
        <f t="shared" si="123"/>
        <v>87</v>
      </c>
      <c r="W248" s="103">
        <f t="shared" si="103"/>
        <v>45205</v>
      </c>
      <c r="X248" s="103">
        <f t="shared" si="104"/>
        <v>45230</v>
      </c>
      <c r="Y248" s="103">
        <f t="shared" si="105"/>
        <v>45265</v>
      </c>
      <c r="Z248" s="103">
        <f t="shared" si="106"/>
        <v>45268</v>
      </c>
      <c r="AA248" s="103">
        <f t="shared" si="107"/>
        <v>45271</v>
      </c>
      <c r="AB248" s="103" t="str">
        <f t="shared" si="108"/>
        <v>---</v>
      </c>
      <c r="AC248" s="103">
        <f t="shared" si="109"/>
        <v>45274</v>
      </c>
    </row>
    <row r="249" spans="1:29" ht="24">
      <c r="A249" s="90" t="s">
        <v>1123</v>
      </c>
      <c r="B249" s="89" t="str">
        <f>IFERROR(VLOOKUP(A249,PAC!$A$2:$V$5011,2,0),"")</f>
        <v>Manutenção preventiva e corretiva em equipamento de ar condicionado.</v>
      </c>
      <c r="C249" s="90" t="s">
        <v>1215</v>
      </c>
      <c r="D249" s="98">
        <f>IFERROR(VLOOKUP(A249,PAC!$A$2:$V$5011,16,0),"")</f>
        <v>45292</v>
      </c>
      <c r="E249" s="99" t="str">
        <f>VLOOKUP(A249,PAC!$A$2:$V$5011,17,0)</f>
        <v>30 DIAS</v>
      </c>
      <c r="F249" s="100">
        <f>IFERROR(VLOOKUP(A249,PAC!$A$2:$V$5011,14,0),"")</f>
        <v>9617.84</v>
      </c>
      <c r="G249" s="100" t="str">
        <f>IFERROR(VLOOKUP(A249,PAC!$A$2:$V$5011,19,0),"")</f>
        <v>DISPENSA</v>
      </c>
      <c r="H249" s="111" t="s">
        <v>1180</v>
      </c>
      <c r="I249" s="111" t="s">
        <v>22</v>
      </c>
      <c r="J249" s="110">
        <f>SUMIF(PAC!$A$2:$A$5011,A249,PAC!$W$2:$W$5011)</f>
        <v>1</v>
      </c>
      <c r="K249" s="110">
        <f t="shared" si="116"/>
        <v>15</v>
      </c>
      <c r="L249" s="102">
        <f t="shared" si="117"/>
        <v>10</v>
      </c>
      <c r="M249" s="102" t="str">
        <f t="shared" si="102"/>
        <v>0</v>
      </c>
      <c r="N249" s="102" t="str">
        <f t="shared" si="111"/>
        <v>0</v>
      </c>
      <c r="O249" s="102" t="str">
        <f t="shared" si="112"/>
        <v>0</v>
      </c>
      <c r="P249" s="102">
        <f t="shared" si="118"/>
        <v>35</v>
      </c>
      <c r="Q249" s="102">
        <f t="shared" si="119"/>
        <v>3</v>
      </c>
      <c r="R249" s="102">
        <f t="shared" si="120"/>
        <v>3</v>
      </c>
      <c r="S249" s="102" t="str">
        <f t="shared" si="113"/>
        <v>0</v>
      </c>
      <c r="T249" s="102">
        <f t="shared" si="121"/>
        <v>5</v>
      </c>
      <c r="U249" s="102">
        <f t="shared" si="122"/>
        <v>18</v>
      </c>
      <c r="V249" s="102">
        <f t="shared" si="123"/>
        <v>89</v>
      </c>
      <c r="W249" s="103">
        <f t="shared" si="103"/>
        <v>45203</v>
      </c>
      <c r="X249" s="103">
        <f t="shared" si="104"/>
        <v>45228</v>
      </c>
      <c r="Y249" s="103">
        <f t="shared" si="105"/>
        <v>45263</v>
      </c>
      <c r="Z249" s="103">
        <f t="shared" si="106"/>
        <v>45266</v>
      </c>
      <c r="AA249" s="103">
        <f t="shared" si="107"/>
        <v>45269</v>
      </c>
      <c r="AB249" s="103" t="str">
        <f t="shared" si="108"/>
        <v>---</v>
      </c>
      <c r="AC249" s="103">
        <f t="shared" si="109"/>
        <v>45274</v>
      </c>
    </row>
    <row r="250" spans="1:29" ht="24">
      <c r="A250" s="90" t="s">
        <v>1125</v>
      </c>
      <c r="B250" s="89" t="str">
        <f>IFERROR(VLOOKUP(A250,PAC!$A$2:$V$5011,2,0),"")</f>
        <v>Locação de imóvel que abriga a Subseção Judiciária de Redenção.</v>
      </c>
      <c r="C250" s="90" t="s">
        <v>1215</v>
      </c>
      <c r="D250" s="98">
        <f>IFERROR(VLOOKUP(A250,PAC!$A$2:$V$5011,16,0),"")</f>
        <v>45292</v>
      </c>
      <c r="E250" s="99" t="str">
        <f>VLOOKUP(A250,PAC!$A$2:$V$5011,17,0)</f>
        <v>30 DIAS</v>
      </c>
      <c r="F250" s="100">
        <f>IFERROR(VLOOKUP(A250,PAC!$A$2:$V$5011,14,0),"")</f>
        <v>221592</v>
      </c>
      <c r="G250" s="100" t="str">
        <f>IFERROR(VLOOKUP(A250,PAC!$A$2:$V$5011,19,0),"")</f>
        <v>PRORROGAÇÃO</v>
      </c>
      <c r="H250" s="111" t="s">
        <v>1180</v>
      </c>
      <c r="I250" s="111" t="s">
        <v>22</v>
      </c>
      <c r="J250" s="110">
        <f>SUMIF(PAC!$A$2:$A$5011,A250,PAC!$W$2:$W$5011)</f>
        <v>1</v>
      </c>
      <c r="K250" s="110" t="str">
        <f t="shared" si="116"/>
        <v>0</v>
      </c>
      <c r="L250" s="102" t="str">
        <f t="shared" si="117"/>
        <v>0</v>
      </c>
      <c r="M250" s="102" t="str">
        <f t="shared" si="102"/>
        <v>0</v>
      </c>
      <c r="N250" s="102" t="str">
        <f t="shared" si="111"/>
        <v>0</v>
      </c>
      <c r="O250" s="102" t="str">
        <f t="shared" si="112"/>
        <v>0</v>
      </c>
      <c r="P250" s="102" t="str">
        <f t="shared" si="118"/>
        <v>0</v>
      </c>
      <c r="Q250" s="102" t="str">
        <f t="shared" si="119"/>
        <v>0</v>
      </c>
      <c r="R250" s="102" t="str">
        <f t="shared" si="120"/>
        <v>0</v>
      </c>
      <c r="S250" s="102">
        <f t="shared" si="113"/>
        <v>60</v>
      </c>
      <c r="T250" s="102" t="str">
        <f t="shared" si="121"/>
        <v>0</v>
      </c>
      <c r="U250" s="102">
        <f t="shared" si="122"/>
        <v>18</v>
      </c>
      <c r="V250" s="102">
        <f t="shared" si="123"/>
        <v>78</v>
      </c>
      <c r="W250" s="103" t="str">
        <f t="shared" si="103"/>
        <v>---</v>
      </c>
      <c r="X250" s="103" t="str">
        <f t="shared" si="104"/>
        <v>---</v>
      </c>
      <c r="Y250" s="103" t="str">
        <f t="shared" si="105"/>
        <v>---</v>
      </c>
      <c r="Z250" s="103" t="str">
        <f t="shared" si="106"/>
        <v>---</v>
      </c>
      <c r="AA250" s="103" t="str">
        <f t="shared" si="107"/>
        <v>---</v>
      </c>
      <c r="AB250" s="103">
        <f t="shared" si="108"/>
        <v>45214</v>
      </c>
      <c r="AC250" s="103">
        <f t="shared" si="109"/>
        <v>45274</v>
      </c>
    </row>
    <row r="251" spans="1:29" ht="15">
      <c r="A251" s="90" t="s">
        <v>1129</v>
      </c>
      <c r="B251" s="89" t="str">
        <f>IFERROR(VLOOKUP(A251,PAC!$A$2:$V$5011,2,0),"")</f>
        <v>Resmas de papel formato A-4.</v>
      </c>
      <c r="C251" s="90" t="s">
        <v>1215</v>
      </c>
      <c r="D251" s="98">
        <f>IFERROR(VLOOKUP(A251,PAC!$A$2:$V$5011,16,0),"")</f>
        <v>45352</v>
      </c>
      <c r="E251" s="99" t="str">
        <f>VLOOKUP(A251,PAC!$A$2:$V$5011,17,0)</f>
        <v>30 DIAS</v>
      </c>
      <c r="F251" s="100">
        <f>IFERROR(VLOOKUP(A251,PAC!$A$2:$V$5011,14,0),"")</f>
        <v>8050</v>
      </c>
      <c r="G251" s="100" t="str">
        <f>IFERROR(VLOOKUP(A251,PAC!$A$2:$V$5011,19,0),"")</f>
        <v>DISPENSA</v>
      </c>
      <c r="H251" s="111" t="s">
        <v>1180</v>
      </c>
      <c r="I251" s="111" t="s">
        <v>22</v>
      </c>
      <c r="J251" s="110">
        <f>SUMIF(PAC!$A$2:$A$5011,A251,PAC!$W$2:$W$5011)</f>
        <v>1</v>
      </c>
      <c r="K251" s="110">
        <f t="shared" si="116"/>
        <v>15</v>
      </c>
      <c r="L251" s="102">
        <f t="shared" si="117"/>
        <v>10</v>
      </c>
      <c r="M251" s="102" t="str">
        <f t="shared" si="102"/>
        <v>0</v>
      </c>
      <c r="N251" s="102" t="str">
        <f t="shared" si="111"/>
        <v>0</v>
      </c>
      <c r="O251" s="102" t="str">
        <f t="shared" si="112"/>
        <v>0</v>
      </c>
      <c r="P251" s="102">
        <f t="shared" si="118"/>
        <v>35</v>
      </c>
      <c r="Q251" s="102">
        <f t="shared" si="119"/>
        <v>3</v>
      </c>
      <c r="R251" s="102">
        <f t="shared" si="120"/>
        <v>3</v>
      </c>
      <c r="S251" s="102" t="str">
        <f t="shared" si="113"/>
        <v>0</v>
      </c>
      <c r="T251" s="102">
        <f t="shared" si="121"/>
        <v>5</v>
      </c>
      <c r="U251" s="102">
        <f t="shared" si="122"/>
        <v>18</v>
      </c>
      <c r="V251" s="102">
        <f t="shared" si="123"/>
        <v>89</v>
      </c>
      <c r="W251" s="103">
        <f t="shared" si="103"/>
        <v>45263</v>
      </c>
      <c r="X251" s="103">
        <f t="shared" si="104"/>
        <v>45288</v>
      </c>
      <c r="Y251" s="103">
        <f t="shared" si="105"/>
        <v>45323</v>
      </c>
      <c r="Z251" s="103">
        <f t="shared" si="106"/>
        <v>45326</v>
      </c>
      <c r="AA251" s="103">
        <f t="shared" si="107"/>
        <v>45329</v>
      </c>
      <c r="AB251" s="103" t="str">
        <f t="shared" si="108"/>
        <v>---</v>
      </c>
      <c r="AC251" s="103">
        <f t="shared" si="109"/>
        <v>45334</v>
      </c>
    </row>
    <row r="252" spans="1:29" ht="24">
      <c r="A252" s="90" t="s">
        <v>1132</v>
      </c>
      <c r="B252" s="113" t="str">
        <f>IFERROR(VLOOKUP(A252,PAC!$A$2:$V$5011,2,0),"")</f>
        <v>Desgaste de equipamento e poluição ambiental pelo uso do motor gerador</v>
      </c>
      <c r="C252" s="90" t="s">
        <v>1215</v>
      </c>
      <c r="D252" s="114">
        <f>IFERROR(VLOOKUP(A252,PAC!$A$2:$V$5011,16,0),"")</f>
        <v>45292</v>
      </c>
      <c r="E252" s="99" t="str">
        <f>VLOOKUP(A252,PAC!$A$2:$V$5011,17,0)</f>
        <v>30 DIAS</v>
      </c>
      <c r="F252" s="115">
        <f>IFERROR(VLOOKUP(A252,PAC!$A$2:$V$5011,14,0),"")</f>
        <v>9000</v>
      </c>
      <c r="G252" s="100" t="str">
        <f>IFERROR(VLOOKUP(A252,PAC!$A$2:$V$5011,19,0),"")</f>
        <v>DISPENSA</v>
      </c>
      <c r="H252" s="111" t="s">
        <v>22</v>
      </c>
      <c r="I252" s="111" t="s">
        <v>22</v>
      </c>
      <c r="J252" s="110">
        <f>SUMIF(PAC!$A$2:$A$5011,A252,PAC!$W$2:$W$5011)</f>
        <v>1</v>
      </c>
      <c r="K252" s="110">
        <f t="shared" si="116"/>
        <v>15</v>
      </c>
      <c r="L252" s="102">
        <f t="shared" si="117"/>
        <v>10</v>
      </c>
      <c r="M252" s="102" t="str">
        <f t="shared" si="102"/>
        <v>0</v>
      </c>
      <c r="N252" s="102" t="str">
        <f t="shared" si="111"/>
        <v>0</v>
      </c>
      <c r="O252" s="102" t="str">
        <f t="shared" si="112"/>
        <v>0</v>
      </c>
      <c r="P252" s="102">
        <f t="shared" si="118"/>
        <v>35</v>
      </c>
      <c r="Q252" s="102">
        <f t="shared" si="119"/>
        <v>3</v>
      </c>
      <c r="R252" s="102">
        <f t="shared" si="120"/>
        <v>3</v>
      </c>
      <c r="S252" s="102" t="str">
        <f t="shared" si="113"/>
        <v>0</v>
      </c>
      <c r="T252" s="102">
        <f t="shared" si="121"/>
        <v>3</v>
      </c>
      <c r="U252" s="102">
        <f t="shared" si="122"/>
        <v>18</v>
      </c>
      <c r="V252" s="102">
        <f t="shared" si="123"/>
        <v>87</v>
      </c>
      <c r="W252" s="103">
        <f t="shared" si="103"/>
        <v>45205</v>
      </c>
      <c r="X252" s="103">
        <f t="shared" si="104"/>
        <v>45230</v>
      </c>
      <c r="Y252" s="103">
        <f t="shared" si="105"/>
        <v>45265</v>
      </c>
      <c r="Z252" s="103">
        <f t="shared" si="106"/>
        <v>45268</v>
      </c>
      <c r="AA252" s="103">
        <f t="shared" si="107"/>
        <v>45271</v>
      </c>
      <c r="AB252" s="103" t="str">
        <f t="shared" si="108"/>
        <v>---</v>
      </c>
      <c r="AC252" s="103">
        <f t="shared" si="109"/>
        <v>45274</v>
      </c>
    </row>
    <row r="253" spans="1:29" ht="15.75">
      <c r="B253" s="130" t="s">
        <v>1216</v>
      </c>
      <c r="C253" s="130"/>
      <c r="D253" s="75"/>
      <c r="E253" s="117"/>
      <c r="F253" s="118">
        <f>SUM(F6:F252)</f>
        <v>35585791.07</v>
      </c>
    </row>
    <row r="254" spans="1:29" ht="15"/>
    <row r="255" spans="1:29" ht="15"/>
    <row r="256" spans="1:29" ht="15"/>
  </sheetData>
  <mergeCells count="26">
    <mergeCell ref="X4:X5"/>
    <mergeCell ref="AB4:AB5"/>
    <mergeCell ref="AC4:AC5"/>
    <mergeCell ref="B253:C253"/>
    <mergeCell ref="P4:R4"/>
    <mergeCell ref="S4:S5"/>
    <mergeCell ref="T4:T5"/>
    <mergeCell ref="U4:U5"/>
    <mergeCell ref="V4:V5"/>
    <mergeCell ref="W4:W5"/>
    <mergeCell ref="H4:H5"/>
    <mergeCell ref="I4:I5"/>
    <mergeCell ref="J4:J5"/>
    <mergeCell ref="K4:K5"/>
    <mergeCell ref="L4:L5"/>
    <mergeCell ref="M4:O4"/>
    <mergeCell ref="C2:AC2"/>
    <mergeCell ref="A3:G3"/>
    <mergeCell ref="H3:V3"/>
    <mergeCell ref="W3:AC3"/>
    <mergeCell ref="A4:A5"/>
    <mergeCell ref="B4:B5"/>
    <mergeCell ref="C4:C5"/>
    <mergeCell ref="D4:D5"/>
    <mergeCell ref="F4:F5"/>
    <mergeCell ref="G4:G5"/>
  </mergeCells>
  <conditionalFormatting sqref="W32:AA42 W58:AC252">
    <cfRule type="cellIs" dxfId="46" priority="22" stopIfTrue="1" operator="lessThan">
      <formula>$A$1</formula>
    </cfRule>
  </conditionalFormatting>
  <conditionalFormatting sqref="AB50:AC51 W52:AA57">
    <cfRule type="cellIs" dxfId="45" priority="41" stopIfTrue="1" operator="lessThan">
      <formula>$A$1</formula>
    </cfRule>
  </conditionalFormatting>
  <conditionalFormatting sqref="W6">
    <cfRule type="cellIs" dxfId="44" priority="2" stopIfTrue="1" operator="lessThan">
      <formula>$A$1</formula>
    </cfRule>
  </conditionalFormatting>
  <conditionalFormatting sqref="W7 AB32:AC49 W50:AA51 AB52:AC57">
    <cfRule type="cellIs" dxfId="43" priority="11" stopIfTrue="1" operator="lessThan">
      <formula>$A$1</formula>
    </cfRule>
  </conditionalFormatting>
  <conditionalFormatting sqref="W8:AC31 W43:AA49">
    <cfRule type="cellIs" dxfId="42" priority="21" stopIfTrue="1" operator="lessThan">
      <formula>$A$1</formula>
    </cfRule>
  </conditionalFormatting>
  <conditionalFormatting sqref="X6:AC6">
    <cfRule type="cellIs" dxfId="41" priority="32" stopIfTrue="1" operator="lessThan">
      <formula>$A$1</formula>
    </cfRule>
  </conditionalFormatting>
  <conditionalFormatting sqref="X7:AC7">
    <cfRule type="cellIs" dxfId="40" priority="37" stopIfTrue="1" operator="lessThan">
      <formula>$A$1</formula>
    </cfRule>
  </conditionalFormatting>
  <conditionalFormatting sqref="W32:AA42 W58:AC252">
    <cfRule type="cellIs" dxfId="39" priority="26" stopIfTrue="1" operator="equal">
      <formula>$A$1</formula>
    </cfRule>
  </conditionalFormatting>
  <conditionalFormatting sqref="W43:AA49">
    <cfRule type="cellIs" dxfId="38" priority="30" stopIfTrue="1" operator="equal">
      <formula>$A$1</formula>
    </cfRule>
  </conditionalFormatting>
  <conditionalFormatting sqref="AB50:AC51 W52:AA57">
    <cfRule type="cellIs" dxfId="37" priority="45" stopIfTrue="1" operator="equal">
      <formula>$A$1</formula>
    </cfRule>
  </conditionalFormatting>
  <conditionalFormatting sqref="W6">
    <cfRule type="cellIs" dxfId="36" priority="6" stopIfTrue="1" operator="equal">
      <formula>$A$1</formula>
    </cfRule>
  </conditionalFormatting>
  <conditionalFormatting sqref="W7">
    <cfRule type="cellIs" dxfId="35" priority="14" stopIfTrue="1" operator="equal">
      <formula>$A$1</formula>
    </cfRule>
  </conditionalFormatting>
  <conditionalFormatting sqref="W8:AC31 AB32:AC49 W50:AA51 AB52:AC57">
    <cfRule type="cellIs" dxfId="34" priority="20" stopIfTrue="1" operator="equal">
      <formula>$A$1</formula>
    </cfRule>
  </conditionalFormatting>
  <conditionalFormatting sqref="X6:AC6">
    <cfRule type="cellIs" dxfId="33" priority="36" stopIfTrue="1" operator="equal">
      <formula>$A$1</formula>
    </cfRule>
  </conditionalFormatting>
  <conditionalFormatting sqref="X7:AC7">
    <cfRule type="cellIs" dxfId="32" priority="40" stopIfTrue="1" operator="equal">
      <formula>$A$1</formula>
    </cfRule>
  </conditionalFormatting>
  <conditionalFormatting sqref="W32:AA42 W58:AC252">
    <cfRule type="cellIs" dxfId="31" priority="25" stopIfTrue="1" operator="greaterThan">
      <formula>$A$1</formula>
    </cfRule>
  </conditionalFormatting>
  <conditionalFormatting sqref="W43:AA49">
    <cfRule type="cellIs" dxfId="30" priority="29" stopIfTrue="1" operator="greaterThan">
      <formula>$A$1</formula>
    </cfRule>
  </conditionalFormatting>
  <conditionalFormatting sqref="AB50:AC51 W52:AA57">
    <cfRule type="cellIs" dxfId="29" priority="44" stopIfTrue="1" operator="greaterThan">
      <formula>$A$1</formula>
    </cfRule>
  </conditionalFormatting>
  <conditionalFormatting sqref="W6">
    <cfRule type="cellIs" dxfId="28" priority="5" stopIfTrue="1" operator="greaterThan">
      <formula>$A$1</formula>
    </cfRule>
  </conditionalFormatting>
  <conditionalFormatting sqref="W7">
    <cfRule type="cellIs" dxfId="27" priority="13" stopIfTrue="1" operator="greaterThan">
      <formula>$A$1</formula>
    </cfRule>
  </conditionalFormatting>
  <conditionalFormatting sqref="W8:AC31 AB32:AC49 W50:AA51 AB52:AC57">
    <cfRule type="cellIs" dxfId="26" priority="19" stopIfTrue="1" operator="greaterThan">
      <formula>$A$1</formula>
    </cfRule>
  </conditionalFormatting>
  <conditionalFormatting sqref="X6:AC6">
    <cfRule type="cellIs" dxfId="25" priority="35" stopIfTrue="1" operator="greaterThan">
      <formula>$A$1</formula>
    </cfRule>
  </conditionalFormatting>
  <conditionalFormatting sqref="X7:AC7">
    <cfRule type="cellIs" dxfId="24" priority="39" stopIfTrue="1" operator="greaterThan">
      <formula>$A$1</formula>
    </cfRule>
  </conditionalFormatting>
  <conditionalFormatting sqref="W32:AA42 W58:AC252">
    <cfRule type="expression" dxfId="23" priority="23" stopIfTrue="1">
      <formula>ISERROR(W32)</formula>
    </cfRule>
  </conditionalFormatting>
  <conditionalFormatting sqref="W43:AA49">
    <cfRule type="expression" dxfId="22" priority="27" stopIfTrue="1">
      <formula>ISERROR(W43)</formula>
    </cfRule>
  </conditionalFormatting>
  <conditionalFormatting sqref="AB50:AC51 W52:AA57">
    <cfRule type="expression" dxfId="21" priority="42" stopIfTrue="1">
      <formula>ISERROR(W50)</formula>
    </cfRule>
  </conditionalFormatting>
  <conditionalFormatting sqref="W6">
    <cfRule type="expression" dxfId="20" priority="3" stopIfTrue="1">
      <formula>ISERROR(W6)</formula>
    </cfRule>
  </conditionalFormatting>
  <conditionalFormatting sqref="W7">
    <cfRule type="expression" dxfId="19" priority="12" stopIfTrue="1">
      <formula>ISERROR(W7)</formula>
    </cfRule>
  </conditionalFormatting>
  <conditionalFormatting sqref="W8:AC31 AB32:AC49 W50:AA51 AB52:AC57">
    <cfRule type="expression" dxfId="18" priority="17" stopIfTrue="1">
      <formula>ISERROR(W8)</formula>
    </cfRule>
  </conditionalFormatting>
  <conditionalFormatting sqref="X6:AC6">
    <cfRule type="expression" dxfId="17" priority="33" stopIfTrue="1">
      <formula>ISERROR(X6)</formula>
    </cfRule>
  </conditionalFormatting>
  <conditionalFormatting sqref="X7:AC7">
    <cfRule type="expression" dxfId="16" priority="38" stopIfTrue="1">
      <formula>ISERROR(X7)</formula>
    </cfRule>
  </conditionalFormatting>
  <conditionalFormatting sqref="W32:AA42 W58:AC252">
    <cfRule type="expression" dxfId="15" priority="24" stopIfTrue="1">
      <formula>LEN(TRIM(W32))=0</formula>
    </cfRule>
  </conditionalFormatting>
  <conditionalFormatting sqref="W43:AA49">
    <cfRule type="expression" dxfId="14" priority="28" stopIfTrue="1">
      <formula>LEN(TRIM(W43))=0</formula>
    </cfRule>
  </conditionalFormatting>
  <conditionalFormatting sqref="AB50:AC51 W52:AA57">
    <cfRule type="expression" dxfId="13" priority="43" stopIfTrue="1">
      <formula>LEN(TRIM(W50))=0</formula>
    </cfRule>
  </conditionalFormatting>
  <conditionalFormatting sqref="W6">
    <cfRule type="expression" dxfId="12" priority="4" stopIfTrue="1">
      <formula>LEN(TRIM(W6))=0</formula>
    </cfRule>
  </conditionalFormatting>
  <conditionalFormatting sqref="W6">
    <cfRule type="expression" dxfId="11" priority="8" stopIfTrue="1">
      <formula>LEN(TRIM(W6))=0</formula>
    </cfRule>
  </conditionalFormatting>
  <conditionalFormatting sqref="W6">
    <cfRule type="expression" dxfId="10" priority="7" stopIfTrue="1">
      <formula>LEN(TRIM(W6))=0</formula>
    </cfRule>
  </conditionalFormatting>
  <conditionalFormatting sqref="W6">
    <cfRule type="expression" dxfId="9" priority="1" stopIfTrue="1">
      <formula>LEN(TRIM(W6))=0</formula>
    </cfRule>
  </conditionalFormatting>
  <conditionalFormatting sqref="W7">
    <cfRule type="expression" dxfId="8" priority="10" stopIfTrue="1">
      <formula>LEN(TRIM(W7))=0</formula>
    </cfRule>
  </conditionalFormatting>
  <conditionalFormatting sqref="W7">
    <cfRule type="expression" dxfId="7" priority="16" stopIfTrue="1">
      <formula>LEN(TRIM(W7))=0</formula>
    </cfRule>
  </conditionalFormatting>
  <conditionalFormatting sqref="W7">
    <cfRule type="expression" dxfId="6" priority="15" stopIfTrue="1">
      <formula>LEN(TRIM(W7))=0</formula>
    </cfRule>
  </conditionalFormatting>
  <conditionalFormatting sqref="W7:AC7">
    <cfRule type="expression" dxfId="5" priority="9" stopIfTrue="1">
      <formula>LEN(TRIM(W7))=0</formula>
    </cfRule>
  </conditionalFormatting>
  <conditionalFormatting sqref="W8:AC31 AB32:AC49 W50:AA51 AB52:AC57">
    <cfRule type="expression" dxfId="4" priority="18" stopIfTrue="1">
      <formula>LEN(TRIM(W8))=0</formula>
    </cfRule>
  </conditionalFormatting>
  <conditionalFormatting sqref="X6:AC6">
    <cfRule type="expression" dxfId="3" priority="34" stopIfTrue="1">
      <formula>LEN(TRIM(X6))=0</formula>
    </cfRule>
  </conditionalFormatting>
  <conditionalFormatting sqref="X6:AC6">
    <cfRule type="expression" dxfId="2" priority="31" stopIfTrue="1">
      <formula>LEN(TRIM(X6))=0</formula>
    </cfRule>
  </conditionalFormatting>
  <pageMargins left="0.511811023622047" right="0.511811023622047" top="1.181102362204725" bottom="1.181102362204725" header="0.78740157480314998" footer="0.78740157480314998"/>
  <pageSetup paperSize="0" fitToWidth="0" fitToHeight="0" orientation="portrait"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40"/>
  <sheetViews>
    <sheetView tabSelected="1" workbookViewId="0"/>
  </sheetViews>
  <sheetFormatPr defaultRowHeight="14.1"/>
  <cols>
    <col min="1" max="1" width="32.125" style="75" customWidth="1"/>
    <col min="2" max="2" width="20.125" style="75" customWidth="1"/>
    <col min="3" max="3" width="25.875" style="76" customWidth="1"/>
    <col min="4" max="4" width="11.875" style="140" customWidth="1"/>
    <col min="5" max="8" width="11.875" style="141" customWidth="1"/>
    <col min="9" max="16" width="11.875" style="142" customWidth="1"/>
    <col min="17" max="1023" width="8.5" style="75" customWidth="1"/>
    <col min="1024" max="1024" width="9" style="75" customWidth="1"/>
    <col min="1025" max="1025" width="9" customWidth="1"/>
  </cols>
  <sheetData>
    <row r="1" spans="1:36" s="112" customFormat="1" ht="48">
      <c r="A1" s="131" t="s">
        <v>1217</v>
      </c>
      <c r="B1" s="131" t="s">
        <v>1218</v>
      </c>
      <c r="C1" s="131" t="s">
        <v>1146</v>
      </c>
      <c r="D1" s="132" t="s">
        <v>1219</v>
      </c>
      <c r="E1" s="133" t="s">
        <v>1220</v>
      </c>
      <c r="F1" s="133" t="s">
        <v>1221</v>
      </c>
      <c r="G1" s="133" t="s">
        <v>1222</v>
      </c>
      <c r="H1" s="133" t="s">
        <v>1223</v>
      </c>
      <c r="I1" s="79" t="s">
        <v>1224</v>
      </c>
      <c r="J1" s="79" t="s">
        <v>1225</v>
      </c>
      <c r="K1" s="79" t="s">
        <v>1226</v>
      </c>
      <c r="L1" s="79" t="s">
        <v>1227</v>
      </c>
      <c r="M1" s="131" t="s">
        <v>1228</v>
      </c>
      <c r="N1" s="131" t="s">
        <v>1229</v>
      </c>
      <c r="O1" s="131" t="s">
        <v>1230</v>
      </c>
      <c r="P1" s="131" t="s">
        <v>1231</v>
      </c>
    </row>
    <row r="2" spans="1:36" s="67" customFormat="1" ht="33.75">
      <c r="A2" s="134" t="str">
        <f>CAC!A6</f>
        <v>SEMAT-NUCAF1</v>
      </c>
      <c r="B2" s="78" t="str">
        <f>CAC!C6</f>
        <v>0003424-08.2023.4.01.8010</v>
      </c>
      <c r="C2" s="135" t="str">
        <f>CAC!B6</f>
        <v>Aquisição de Suprimentos de Informática : Cartuchos de Toners  para Seção Judiciária do Pará e Subseções/ 2024</v>
      </c>
      <c r="D2" s="136">
        <f t="shared" ref="D2:D65" ca="1" si="0">H2-TODAY()</f>
        <v>137</v>
      </c>
      <c r="E2" s="137">
        <f>CAC!W6</f>
        <v>45306</v>
      </c>
      <c r="F2" s="137">
        <f>CAC!X6</f>
        <v>45331</v>
      </c>
      <c r="G2" s="138" t="str">
        <f>CAC!AB6</f>
        <v>---</v>
      </c>
      <c r="H2" s="137">
        <f>CAC!AC6</f>
        <v>45394</v>
      </c>
      <c r="I2" s="139"/>
      <c r="J2" s="139"/>
      <c r="K2" s="139"/>
      <c r="L2" s="139"/>
      <c r="M2" s="99" t="str">
        <f t="shared" ref="M2:M65" ca="1" si="1">IF(E2="---","N/A",IF(AND(I2="",NOW()-E2&lt;0),"Em dia",IF(AND(I2="",NOW()-E2&gt;0),"Pendência",IF(I2&gt;E2,"Entregue com atraso","Entregue"))))</f>
        <v>Em dia</v>
      </c>
      <c r="N2" s="99" t="str">
        <f t="shared" ref="N2:N65" ca="1" si="2">IF(F2="---","N/A",IF(AND(J2="",NOW()-F2&lt;0),"Em dia",IF(AND(J2="",NOW()-F2&gt;0),"Pendência",IF(J2&gt;F2,"Entregue com atraso","Entregue"))))</f>
        <v>Em dia</v>
      </c>
      <c r="O2" s="99" t="str">
        <f t="shared" ref="O2:O65" ca="1" si="3">IF(G2="---","N/A",IF(AND(K2="",NOW()-G2&lt;0),"Em dia",IF(AND(K2="",NOW()-G2&gt;0),"Pendência",IF(K2&gt;G2,"Contratado com atraso","Contratado"))))</f>
        <v>N/A</v>
      </c>
      <c r="P2" s="137" t="str">
        <f t="shared" ref="P2:P65" ca="1" si="4">IF(AND(L2="",NOW()-H2&lt;0),"Em dia",IF(AND(L2="",NOW()-H2&gt;0),"Pendência",IF(L2&gt;H2,"Contratado com atraso","Contratado")))</f>
        <v>Em dia</v>
      </c>
    </row>
    <row r="3" spans="1:36" s="119" customFormat="1" ht="33.75">
      <c r="A3" s="134" t="str">
        <f>CAC!A7</f>
        <v>SEMAT-NUCAF2</v>
      </c>
      <c r="B3" s="78" t="str">
        <f>CAC!C7</f>
        <v>0003424-08.2023.4.01.8010</v>
      </c>
      <c r="C3" s="135" t="str">
        <f>CAC!B7</f>
        <v>Aquisição de Suprimentos de Informática : Cartuchos de Toners  para Seção Judiciária do Pará e Subseções/ 2023.</v>
      </c>
      <c r="D3" s="136">
        <f t="shared" ca="1" si="0"/>
        <v>137</v>
      </c>
      <c r="E3" s="137">
        <f>CAC!W7</f>
        <v>45306</v>
      </c>
      <c r="F3" s="137">
        <f>CAC!X7</f>
        <v>45331</v>
      </c>
      <c r="G3" s="138" t="str">
        <f>CAC!AB7</f>
        <v>---</v>
      </c>
      <c r="H3" s="137">
        <f>CAC!AC7</f>
        <v>45394</v>
      </c>
      <c r="I3" s="139"/>
      <c r="J3" s="139"/>
      <c r="K3" s="139"/>
      <c r="L3" s="139"/>
      <c r="M3" s="99" t="str">
        <f t="shared" ca="1" si="1"/>
        <v>Em dia</v>
      </c>
      <c r="N3" s="99" t="str">
        <f t="shared" ca="1" si="2"/>
        <v>Em dia</v>
      </c>
      <c r="O3" s="99" t="str">
        <f t="shared" ca="1" si="3"/>
        <v>N/A</v>
      </c>
      <c r="P3" s="137" t="str">
        <f t="shared" ca="1" si="4"/>
        <v>Em dia</v>
      </c>
      <c r="Q3" s="67"/>
      <c r="R3" s="67"/>
      <c r="S3" s="67"/>
      <c r="T3" s="67"/>
      <c r="U3" s="67"/>
      <c r="V3" s="67"/>
      <c r="W3" s="67"/>
      <c r="X3" s="67"/>
      <c r="Y3" s="67"/>
      <c r="Z3" s="67"/>
      <c r="AA3" s="67"/>
      <c r="AB3" s="67"/>
      <c r="AC3" s="67"/>
      <c r="AD3" s="67"/>
      <c r="AE3" s="67"/>
      <c r="AF3" s="67"/>
      <c r="AG3" s="67"/>
      <c r="AH3" s="67"/>
      <c r="AI3" s="67"/>
      <c r="AJ3" s="67"/>
    </row>
    <row r="4" spans="1:36" s="67" customFormat="1" ht="33.75">
      <c r="A4" s="134" t="str">
        <f>CAC!A8</f>
        <v>SEMAT-NUCAF3</v>
      </c>
      <c r="B4" s="78" t="str">
        <f>CAC!C8</f>
        <v>0003424-08.2023.4.01.8010</v>
      </c>
      <c r="C4" s="135" t="str">
        <f>CAC!B8</f>
        <v>Aquisição de Suprimentos de Informática : Cartuchos de Toners  para Seção Judiciária do Pará e Subseções/ 2023.</v>
      </c>
      <c r="D4" s="136">
        <f t="shared" ca="1" si="0"/>
        <v>137</v>
      </c>
      <c r="E4" s="137">
        <f>CAC!W8</f>
        <v>45306</v>
      </c>
      <c r="F4" s="137">
        <f>CAC!X8</f>
        <v>45331</v>
      </c>
      <c r="G4" s="138" t="str">
        <f>CAC!AB8</f>
        <v>---</v>
      </c>
      <c r="H4" s="137">
        <f>CAC!AC8</f>
        <v>45394</v>
      </c>
      <c r="I4" s="139"/>
      <c r="J4" s="139"/>
      <c r="K4" s="139"/>
      <c r="L4" s="139"/>
      <c r="M4" s="99" t="str">
        <f t="shared" ca="1" si="1"/>
        <v>Em dia</v>
      </c>
      <c r="N4" s="99" t="str">
        <f t="shared" ca="1" si="2"/>
        <v>Em dia</v>
      </c>
      <c r="O4" s="99" t="str">
        <f t="shared" ca="1" si="3"/>
        <v>N/A</v>
      </c>
      <c r="P4" s="137" t="str">
        <f t="shared" ca="1" si="4"/>
        <v>Em dia</v>
      </c>
    </row>
    <row r="5" spans="1:36" s="67" customFormat="1" ht="33.75">
      <c r="A5" s="134" t="str">
        <f>CAC!A9</f>
        <v>SEMAT-NUCAF4</v>
      </c>
      <c r="B5" s="78" t="str">
        <f>CAC!C9</f>
        <v>0003424-08.2023.4.01.8010</v>
      </c>
      <c r="C5" s="135" t="str">
        <f>CAC!B9</f>
        <v>Aquisição de Suprimentos de Informática : Cartuchos de Toners  para Seção Judiciária do Pará e Subseções/ 2023.</v>
      </c>
      <c r="D5" s="136">
        <f t="shared" ca="1" si="0"/>
        <v>137</v>
      </c>
      <c r="E5" s="137">
        <f>CAC!W9</f>
        <v>45306</v>
      </c>
      <c r="F5" s="137">
        <f>CAC!X9</f>
        <v>45331</v>
      </c>
      <c r="G5" s="138" t="str">
        <f>CAC!AB9</f>
        <v>---</v>
      </c>
      <c r="H5" s="137">
        <f>CAC!AC9</f>
        <v>45394</v>
      </c>
      <c r="I5" s="139"/>
      <c r="J5" s="139"/>
      <c r="K5" s="139"/>
      <c r="L5" s="139"/>
      <c r="M5" s="99" t="str">
        <f t="shared" ca="1" si="1"/>
        <v>Em dia</v>
      </c>
      <c r="N5" s="99" t="str">
        <f t="shared" ca="1" si="2"/>
        <v>Em dia</v>
      </c>
      <c r="O5" s="99" t="str">
        <f t="shared" ca="1" si="3"/>
        <v>N/A</v>
      </c>
      <c r="P5" s="137" t="str">
        <f t="shared" ca="1" si="4"/>
        <v>Em dia</v>
      </c>
    </row>
    <row r="6" spans="1:36" s="67" customFormat="1" ht="22.5">
      <c r="A6" s="134" t="str">
        <f>CAC!A10</f>
        <v>SEMAT-NUCAF5</v>
      </c>
      <c r="B6" s="78" t="str">
        <f>CAC!C10</f>
        <v>0003424-08.2023.4.01.8010</v>
      </c>
      <c r="C6" s="135" t="str">
        <f>CAC!B10</f>
        <v>Materiais de expediente para o almoxarifado.</v>
      </c>
      <c r="D6" s="136">
        <f t="shared" ca="1" si="0"/>
        <v>137</v>
      </c>
      <c r="E6" s="137">
        <f>CAC!W10</f>
        <v>45325</v>
      </c>
      <c r="F6" s="137">
        <f>CAC!X10</f>
        <v>45350</v>
      </c>
      <c r="G6" s="138" t="str">
        <f>CAC!AB10</f>
        <v>---</v>
      </c>
      <c r="H6" s="137">
        <f>CAC!AC10</f>
        <v>45394</v>
      </c>
      <c r="I6" s="139"/>
      <c r="J6" s="139"/>
      <c r="K6" s="139"/>
      <c r="L6" s="139"/>
      <c r="M6" s="99" t="str">
        <f t="shared" ca="1" si="1"/>
        <v>Em dia</v>
      </c>
      <c r="N6" s="99" t="str">
        <f t="shared" ca="1" si="2"/>
        <v>Em dia</v>
      </c>
      <c r="O6" s="99" t="str">
        <f t="shared" ca="1" si="3"/>
        <v>N/A</v>
      </c>
      <c r="P6" s="137" t="str">
        <f t="shared" ca="1" si="4"/>
        <v>Em dia</v>
      </c>
    </row>
    <row r="7" spans="1:36" s="67" customFormat="1" ht="22.5">
      <c r="A7" s="134" t="str">
        <f>CAC!A11</f>
        <v>SEMAT-NUCAF6</v>
      </c>
      <c r="B7" s="78" t="str">
        <f>CAC!C11</f>
        <v>0003424-08.2023.4.01.8010</v>
      </c>
      <c r="C7" s="135" t="str">
        <f>CAC!B11</f>
        <v>Materiais de expediente para o almoxarifado.</v>
      </c>
      <c r="D7" s="136">
        <f t="shared" ca="1" si="0"/>
        <v>137</v>
      </c>
      <c r="E7" s="137">
        <f>CAC!W11</f>
        <v>45325</v>
      </c>
      <c r="F7" s="137">
        <f>CAC!X11</f>
        <v>45350</v>
      </c>
      <c r="G7" s="138" t="str">
        <f>CAC!AB11</f>
        <v>---</v>
      </c>
      <c r="H7" s="137">
        <f>CAC!AC11</f>
        <v>45394</v>
      </c>
      <c r="I7" s="139"/>
      <c r="J7" s="139"/>
      <c r="K7" s="139"/>
      <c r="L7" s="139"/>
      <c r="M7" s="99" t="str">
        <f t="shared" ca="1" si="1"/>
        <v>Em dia</v>
      </c>
      <c r="N7" s="99" t="str">
        <f t="shared" ca="1" si="2"/>
        <v>Em dia</v>
      </c>
      <c r="O7" s="99" t="str">
        <f t="shared" ca="1" si="3"/>
        <v>N/A</v>
      </c>
      <c r="P7" s="137" t="str">
        <f t="shared" ca="1" si="4"/>
        <v>Em dia</v>
      </c>
    </row>
    <row r="8" spans="1:36" s="67" customFormat="1" ht="22.5">
      <c r="A8" s="134" t="str">
        <f>CAC!A12</f>
        <v>SEMAT-NUCAF7</v>
      </c>
      <c r="B8" s="78" t="str">
        <f>CAC!C12</f>
        <v>0003424-08.2023.4.01.8010</v>
      </c>
      <c r="C8" s="135" t="str">
        <f>CAC!B12</f>
        <v>Materiais de expediente para o almoxarifado.</v>
      </c>
      <c r="D8" s="136">
        <f t="shared" ca="1" si="0"/>
        <v>137</v>
      </c>
      <c r="E8" s="137">
        <f>CAC!W12</f>
        <v>45325</v>
      </c>
      <c r="F8" s="137">
        <f>CAC!X12</f>
        <v>45350</v>
      </c>
      <c r="G8" s="138" t="str">
        <f>CAC!AB12</f>
        <v>---</v>
      </c>
      <c r="H8" s="137">
        <f>CAC!AC12</f>
        <v>45394</v>
      </c>
      <c r="I8" s="139"/>
      <c r="J8" s="139"/>
      <c r="K8" s="139"/>
      <c r="L8" s="139"/>
      <c r="M8" s="99" t="str">
        <f t="shared" ca="1" si="1"/>
        <v>Em dia</v>
      </c>
      <c r="N8" s="99" t="str">
        <f t="shared" ca="1" si="2"/>
        <v>Em dia</v>
      </c>
      <c r="O8" s="99" t="str">
        <f t="shared" ca="1" si="3"/>
        <v>N/A</v>
      </c>
      <c r="P8" s="137" t="str">
        <f t="shared" ca="1" si="4"/>
        <v>Em dia</v>
      </c>
    </row>
    <row r="9" spans="1:36" s="67" customFormat="1" ht="22.5">
      <c r="A9" s="134" t="str">
        <f>CAC!A13</f>
        <v>SEMAT-NUCAF8</v>
      </c>
      <c r="B9" s="78" t="str">
        <f>CAC!C13</f>
        <v>0003424-08.2023.4.01.8010</v>
      </c>
      <c r="C9" s="135" t="str">
        <f>CAC!B13</f>
        <v>Materiais de expediente para o almoxarifado.</v>
      </c>
      <c r="D9" s="136">
        <f t="shared" ca="1" si="0"/>
        <v>137</v>
      </c>
      <c r="E9" s="137">
        <f>CAC!W13</f>
        <v>45325</v>
      </c>
      <c r="F9" s="137">
        <f>CAC!X13</f>
        <v>45350</v>
      </c>
      <c r="G9" s="138" t="str">
        <f>CAC!AB13</f>
        <v>---</v>
      </c>
      <c r="H9" s="137">
        <f>CAC!AC13</f>
        <v>45394</v>
      </c>
      <c r="I9" s="139"/>
      <c r="J9" s="139"/>
      <c r="K9" s="139"/>
      <c r="L9" s="139"/>
      <c r="M9" s="99" t="str">
        <f t="shared" ca="1" si="1"/>
        <v>Em dia</v>
      </c>
      <c r="N9" s="99" t="str">
        <f t="shared" ca="1" si="2"/>
        <v>Em dia</v>
      </c>
      <c r="O9" s="99" t="str">
        <f t="shared" ca="1" si="3"/>
        <v>N/A</v>
      </c>
      <c r="P9" s="137" t="str">
        <f t="shared" ca="1" si="4"/>
        <v>Em dia</v>
      </c>
    </row>
    <row r="10" spans="1:36" s="67" customFormat="1" ht="22.5">
      <c r="A10" s="134" t="str">
        <f>CAC!A14</f>
        <v>SEMAT-NUCAF9</v>
      </c>
      <c r="B10" s="78" t="str">
        <f>CAC!C14</f>
        <v>0003424-08.2023.4.01.8010</v>
      </c>
      <c r="C10" s="135" t="str">
        <f>CAC!B14</f>
        <v>Materiais de expediente para o almoxarifado.</v>
      </c>
      <c r="D10" s="136">
        <f t="shared" ca="1" si="0"/>
        <v>137</v>
      </c>
      <c r="E10" s="137">
        <f>CAC!W14</f>
        <v>45325</v>
      </c>
      <c r="F10" s="137">
        <f>CAC!X14</f>
        <v>45350</v>
      </c>
      <c r="G10" s="138" t="str">
        <f>CAC!AB14</f>
        <v>---</v>
      </c>
      <c r="H10" s="137">
        <f>CAC!AC14</f>
        <v>45394</v>
      </c>
      <c r="I10" s="139"/>
      <c r="J10" s="139"/>
      <c r="K10" s="139"/>
      <c r="L10" s="139"/>
      <c r="M10" s="99" t="str">
        <f t="shared" ca="1" si="1"/>
        <v>Em dia</v>
      </c>
      <c r="N10" s="99" t="str">
        <f t="shared" ca="1" si="2"/>
        <v>Em dia</v>
      </c>
      <c r="O10" s="99" t="str">
        <f t="shared" ca="1" si="3"/>
        <v>N/A</v>
      </c>
      <c r="P10" s="137" t="str">
        <f t="shared" ca="1" si="4"/>
        <v>Em dia</v>
      </c>
    </row>
    <row r="11" spans="1:36" s="67" customFormat="1" ht="22.5">
      <c r="A11" s="134" t="str">
        <f>CAC!A15</f>
        <v>SEMAT-NUCAF10</v>
      </c>
      <c r="B11" s="78" t="str">
        <f>CAC!C15</f>
        <v>0003424-08.2023.4.01.8010</v>
      </c>
      <c r="C11" s="135" t="str">
        <f>CAC!B15</f>
        <v>Materiais de expediente para o almoxarifado.</v>
      </c>
      <c r="D11" s="136">
        <f t="shared" ca="1" si="0"/>
        <v>137</v>
      </c>
      <c r="E11" s="137">
        <f>CAC!W15</f>
        <v>45325</v>
      </c>
      <c r="F11" s="137">
        <f>CAC!X15</f>
        <v>45350</v>
      </c>
      <c r="G11" s="138" t="str">
        <f>CAC!AB15</f>
        <v>---</v>
      </c>
      <c r="H11" s="137">
        <f>CAC!AC15</f>
        <v>45394</v>
      </c>
      <c r="I11" s="139"/>
      <c r="J11" s="139"/>
      <c r="K11" s="139"/>
      <c r="L11" s="139"/>
      <c r="M11" s="99" t="str">
        <f t="shared" ca="1" si="1"/>
        <v>Em dia</v>
      </c>
      <c r="N11" s="99" t="str">
        <f t="shared" ca="1" si="2"/>
        <v>Em dia</v>
      </c>
      <c r="O11" s="99" t="str">
        <f t="shared" ca="1" si="3"/>
        <v>N/A</v>
      </c>
      <c r="P11" s="137" t="str">
        <f t="shared" ca="1" si="4"/>
        <v>Em dia</v>
      </c>
    </row>
    <row r="12" spans="1:36" s="67" customFormat="1" ht="22.5">
      <c r="A12" s="134" t="str">
        <f>CAC!A16</f>
        <v>SEMAT-NUCAF11</v>
      </c>
      <c r="B12" s="78" t="str">
        <f>CAC!C16</f>
        <v>0003424-08.2023.4.01.8010</v>
      </c>
      <c r="C12" s="135" t="str">
        <f>CAC!B16</f>
        <v>Materiais de expediente para o almoxarifado.</v>
      </c>
      <c r="D12" s="136">
        <f t="shared" ca="1" si="0"/>
        <v>137</v>
      </c>
      <c r="E12" s="137">
        <f>CAC!W16</f>
        <v>45325</v>
      </c>
      <c r="F12" s="137">
        <f>CAC!X16</f>
        <v>45350</v>
      </c>
      <c r="G12" s="138" t="str">
        <f>CAC!AB16</f>
        <v>---</v>
      </c>
      <c r="H12" s="137">
        <f>CAC!AC16</f>
        <v>45394</v>
      </c>
      <c r="I12" s="139"/>
      <c r="J12" s="139"/>
      <c r="K12" s="139"/>
      <c r="L12" s="139"/>
      <c r="M12" s="99" t="str">
        <f t="shared" ca="1" si="1"/>
        <v>Em dia</v>
      </c>
      <c r="N12" s="99" t="str">
        <f t="shared" ca="1" si="2"/>
        <v>Em dia</v>
      </c>
      <c r="O12" s="99" t="str">
        <f t="shared" ca="1" si="3"/>
        <v>N/A</v>
      </c>
      <c r="P12" s="137" t="str">
        <f t="shared" ca="1" si="4"/>
        <v>Em dia</v>
      </c>
    </row>
    <row r="13" spans="1:36" s="67" customFormat="1" ht="22.5">
      <c r="A13" s="134" t="str">
        <f>CAC!A17</f>
        <v>SEMAT-NUCAF12</v>
      </c>
      <c r="B13" s="78" t="str">
        <f>CAC!C17</f>
        <v>0003424-08.2023.4.01.8010</v>
      </c>
      <c r="C13" s="135" t="str">
        <f>CAC!B17</f>
        <v>Materiais de expediente para o almoxarifado.</v>
      </c>
      <c r="D13" s="136">
        <f t="shared" ca="1" si="0"/>
        <v>137</v>
      </c>
      <c r="E13" s="137">
        <f>CAC!W17</f>
        <v>45325</v>
      </c>
      <c r="F13" s="137">
        <f>CAC!X17</f>
        <v>45350</v>
      </c>
      <c r="G13" s="138" t="str">
        <f>CAC!AB17</f>
        <v>---</v>
      </c>
      <c r="H13" s="137">
        <f>CAC!AC17</f>
        <v>45394</v>
      </c>
      <c r="I13" s="139"/>
      <c r="J13" s="139"/>
      <c r="K13" s="139"/>
      <c r="L13" s="139"/>
      <c r="M13" s="99" t="str">
        <f t="shared" ca="1" si="1"/>
        <v>Em dia</v>
      </c>
      <c r="N13" s="99" t="str">
        <f t="shared" ca="1" si="2"/>
        <v>Em dia</v>
      </c>
      <c r="O13" s="99" t="str">
        <f t="shared" ca="1" si="3"/>
        <v>N/A</v>
      </c>
      <c r="P13" s="137" t="str">
        <f t="shared" ca="1" si="4"/>
        <v>Em dia</v>
      </c>
    </row>
    <row r="14" spans="1:36" s="67" customFormat="1" ht="22.5">
      <c r="A14" s="134" t="str">
        <f>CAC!A18</f>
        <v>SEMAT-NUCAF13</v>
      </c>
      <c r="B14" s="78" t="str">
        <f>CAC!C18</f>
        <v>0003424-08.2023.4.01.8010</v>
      </c>
      <c r="C14" s="135" t="str">
        <f>CAC!B18</f>
        <v>Materiais de expediente para o almoxarifado.</v>
      </c>
      <c r="D14" s="136">
        <f t="shared" ca="1" si="0"/>
        <v>137</v>
      </c>
      <c r="E14" s="137">
        <f>CAC!W18</f>
        <v>45325</v>
      </c>
      <c r="F14" s="137">
        <f>CAC!X18</f>
        <v>45350</v>
      </c>
      <c r="G14" s="138" t="str">
        <f>CAC!AB18</f>
        <v>---</v>
      </c>
      <c r="H14" s="137">
        <f>CAC!AC18</f>
        <v>45394</v>
      </c>
      <c r="I14" s="139"/>
      <c r="J14" s="139"/>
      <c r="K14" s="139"/>
      <c r="L14" s="139"/>
      <c r="M14" s="99" t="str">
        <f t="shared" ca="1" si="1"/>
        <v>Em dia</v>
      </c>
      <c r="N14" s="99" t="str">
        <f t="shared" ca="1" si="2"/>
        <v>Em dia</v>
      </c>
      <c r="O14" s="99" t="str">
        <f t="shared" ca="1" si="3"/>
        <v>N/A</v>
      </c>
      <c r="P14" s="137" t="str">
        <f t="shared" ca="1" si="4"/>
        <v>Em dia</v>
      </c>
    </row>
    <row r="15" spans="1:36" s="67" customFormat="1" ht="22.5">
      <c r="A15" s="134" t="str">
        <f>CAC!A19</f>
        <v>SEMAT-NUCAF14</v>
      </c>
      <c r="B15" s="78" t="str">
        <f>CAC!C19</f>
        <v>0003424-08.2023.4.01.8010</v>
      </c>
      <c r="C15" s="135" t="str">
        <f>CAC!B19</f>
        <v>Materiais de expediente para o almoxarifado.</v>
      </c>
      <c r="D15" s="136">
        <f t="shared" ca="1" si="0"/>
        <v>155</v>
      </c>
      <c r="E15" s="137">
        <f>CAC!W19</f>
        <v>45343</v>
      </c>
      <c r="F15" s="137">
        <f>CAC!X19</f>
        <v>45368</v>
      </c>
      <c r="G15" s="138" t="str">
        <f>CAC!AB19</f>
        <v>---</v>
      </c>
      <c r="H15" s="137">
        <f>CAC!AC19</f>
        <v>45412</v>
      </c>
      <c r="I15" s="139"/>
      <c r="J15" s="139"/>
      <c r="K15" s="139"/>
      <c r="L15" s="139"/>
      <c r="M15" s="99" t="str">
        <f t="shared" ca="1" si="1"/>
        <v>Em dia</v>
      </c>
      <c r="N15" s="99" t="str">
        <f t="shared" ca="1" si="2"/>
        <v>Em dia</v>
      </c>
      <c r="O15" s="99" t="str">
        <f t="shared" ca="1" si="3"/>
        <v>N/A</v>
      </c>
      <c r="P15" s="137" t="str">
        <f t="shared" ca="1" si="4"/>
        <v>Em dia</v>
      </c>
    </row>
    <row r="16" spans="1:36" s="67" customFormat="1" ht="22.5">
      <c r="A16" s="134" t="str">
        <f>CAC!A20</f>
        <v>SEMAT-NUCAF15</v>
      </c>
      <c r="B16" s="78" t="str">
        <f>CAC!C20</f>
        <v>0003424-08.2023.4.01.8010</v>
      </c>
      <c r="C16" s="135" t="str">
        <f>CAC!B20</f>
        <v>Materiais de expediente para o almoxarifado.</v>
      </c>
      <c r="D16" s="136">
        <f t="shared" ca="1" si="0"/>
        <v>155</v>
      </c>
      <c r="E16" s="137">
        <f>CAC!W20</f>
        <v>45343</v>
      </c>
      <c r="F16" s="137">
        <f>CAC!X20</f>
        <v>45368</v>
      </c>
      <c r="G16" s="138" t="str">
        <f>CAC!AB20</f>
        <v>---</v>
      </c>
      <c r="H16" s="137">
        <f>CAC!AC20</f>
        <v>45412</v>
      </c>
      <c r="I16" s="139"/>
      <c r="J16" s="139"/>
      <c r="K16" s="139"/>
      <c r="L16" s="139"/>
      <c r="M16" s="99" t="str">
        <f t="shared" ca="1" si="1"/>
        <v>Em dia</v>
      </c>
      <c r="N16" s="99" t="str">
        <f t="shared" ca="1" si="2"/>
        <v>Em dia</v>
      </c>
      <c r="O16" s="99" t="str">
        <f t="shared" ca="1" si="3"/>
        <v>N/A</v>
      </c>
      <c r="P16" s="137" t="str">
        <f t="shared" ca="1" si="4"/>
        <v>Em dia</v>
      </c>
    </row>
    <row r="17" spans="1:16" s="67" customFormat="1" ht="22.5">
      <c r="A17" s="134" t="str">
        <f>CAC!A21</f>
        <v>SEMAT-NUCAF16</v>
      </c>
      <c r="B17" s="78" t="str">
        <f>CAC!C21</f>
        <v>0003424-08.2023.4.01.8010</v>
      </c>
      <c r="C17" s="135" t="str">
        <f>CAC!B21</f>
        <v>Materiais de expediente para o almoxarifado.</v>
      </c>
      <c r="D17" s="136">
        <f t="shared" ca="1" si="0"/>
        <v>155</v>
      </c>
      <c r="E17" s="137">
        <f>CAC!W21</f>
        <v>45343</v>
      </c>
      <c r="F17" s="137">
        <f>CAC!X21</f>
        <v>45368</v>
      </c>
      <c r="G17" s="138" t="str">
        <f>CAC!AB21</f>
        <v>---</v>
      </c>
      <c r="H17" s="137">
        <f>CAC!AC21</f>
        <v>45412</v>
      </c>
      <c r="I17" s="139"/>
      <c r="J17" s="139"/>
      <c r="K17" s="139"/>
      <c r="L17" s="139"/>
      <c r="M17" s="99" t="str">
        <f t="shared" ca="1" si="1"/>
        <v>Em dia</v>
      </c>
      <c r="N17" s="99" t="str">
        <f t="shared" ca="1" si="2"/>
        <v>Em dia</v>
      </c>
      <c r="O17" s="99" t="str">
        <f t="shared" ca="1" si="3"/>
        <v>N/A</v>
      </c>
      <c r="P17" s="137" t="str">
        <f t="shared" ca="1" si="4"/>
        <v>Em dia</v>
      </c>
    </row>
    <row r="18" spans="1:16" s="67" customFormat="1" ht="22.5">
      <c r="A18" s="134" t="str">
        <f>CAC!A22</f>
        <v>SEMAT-NUCAF17</v>
      </c>
      <c r="B18" s="78" t="str">
        <f>CAC!C22</f>
        <v>0003424-08.2023.4.01.8010</v>
      </c>
      <c r="C18" s="135" t="str">
        <f>CAC!B22</f>
        <v>Materiais de expediente para o almoxarifado.</v>
      </c>
      <c r="D18" s="136">
        <f t="shared" ca="1" si="0"/>
        <v>155</v>
      </c>
      <c r="E18" s="137">
        <f>CAC!W22</f>
        <v>45343</v>
      </c>
      <c r="F18" s="137">
        <f>CAC!X22</f>
        <v>45368</v>
      </c>
      <c r="G18" s="138" t="str">
        <f>CAC!AB22</f>
        <v>---</v>
      </c>
      <c r="H18" s="137">
        <f>CAC!AC22</f>
        <v>45412</v>
      </c>
      <c r="I18" s="139"/>
      <c r="J18" s="139"/>
      <c r="K18" s="139"/>
      <c r="L18" s="139"/>
      <c r="M18" s="99" t="str">
        <f t="shared" ca="1" si="1"/>
        <v>Em dia</v>
      </c>
      <c r="N18" s="99" t="str">
        <f t="shared" ca="1" si="2"/>
        <v>Em dia</v>
      </c>
      <c r="O18" s="99" t="str">
        <f t="shared" ca="1" si="3"/>
        <v>N/A</v>
      </c>
      <c r="P18" s="137" t="str">
        <f t="shared" ca="1" si="4"/>
        <v>Em dia</v>
      </c>
    </row>
    <row r="19" spans="1:16" s="67" customFormat="1" ht="22.5">
      <c r="A19" s="134" t="str">
        <f>CAC!A23</f>
        <v>SEMAT-NUCAF18</v>
      </c>
      <c r="B19" s="78" t="str">
        <f>CAC!C23</f>
        <v>0003424-08.2023.4.01.8010</v>
      </c>
      <c r="C19" s="135" t="str">
        <f>CAC!B23</f>
        <v>Materiais de expediente para o almoxarifado.</v>
      </c>
      <c r="D19" s="136">
        <f t="shared" ca="1" si="0"/>
        <v>137</v>
      </c>
      <c r="E19" s="137">
        <f>CAC!W23</f>
        <v>45325</v>
      </c>
      <c r="F19" s="137">
        <f>CAC!X23</f>
        <v>45350</v>
      </c>
      <c r="G19" s="138" t="str">
        <f>CAC!AB23</f>
        <v>---</v>
      </c>
      <c r="H19" s="137">
        <f>CAC!AC23</f>
        <v>45394</v>
      </c>
      <c r="I19" s="139"/>
      <c r="J19" s="139"/>
      <c r="K19" s="139"/>
      <c r="L19" s="139"/>
      <c r="M19" s="99" t="str">
        <f t="shared" ca="1" si="1"/>
        <v>Em dia</v>
      </c>
      <c r="N19" s="99" t="str">
        <f t="shared" ca="1" si="2"/>
        <v>Em dia</v>
      </c>
      <c r="O19" s="99" t="str">
        <f t="shared" ca="1" si="3"/>
        <v>N/A</v>
      </c>
      <c r="P19" s="137" t="str">
        <f t="shared" ca="1" si="4"/>
        <v>Em dia</v>
      </c>
    </row>
    <row r="20" spans="1:16" s="67" customFormat="1" ht="22.5">
      <c r="A20" s="134" t="str">
        <f>CAC!A24</f>
        <v>SEMAT-NUCAF19</v>
      </c>
      <c r="B20" s="78" t="str">
        <f>CAC!C24</f>
        <v>0003424-08.2023.4.01.8010</v>
      </c>
      <c r="C20" s="135" t="str">
        <f>CAC!B24</f>
        <v>Materiais de expediente para o almoxarifado.</v>
      </c>
      <c r="D20" s="136">
        <f t="shared" ca="1" si="0"/>
        <v>137</v>
      </c>
      <c r="E20" s="137">
        <f>CAC!W24</f>
        <v>45325</v>
      </c>
      <c r="F20" s="137">
        <f>CAC!X24</f>
        <v>45350</v>
      </c>
      <c r="G20" s="138" t="str">
        <f>CAC!AB24</f>
        <v>---</v>
      </c>
      <c r="H20" s="137">
        <f>CAC!AC24</f>
        <v>45394</v>
      </c>
      <c r="I20" s="139"/>
      <c r="J20" s="139"/>
      <c r="K20" s="139"/>
      <c r="L20" s="139"/>
      <c r="M20" s="99" t="str">
        <f t="shared" ca="1" si="1"/>
        <v>Em dia</v>
      </c>
      <c r="N20" s="99" t="str">
        <f t="shared" ca="1" si="2"/>
        <v>Em dia</v>
      </c>
      <c r="O20" s="99" t="str">
        <f t="shared" ca="1" si="3"/>
        <v>N/A</v>
      </c>
      <c r="P20" s="137" t="str">
        <f t="shared" ca="1" si="4"/>
        <v>Em dia</v>
      </c>
    </row>
    <row r="21" spans="1:16" s="67" customFormat="1" ht="22.5">
      <c r="A21" s="134" t="str">
        <f>CAC!A25</f>
        <v>SEMAT-NUCAF20</v>
      </c>
      <c r="B21" s="78" t="str">
        <f>CAC!C25</f>
        <v>0003424-08.2023.4.01.8010</v>
      </c>
      <c r="C21" s="135" t="str">
        <f>CAC!B25</f>
        <v>Materiais de expediente para o almoxarifado.</v>
      </c>
      <c r="D21" s="136">
        <f t="shared" ca="1" si="0"/>
        <v>137</v>
      </c>
      <c r="E21" s="137">
        <f>CAC!W25</f>
        <v>45325</v>
      </c>
      <c r="F21" s="137">
        <f>CAC!X25</f>
        <v>45350</v>
      </c>
      <c r="G21" s="138" t="str">
        <f>CAC!AB25</f>
        <v>---</v>
      </c>
      <c r="H21" s="137">
        <f>CAC!AC25</f>
        <v>45394</v>
      </c>
      <c r="I21" s="139"/>
      <c r="J21" s="139"/>
      <c r="K21" s="139"/>
      <c r="L21" s="139"/>
      <c r="M21" s="99" t="str">
        <f t="shared" ca="1" si="1"/>
        <v>Em dia</v>
      </c>
      <c r="N21" s="99" t="str">
        <f t="shared" ca="1" si="2"/>
        <v>Em dia</v>
      </c>
      <c r="O21" s="99" t="str">
        <f t="shared" ca="1" si="3"/>
        <v>N/A</v>
      </c>
      <c r="P21" s="137" t="str">
        <f t="shared" ca="1" si="4"/>
        <v>Em dia</v>
      </c>
    </row>
    <row r="22" spans="1:16" s="67" customFormat="1" ht="22.5">
      <c r="A22" s="134" t="str">
        <f>CAC!A26</f>
        <v>SEMAT-NUCAF21</v>
      </c>
      <c r="B22" s="78" t="str">
        <f>CAC!C26</f>
        <v>0003424-08.2023.4.01.8010</v>
      </c>
      <c r="C22" s="135" t="str">
        <f>CAC!B26</f>
        <v>Materiais de expediente para o almoxarifado.</v>
      </c>
      <c r="D22" s="136">
        <f t="shared" ca="1" si="0"/>
        <v>137</v>
      </c>
      <c r="E22" s="137">
        <f>CAC!W26</f>
        <v>45325</v>
      </c>
      <c r="F22" s="137">
        <f>CAC!X26</f>
        <v>45350</v>
      </c>
      <c r="G22" s="138" t="str">
        <f>CAC!AB26</f>
        <v>---</v>
      </c>
      <c r="H22" s="137">
        <f>CAC!AC26</f>
        <v>45394</v>
      </c>
      <c r="I22" s="139"/>
      <c r="J22" s="139"/>
      <c r="K22" s="139"/>
      <c r="L22" s="139"/>
      <c r="M22" s="99" t="str">
        <f t="shared" ca="1" si="1"/>
        <v>Em dia</v>
      </c>
      <c r="N22" s="99" t="str">
        <f t="shared" ca="1" si="2"/>
        <v>Em dia</v>
      </c>
      <c r="O22" s="99" t="str">
        <f t="shared" ca="1" si="3"/>
        <v>N/A</v>
      </c>
      <c r="P22" s="137" t="str">
        <f t="shared" ca="1" si="4"/>
        <v>Em dia</v>
      </c>
    </row>
    <row r="23" spans="1:16" s="67" customFormat="1" ht="22.5">
      <c r="A23" s="134" t="str">
        <f>CAC!A27</f>
        <v>SEMAT-NUCAF22</v>
      </c>
      <c r="B23" s="78" t="str">
        <f>CAC!C27</f>
        <v>0003424-08.2023.4.01.8010</v>
      </c>
      <c r="C23" s="135" t="str">
        <f>CAC!B27</f>
        <v>Materiais de expediente para o almoxarifado.</v>
      </c>
      <c r="D23" s="136">
        <f t="shared" ca="1" si="0"/>
        <v>137</v>
      </c>
      <c r="E23" s="137">
        <f>CAC!W27</f>
        <v>45325</v>
      </c>
      <c r="F23" s="137">
        <f>CAC!X27</f>
        <v>45350</v>
      </c>
      <c r="G23" s="138" t="str">
        <f>CAC!AB27</f>
        <v>---</v>
      </c>
      <c r="H23" s="137">
        <f>CAC!AC27</f>
        <v>45394</v>
      </c>
      <c r="I23" s="139"/>
      <c r="J23" s="139"/>
      <c r="K23" s="139"/>
      <c r="L23" s="139"/>
      <c r="M23" s="99" t="str">
        <f t="shared" ca="1" si="1"/>
        <v>Em dia</v>
      </c>
      <c r="N23" s="99" t="str">
        <f t="shared" ca="1" si="2"/>
        <v>Em dia</v>
      </c>
      <c r="O23" s="99" t="str">
        <f t="shared" ca="1" si="3"/>
        <v>N/A</v>
      </c>
      <c r="P23" s="137" t="str">
        <f t="shared" ca="1" si="4"/>
        <v>Em dia</v>
      </c>
    </row>
    <row r="24" spans="1:16" s="67" customFormat="1" ht="22.5">
      <c r="A24" s="134" t="str">
        <f>CAC!A28</f>
        <v>SEMAT-NUCAF23</v>
      </c>
      <c r="B24" s="78" t="str">
        <f>CAC!C28</f>
        <v>0003424-08.2023.4.01.8010</v>
      </c>
      <c r="C24" s="135" t="str">
        <f>CAC!B28</f>
        <v>Materiais de expediente para o almoxarifado.</v>
      </c>
      <c r="D24" s="136">
        <f t="shared" ca="1" si="0"/>
        <v>137</v>
      </c>
      <c r="E24" s="137">
        <f>CAC!W28</f>
        <v>45325</v>
      </c>
      <c r="F24" s="137">
        <f>CAC!X28</f>
        <v>45350</v>
      </c>
      <c r="G24" s="138" t="str">
        <f>CAC!AB28</f>
        <v>---</v>
      </c>
      <c r="H24" s="137">
        <f>CAC!AC28</f>
        <v>45394</v>
      </c>
      <c r="I24" s="139"/>
      <c r="J24" s="139"/>
      <c r="K24" s="139"/>
      <c r="L24" s="139"/>
      <c r="M24" s="99" t="str">
        <f t="shared" ca="1" si="1"/>
        <v>Em dia</v>
      </c>
      <c r="N24" s="99" t="str">
        <f t="shared" ca="1" si="2"/>
        <v>Em dia</v>
      </c>
      <c r="O24" s="99" t="str">
        <f t="shared" ca="1" si="3"/>
        <v>N/A</v>
      </c>
      <c r="P24" s="137" t="str">
        <f t="shared" ca="1" si="4"/>
        <v>Em dia</v>
      </c>
    </row>
    <row r="25" spans="1:16" s="67" customFormat="1" ht="22.5">
      <c r="A25" s="134" t="str">
        <f>CAC!A29</f>
        <v>SEMAT-NUCAF24</v>
      </c>
      <c r="B25" s="78" t="str">
        <f>CAC!C29</f>
        <v>0003424-08.2023.4.01.8010</v>
      </c>
      <c r="C25" s="135" t="str">
        <f>CAC!B29</f>
        <v>Materiais de expediente para o almoxarifado.</v>
      </c>
      <c r="D25" s="136">
        <f t="shared" ca="1" si="0"/>
        <v>137</v>
      </c>
      <c r="E25" s="137">
        <f>CAC!W29</f>
        <v>45325</v>
      </c>
      <c r="F25" s="137">
        <f>CAC!X29</f>
        <v>45350</v>
      </c>
      <c r="G25" s="138" t="str">
        <f>CAC!AB29</f>
        <v>---</v>
      </c>
      <c r="H25" s="137">
        <f>CAC!AC29</f>
        <v>45394</v>
      </c>
      <c r="I25" s="139"/>
      <c r="J25" s="139"/>
      <c r="K25" s="139"/>
      <c r="L25" s="139"/>
      <c r="M25" s="99" t="str">
        <f t="shared" ca="1" si="1"/>
        <v>Em dia</v>
      </c>
      <c r="N25" s="99" t="str">
        <f t="shared" ca="1" si="2"/>
        <v>Em dia</v>
      </c>
      <c r="O25" s="99" t="str">
        <f t="shared" ca="1" si="3"/>
        <v>N/A</v>
      </c>
      <c r="P25" s="137" t="str">
        <f t="shared" ca="1" si="4"/>
        <v>Em dia</v>
      </c>
    </row>
    <row r="26" spans="1:16" s="67" customFormat="1" ht="33.75">
      <c r="A26" s="134" t="str">
        <f>CAC!A30</f>
        <v>SELIT-NUCAF1</v>
      </c>
      <c r="B26" s="78">
        <f>CAC!C30</f>
        <v>0</v>
      </c>
      <c r="C26" s="135" t="str">
        <f>CAC!B30</f>
        <v>Assinatura de ferramenta de pesquisa e comparação de preços praticados pela Administração Pública.</v>
      </c>
      <c r="D26" s="136">
        <f t="shared" ca="1" si="0"/>
        <v>17</v>
      </c>
      <c r="E26" s="137">
        <f>CAC!W30</f>
        <v>45205</v>
      </c>
      <c r="F26" s="137">
        <f>CAC!X30</f>
        <v>45230</v>
      </c>
      <c r="G26" s="138" t="str">
        <f>CAC!AB30</f>
        <v>---</v>
      </c>
      <c r="H26" s="137">
        <f>CAC!AC30</f>
        <v>45274</v>
      </c>
      <c r="I26" s="139"/>
      <c r="J26" s="139"/>
      <c r="K26" s="139"/>
      <c r="L26" s="139"/>
      <c r="M26" s="99" t="str">
        <f t="shared" ca="1" si="1"/>
        <v>Pendência</v>
      </c>
      <c r="N26" s="99" t="str">
        <f t="shared" ca="1" si="2"/>
        <v>Pendência</v>
      </c>
      <c r="O26" s="99" t="str">
        <f t="shared" ca="1" si="3"/>
        <v>N/A</v>
      </c>
      <c r="P26" s="137" t="str">
        <f t="shared" ca="1" si="4"/>
        <v>Em dia</v>
      </c>
    </row>
    <row r="27" spans="1:16" s="67" customFormat="1" ht="33.75">
      <c r="A27" s="134" t="str">
        <f>CAC!A31</f>
        <v>SELIT-NUCAF2</v>
      </c>
      <c r="B27" s="78">
        <f>CAC!C31</f>
        <v>0</v>
      </c>
      <c r="C27" s="135" t="str">
        <f>CAC!B31</f>
        <v>Contratação de Assinatura em mídia especializada em dados sobre licitações e contratos.</v>
      </c>
      <c r="D27" s="136">
        <f t="shared" ca="1" si="0"/>
        <v>17</v>
      </c>
      <c r="E27" s="137">
        <f>CAC!W31</f>
        <v>45205</v>
      </c>
      <c r="F27" s="137">
        <f>CAC!X31</f>
        <v>45230</v>
      </c>
      <c r="G27" s="138" t="str">
        <f>CAC!AB31</f>
        <v>---</v>
      </c>
      <c r="H27" s="137">
        <f>CAC!AC31</f>
        <v>45274</v>
      </c>
      <c r="I27" s="139"/>
      <c r="J27" s="139"/>
      <c r="K27" s="139"/>
      <c r="L27" s="139"/>
      <c r="M27" s="99" t="str">
        <f t="shared" ca="1" si="1"/>
        <v>Pendência</v>
      </c>
      <c r="N27" s="99" t="str">
        <f t="shared" ca="1" si="2"/>
        <v>Pendência</v>
      </c>
      <c r="O27" s="99" t="str">
        <f t="shared" ca="1" si="3"/>
        <v>N/A</v>
      </c>
      <c r="P27" s="137" t="str">
        <f t="shared" ca="1" si="4"/>
        <v>Em dia</v>
      </c>
    </row>
    <row r="28" spans="1:16" s="67" customFormat="1" ht="45">
      <c r="A28" s="134" t="str">
        <f>CAC!A32</f>
        <v>SEVIT-NUASG1</v>
      </c>
      <c r="B28" s="78" t="str">
        <f>CAC!C32</f>
        <v>0002346-76.2023.4.01.8010</v>
      </c>
      <c r="C28" s="135" t="str">
        <f>CAC!B32</f>
        <v>PRESTAÇÃO DE SERVIÇOS DE MENSAGERIA MOTORIZADA, MOTOBOY,  COM FORNECIMENTO DE VEÍCULO, MOTOCICLETA E EQUIPAMENTOS DE PROTEÇÃO.</v>
      </c>
      <c r="D28" s="136">
        <f t="shared" ca="1" si="0"/>
        <v>17</v>
      </c>
      <c r="E28" s="137" t="str">
        <f>CAC!W32</f>
        <v>---</v>
      </c>
      <c r="F28" s="137" t="str">
        <f>CAC!X32</f>
        <v>---</v>
      </c>
      <c r="G28" s="138">
        <f>CAC!AB32</f>
        <v>45214</v>
      </c>
      <c r="H28" s="137">
        <f>CAC!AC32</f>
        <v>45274</v>
      </c>
      <c r="I28" s="139"/>
      <c r="J28" s="139"/>
      <c r="K28" s="139"/>
      <c r="L28" s="139"/>
      <c r="M28" s="99" t="str">
        <f t="shared" ca="1" si="1"/>
        <v>N/A</v>
      </c>
      <c r="N28" s="99" t="str">
        <f t="shared" ca="1" si="2"/>
        <v>N/A</v>
      </c>
      <c r="O28" s="99" t="str">
        <f t="shared" ca="1" si="3"/>
        <v>Pendência</v>
      </c>
      <c r="P28" s="137" t="str">
        <f t="shared" ca="1" si="4"/>
        <v>Em dia</v>
      </c>
    </row>
    <row r="29" spans="1:16" s="67" customFormat="1" ht="45">
      <c r="A29" s="134" t="str">
        <f>CAC!A33</f>
        <v>SEVIT-NUASG2</v>
      </c>
      <c r="B29" s="78" t="str">
        <f>CAC!C33</f>
        <v>0002346-76.2023.4.01.8010</v>
      </c>
      <c r="C29" s="135" t="str">
        <f>CAC!B33</f>
        <v>PRESTAÇÃO DE SERVIÇOS  DE MANUTENÇÃO PREVENTIVA E CORRETIVAS NOS ELEVADORES INSTALADOS NO PRÉDIO SEDE DA JUSTIÇA FEDERAL NO PARÁ.</v>
      </c>
      <c r="D29" s="136">
        <f t="shared" ca="1" si="0"/>
        <v>17</v>
      </c>
      <c r="E29" s="137" t="str">
        <f>CAC!W33</f>
        <v>---</v>
      </c>
      <c r="F29" s="137" t="str">
        <f>CAC!X33</f>
        <v>---</v>
      </c>
      <c r="G29" s="138">
        <f>CAC!AB33</f>
        <v>45214</v>
      </c>
      <c r="H29" s="137">
        <f>CAC!AC33</f>
        <v>45274</v>
      </c>
      <c r="I29" s="139"/>
      <c r="J29" s="139"/>
      <c r="K29" s="139"/>
      <c r="L29" s="139"/>
      <c r="M29" s="99" t="str">
        <f t="shared" ca="1" si="1"/>
        <v>N/A</v>
      </c>
      <c r="N29" s="99" t="str">
        <f t="shared" ca="1" si="2"/>
        <v>N/A</v>
      </c>
      <c r="O29" s="99" t="str">
        <f t="shared" ca="1" si="3"/>
        <v>Pendência</v>
      </c>
      <c r="P29" s="137" t="str">
        <f t="shared" ca="1" si="4"/>
        <v>Em dia</v>
      </c>
    </row>
    <row r="30" spans="1:16" s="67" customFormat="1" ht="33.75">
      <c r="A30" s="134" t="str">
        <f>CAC!A34</f>
        <v>SEVIT-NUASG3</v>
      </c>
      <c r="B30" s="78" t="str">
        <f>CAC!C34</f>
        <v>0002346-76.2023.4.01.8010</v>
      </c>
      <c r="C30" s="135" t="str">
        <f>CAC!B34</f>
        <v>SEGURO TOTAL CONTRA SINISTROS PARA 12 VEÍCULOS PERTENCENTES A FROTA DA JUSTIÇA FEDERAL SEÇÃO PARÁ.</v>
      </c>
      <c r="D30" s="136">
        <f t="shared" ca="1" si="0"/>
        <v>17</v>
      </c>
      <c r="E30" s="137" t="str">
        <f>CAC!W34</f>
        <v>---</v>
      </c>
      <c r="F30" s="137" t="str">
        <f>CAC!X34</f>
        <v>---</v>
      </c>
      <c r="G30" s="138">
        <f>CAC!AB34</f>
        <v>45214</v>
      </c>
      <c r="H30" s="137">
        <f>CAC!AC34</f>
        <v>45274</v>
      </c>
      <c r="I30" s="139"/>
      <c r="J30" s="139"/>
      <c r="K30" s="139"/>
      <c r="L30" s="139"/>
      <c r="M30" s="99" t="str">
        <f t="shared" ca="1" si="1"/>
        <v>N/A</v>
      </c>
      <c r="N30" s="99" t="str">
        <f t="shared" ca="1" si="2"/>
        <v>N/A</v>
      </c>
      <c r="O30" s="99" t="str">
        <f t="shared" ca="1" si="3"/>
        <v>Pendência</v>
      </c>
      <c r="P30" s="137" t="str">
        <f t="shared" ca="1" si="4"/>
        <v>Em dia</v>
      </c>
    </row>
    <row r="31" spans="1:16" s="67" customFormat="1" ht="101.25">
      <c r="A31" s="134" t="str">
        <f>CAC!A35</f>
        <v>SEVIT-NUASG4</v>
      </c>
      <c r="B31" s="78" t="str">
        <f>CAC!C35</f>
        <v>0002346-76.2023.4.01.8010</v>
      </c>
      <c r="C31" s="135" t="str">
        <f>CAC!B35</f>
        <v>PRESTAÇÃO DE SERVIÇOS DE IMPLANTAÇÃO, INTERMEDIAÇÃO E ADMINISTRAÇÃO DE UM SISTEMA INFORMATIZADO E INTEGRADO, COM UTILIZAÇÃO DE CARTÃO MAGNÉTICO OU MICRO PROCESSADO DE GERENCIAMENTO PARA AQUISIÇÃO DE COMBUSTÍVEIS (GASOLINA E DIESEL) PARA OS VEÍCULOS E GERADORES DA JUSTIÇA FEDERAL SEÇÃO PARÁ</v>
      </c>
      <c r="D31" s="136">
        <f t="shared" ca="1" si="0"/>
        <v>17</v>
      </c>
      <c r="E31" s="137" t="str">
        <f>CAC!W35</f>
        <v>---</v>
      </c>
      <c r="F31" s="137" t="str">
        <f>CAC!X35</f>
        <v>---</v>
      </c>
      <c r="G31" s="138">
        <f>CAC!AB35</f>
        <v>45214</v>
      </c>
      <c r="H31" s="137">
        <f>CAC!AC35</f>
        <v>45274</v>
      </c>
      <c r="I31" s="139"/>
      <c r="J31" s="139"/>
      <c r="K31" s="139"/>
      <c r="L31" s="139"/>
      <c r="M31" s="99" t="str">
        <f t="shared" ca="1" si="1"/>
        <v>N/A</v>
      </c>
      <c r="N31" s="99" t="str">
        <f t="shared" ca="1" si="2"/>
        <v>N/A</v>
      </c>
      <c r="O31" s="99" t="str">
        <f t="shared" ca="1" si="3"/>
        <v>Pendência</v>
      </c>
      <c r="P31" s="137" t="str">
        <f t="shared" ca="1" si="4"/>
        <v>Em dia</v>
      </c>
    </row>
    <row r="32" spans="1:16" s="67" customFormat="1" ht="56.25">
      <c r="A32" s="134" t="str">
        <f>CAC!A36</f>
        <v>SEVIT-NUASG5</v>
      </c>
      <c r="B32" s="78" t="str">
        <f>CAC!C36</f>
        <v>0002346-76.2023.4.01.8010</v>
      </c>
      <c r="C32" s="135" t="str">
        <f>CAC!B36</f>
        <v>PRESTAÇÃO DE SERVIÇOS DE GERENCIAMENTO DE FROTA DE VEÍCULOS OFICIAIS, MANUTENÇÃO E CONSERVAÇÃO COM SERVIÇOS MECÂNICOS ELÉTRICOS E FORNECIMENTO DE PEÇAS.</v>
      </c>
      <c r="D32" s="136">
        <f t="shared" ca="1" si="0"/>
        <v>17</v>
      </c>
      <c r="E32" s="137" t="str">
        <f>CAC!W36</f>
        <v>---</v>
      </c>
      <c r="F32" s="137" t="str">
        <f>CAC!X36</f>
        <v>---</v>
      </c>
      <c r="G32" s="138">
        <f>CAC!AB36</f>
        <v>45214</v>
      </c>
      <c r="H32" s="137">
        <f>CAC!AC36</f>
        <v>45274</v>
      </c>
      <c r="I32" s="139"/>
      <c r="J32" s="139"/>
      <c r="K32" s="139"/>
      <c r="L32" s="139"/>
      <c r="M32" s="99" t="str">
        <f t="shared" ca="1" si="1"/>
        <v>N/A</v>
      </c>
      <c r="N32" s="99" t="str">
        <f t="shared" ca="1" si="2"/>
        <v>N/A</v>
      </c>
      <c r="O32" s="99" t="str">
        <f t="shared" ca="1" si="3"/>
        <v>Pendência</v>
      </c>
      <c r="P32" s="137" t="str">
        <f t="shared" ca="1" si="4"/>
        <v>Em dia</v>
      </c>
    </row>
    <row r="33" spans="1:16" s="67" customFormat="1" ht="67.5">
      <c r="A33" s="134" t="str">
        <f>CAC!A37</f>
        <v>SEVIT-NUASG6</v>
      </c>
      <c r="B33" s="78" t="str">
        <f>CAC!C37</f>
        <v>0002346-76.2023.4.01.8010</v>
      </c>
      <c r="C33" s="135" t="str">
        <f>CAC!B37</f>
        <v>SERVIÇOS DE VIGILÂNCIA ARMADA 24 HORAS NO PRÉDIO SEDE DA JUSTIÇA EM BELÉM E NAS SUBSEÇÕES: CASTANHAL, PARAGOMINAS, MARABÁ, TUCURUÍ, ALATAMIRA, REDENÇÃO, ITAITUBA E SANTARÉM.</v>
      </c>
      <c r="D33" s="136">
        <f t="shared" ca="1" si="0"/>
        <v>17</v>
      </c>
      <c r="E33" s="137" t="str">
        <f>CAC!W37</f>
        <v>---</v>
      </c>
      <c r="F33" s="137" t="str">
        <f>CAC!X37</f>
        <v>---</v>
      </c>
      <c r="G33" s="138">
        <f>CAC!AB37</f>
        <v>45214</v>
      </c>
      <c r="H33" s="137">
        <f>CAC!AC37</f>
        <v>45274</v>
      </c>
      <c r="I33" s="139"/>
      <c r="J33" s="139"/>
      <c r="K33" s="139"/>
      <c r="L33" s="139"/>
      <c r="M33" s="99" t="str">
        <f t="shared" ca="1" si="1"/>
        <v>N/A</v>
      </c>
      <c r="N33" s="99" t="str">
        <f t="shared" ca="1" si="2"/>
        <v>N/A</v>
      </c>
      <c r="O33" s="99" t="str">
        <f t="shared" ca="1" si="3"/>
        <v>Pendência</v>
      </c>
      <c r="P33" s="137" t="str">
        <f t="shared" ca="1" si="4"/>
        <v>Em dia</v>
      </c>
    </row>
    <row r="34" spans="1:16" s="67" customFormat="1" ht="12">
      <c r="A34" s="134" t="str">
        <f>CAC!A38</f>
        <v>SEVIT-NUASG7</v>
      </c>
      <c r="B34" s="78" t="str">
        <f>CAC!C38</f>
        <v>0002346-76.2023.4.01.8010</v>
      </c>
      <c r="C34" s="135" t="str">
        <f>CAC!B38</f>
        <v>Contratação de seguro contra incêndio.</v>
      </c>
      <c r="D34" s="136">
        <f t="shared" ca="1" si="0"/>
        <v>17</v>
      </c>
      <c r="E34" s="137" t="str">
        <f>CAC!W38</f>
        <v>---</v>
      </c>
      <c r="F34" s="137" t="str">
        <f>CAC!X38</f>
        <v>---</v>
      </c>
      <c r="G34" s="138">
        <f>CAC!AB38</f>
        <v>45214</v>
      </c>
      <c r="H34" s="137">
        <f>CAC!AC38</f>
        <v>45274</v>
      </c>
      <c r="I34" s="139"/>
      <c r="J34" s="139"/>
      <c r="K34" s="139"/>
      <c r="L34" s="139"/>
      <c r="M34" s="99" t="str">
        <f t="shared" ca="1" si="1"/>
        <v>N/A</v>
      </c>
      <c r="N34" s="99" t="str">
        <f t="shared" ca="1" si="2"/>
        <v>N/A</v>
      </c>
      <c r="O34" s="99" t="str">
        <f t="shared" ca="1" si="3"/>
        <v>Pendência</v>
      </c>
      <c r="P34" s="137" t="str">
        <f t="shared" ca="1" si="4"/>
        <v>Em dia</v>
      </c>
    </row>
    <row r="35" spans="1:16" s="67" customFormat="1" ht="33.75">
      <c r="A35" s="134" t="str">
        <f>CAC!A39</f>
        <v>SEVIT-NUASG8</v>
      </c>
      <c r="B35" s="78" t="str">
        <f>CAC!C39</f>
        <v>0002346-76.2023.4.01.8010</v>
      </c>
      <c r="C35" s="135" t="str">
        <f>CAC!B39</f>
        <v>SEGURO TOTAL CONTRA SINISTROS PARA 9 VEÍCULOS PERTENCENTES A FROTA DA JUSTIÇA FEDERAL SEÇÃO PARÁ.</v>
      </c>
      <c r="D35" s="136">
        <f t="shared" ca="1" si="0"/>
        <v>17</v>
      </c>
      <c r="E35" s="137">
        <f>CAC!W39</f>
        <v>45186</v>
      </c>
      <c r="F35" s="137">
        <f>CAC!X39</f>
        <v>45211</v>
      </c>
      <c r="G35" s="138" t="str">
        <f>CAC!AB39</f>
        <v>---</v>
      </c>
      <c r="H35" s="137">
        <f>CAC!AC39</f>
        <v>45274</v>
      </c>
      <c r="I35" s="139"/>
      <c r="J35" s="139"/>
      <c r="K35" s="139"/>
      <c r="L35" s="139"/>
      <c r="M35" s="99" t="str">
        <f t="shared" ca="1" si="1"/>
        <v>Pendência</v>
      </c>
      <c r="N35" s="99" t="str">
        <f t="shared" ca="1" si="2"/>
        <v>Pendência</v>
      </c>
      <c r="O35" s="99" t="str">
        <f t="shared" ca="1" si="3"/>
        <v>N/A</v>
      </c>
      <c r="P35" s="137" t="str">
        <f t="shared" ca="1" si="4"/>
        <v>Em dia</v>
      </c>
    </row>
    <row r="36" spans="1:16" s="67" customFormat="1" ht="33.75">
      <c r="A36" s="134" t="str">
        <f>CAC!A40</f>
        <v>SEVIT-NUASG9</v>
      </c>
      <c r="B36" s="78" t="str">
        <f>CAC!C40</f>
        <v>0002346-76.2023.4.01.8010</v>
      </c>
      <c r="C36" s="135" t="str">
        <f>CAC!B40</f>
        <v>Mnautenção de porta giratória detectora de metais e scanner raio-x, instalados na Sede da SJPA.</v>
      </c>
      <c r="D36" s="136">
        <f t="shared" ca="1" si="0"/>
        <v>17</v>
      </c>
      <c r="E36" s="137">
        <f>CAC!W40</f>
        <v>45186</v>
      </c>
      <c r="F36" s="137">
        <f>CAC!X40</f>
        <v>45211</v>
      </c>
      <c r="G36" s="138" t="str">
        <f>CAC!AB40</f>
        <v>---</v>
      </c>
      <c r="H36" s="137">
        <f>CAC!AC40</f>
        <v>45274</v>
      </c>
      <c r="I36" s="139"/>
      <c r="J36" s="139"/>
      <c r="K36" s="139"/>
      <c r="L36" s="139"/>
      <c r="M36" s="99" t="str">
        <f t="shared" ca="1" si="1"/>
        <v>Pendência</v>
      </c>
      <c r="N36" s="99" t="str">
        <f t="shared" ca="1" si="2"/>
        <v>Pendência</v>
      </c>
      <c r="O36" s="99" t="str">
        <f t="shared" ca="1" si="3"/>
        <v>N/A</v>
      </c>
      <c r="P36" s="137" t="str">
        <f t="shared" ca="1" si="4"/>
        <v>Em dia</v>
      </c>
    </row>
    <row r="37" spans="1:16" s="67" customFormat="1" ht="45">
      <c r="A37" s="134" t="str">
        <f>CAC!A41</f>
        <v>SEVIT-NUASG10</v>
      </c>
      <c r="B37" s="78" t="str">
        <f>CAC!C41</f>
        <v>0002346-76.2023.4.01.8010</v>
      </c>
      <c r="C37" s="135" t="str">
        <f>CAC!B41</f>
        <v>FORNECIMENTO E INSTALAÇÃO DO SISTEMA DE CIRCUITO FECHADO DE TV E CONTROLE DE ACESSO PARA O PRÉDIO SJPA, INCLUINDO O ANEXO “CASA ROSADA”</v>
      </c>
      <c r="D37" s="136">
        <f t="shared" ca="1" si="0"/>
        <v>371</v>
      </c>
      <c r="E37" s="137">
        <f>CAC!W41</f>
        <v>45540</v>
      </c>
      <c r="F37" s="137">
        <f>CAC!X41</f>
        <v>45565</v>
      </c>
      <c r="G37" s="138" t="str">
        <f>CAC!AB41</f>
        <v>---</v>
      </c>
      <c r="H37" s="137">
        <f>CAC!AC41</f>
        <v>45628</v>
      </c>
      <c r="I37" s="139"/>
      <c r="J37" s="139"/>
      <c r="K37" s="139"/>
      <c r="L37" s="139"/>
      <c r="M37" s="99" t="str">
        <f t="shared" ca="1" si="1"/>
        <v>Em dia</v>
      </c>
      <c r="N37" s="99" t="str">
        <f t="shared" ca="1" si="2"/>
        <v>Em dia</v>
      </c>
      <c r="O37" s="99" t="str">
        <f t="shared" ca="1" si="3"/>
        <v>N/A</v>
      </c>
      <c r="P37" s="137" t="str">
        <f t="shared" ca="1" si="4"/>
        <v>Em dia</v>
      </c>
    </row>
    <row r="38" spans="1:16" s="67" customFormat="1" ht="33.75">
      <c r="A38" s="134" t="str">
        <f>CAC!A42</f>
        <v>SEVIT-NUASG11</v>
      </c>
      <c r="B38" s="78" t="str">
        <f>CAC!C42</f>
        <v>0002346-76.2023.4.01.8010</v>
      </c>
      <c r="C38" s="135" t="str">
        <f>CAC!B42</f>
        <v>Aquisição de Rádio Comunicador com alcance de 20km (RC3002 G2 Intelbras ou similar).</v>
      </c>
      <c r="D38" s="136">
        <f t="shared" ca="1" si="0"/>
        <v>230</v>
      </c>
      <c r="E38" s="137">
        <f>CAC!W42</f>
        <v>45399</v>
      </c>
      <c r="F38" s="137">
        <f>CAC!X42</f>
        <v>45424</v>
      </c>
      <c r="G38" s="138" t="str">
        <f>CAC!AB42</f>
        <v>---</v>
      </c>
      <c r="H38" s="137">
        <f>CAC!AC42</f>
        <v>45487</v>
      </c>
      <c r="I38" s="139"/>
      <c r="J38" s="139"/>
      <c r="K38" s="139"/>
      <c r="L38" s="139"/>
      <c r="M38" s="99" t="str">
        <f t="shared" ca="1" si="1"/>
        <v>Em dia</v>
      </c>
      <c r="N38" s="99" t="str">
        <f t="shared" ca="1" si="2"/>
        <v>Em dia</v>
      </c>
      <c r="O38" s="99" t="str">
        <f t="shared" ca="1" si="3"/>
        <v>N/A</v>
      </c>
      <c r="P38" s="137" t="str">
        <f t="shared" ca="1" si="4"/>
        <v>Em dia</v>
      </c>
    </row>
    <row r="39" spans="1:16" s="67" customFormat="1" ht="45">
      <c r="A39" s="134" t="str">
        <f>CAC!A43</f>
        <v>SEVIT-NUASG12</v>
      </c>
      <c r="B39" s="78" t="str">
        <f>CAC!C43</f>
        <v>0002346-76.2023.4.01.8010</v>
      </c>
      <c r="C39" s="135" t="str">
        <f>CAC!B43</f>
        <v>Operador de porta de cabina. Operador de cabina abertura telescópica (direita ou esquerda) 2 folhas LU800, Modelo 40/10 PM, soleira AL1000, módulo VF5.</v>
      </c>
      <c r="D39" s="136">
        <f t="shared" ca="1" si="0"/>
        <v>169</v>
      </c>
      <c r="E39" s="137">
        <f>CAC!W43</f>
        <v>45338</v>
      </c>
      <c r="F39" s="137">
        <f>CAC!X43</f>
        <v>45363</v>
      </c>
      <c r="G39" s="138" t="str">
        <f>CAC!AB43</f>
        <v>---</v>
      </c>
      <c r="H39" s="137">
        <f>CAC!AC43</f>
        <v>45426</v>
      </c>
      <c r="I39" s="139"/>
      <c r="J39" s="139"/>
      <c r="K39" s="139"/>
      <c r="L39" s="139"/>
      <c r="M39" s="99" t="str">
        <f t="shared" ca="1" si="1"/>
        <v>Em dia</v>
      </c>
      <c r="N39" s="99" t="str">
        <f t="shared" ca="1" si="2"/>
        <v>Em dia</v>
      </c>
      <c r="O39" s="99" t="str">
        <f t="shared" ca="1" si="3"/>
        <v>N/A</v>
      </c>
      <c r="P39" s="137" t="str">
        <f t="shared" ca="1" si="4"/>
        <v>Em dia</v>
      </c>
    </row>
    <row r="40" spans="1:16" s="67" customFormat="1" ht="101.25">
      <c r="A40" s="134" t="str">
        <f>CAC!A49</f>
        <v>SESEG-NUASG1</v>
      </c>
      <c r="B40" s="78" t="str">
        <f>CAC!C49</f>
        <v>0002345-91.2023.4.01.8010</v>
      </c>
      <c r="C40" s="135" t="str">
        <f>CAC!B49</f>
        <v>Prorrogação do contrato nº 02/2022 (14799933) - prestação de serviços de limpeza, conservação, higienização, desinfecção de bens móveis e imóveis, com fornecimento de material e equipamentos, conforme Anexo I do Edital de licitação do Pregão Eletrônico nº 29/2021, na sede da Seção Judiciária do Pará e Subseções Judiciárias.</v>
      </c>
      <c r="D40" s="136">
        <f t="shared" ca="1" si="0"/>
        <v>17</v>
      </c>
      <c r="E40" s="137" t="str">
        <f>CAC!W49</f>
        <v>---</v>
      </c>
      <c r="F40" s="137" t="str">
        <f>CAC!X49</f>
        <v>---</v>
      </c>
      <c r="G40" s="138">
        <f>CAC!AB49</f>
        <v>45214</v>
      </c>
      <c r="H40" s="137">
        <f>CAC!AC49</f>
        <v>45274</v>
      </c>
      <c r="I40" s="139"/>
      <c r="J40" s="139"/>
      <c r="K40" s="139"/>
      <c r="L40" s="139"/>
      <c r="M40" s="99" t="str">
        <f t="shared" ca="1" si="1"/>
        <v>N/A</v>
      </c>
      <c r="N40" s="99" t="str">
        <f t="shared" ca="1" si="2"/>
        <v>N/A</v>
      </c>
      <c r="O40" s="99" t="str">
        <f t="shared" ca="1" si="3"/>
        <v>Pendência</v>
      </c>
      <c r="P40" s="137" t="str">
        <f t="shared" ca="1" si="4"/>
        <v>Em dia</v>
      </c>
    </row>
    <row r="41" spans="1:16" s="67" customFormat="1" ht="78.75">
      <c r="A41" s="134" t="str">
        <f>CAC!A50</f>
        <v>SESEG-NUASG2</v>
      </c>
      <c r="B41" s="78" t="str">
        <f>CAC!C50</f>
        <v>0002345-91.2023.4.01.8010</v>
      </c>
      <c r="C41" s="135" t="str">
        <f>CAC!B50</f>
        <v>Prorrogação do contrato nº 36/2020 (11830837) -  prestação de serviços  especializado de lavagem, higienização e desinfecção do poço tubular, cisternas e reservatórios de água fria do Edifício-Sede desta Seção Judiciária do Pará e prédios anexos.</v>
      </c>
      <c r="D41" s="136">
        <f t="shared" ca="1" si="0"/>
        <v>17</v>
      </c>
      <c r="E41" s="138" t="str">
        <f>CAC!W50</f>
        <v>---</v>
      </c>
      <c r="F41" s="138" t="str">
        <f>CAC!X50</f>
        <v>---</v>
      </c>
      <c r="G41" s="137">
        <f>CAC!AB50</f>
        <v>45214</v>
      </c>
      <c r="H41" s="137">
        <f>CAC!AC50</f>
        <v>45274</v>
      </c>
      <c r="I41" s="139"/>
      <c r="J41" s="139"/>
      <c r="K41" s="139"/>
      <c r="L41" s="139"/>
      <c r="M41" s="99" t="str">
        <f t="shared" ca="1" si="1"/>
        <v>N/A</v>
      </c>
      <c r="N41" s="99" t="str">
        <f t="shared" ca="1" si="2"/>
        <v>N/A</v>
      </c>
      <c r="O41" s="99" t="str">
        <f t="shared" ca="1" si="3"/>
        <v>Pendência</v>
      </c>
      <c r="P41" s="137" t="str">
        <f t="shared" ca="1" si="4"/>
        <v>Em dia</v>
      </c>
    </row>
    <row r="42" spans="1:16" s="67" customFormat="1" ht="101.25">
      <c r="A42" s="134" t="str">
        <f>CAC!A51</f>
        <v>SESEG-NUASG3</v>
      </c>
      <c r="B42" s="78" t="str">
        <f>CAC!C51</f>
        <v>0002345-91.2023.4.01.8010</v>
      </c>
      <c r="C42" s="135" t="str">
        <f>CAC!B51</f>
        <v>Prorrogação do contrato nº 32/2020 (11615532) -  serviços de desinsetização, desratização e descupinização nas dependências do edifício-sede, do prédio anexo denominado "Casa Rosada" e do arquivo judicial, todos pertencentes à Seção Judiciária do Pará, em estrita conformidade com o Termo de Referência nº 11216898.</v>
      </c>
      <c r="D42" s="136">
        <f t="shared" ca="1" si="0"/>
        <v>17</v>
      </c>
      <c r="E42" s="138" t="str">
        <f>CAC!W51</f>
        <v>---</v>
      </c>
      <c r="F42" s="138" t="str">
        <f>CAC!X51</f>
        <v>---</v>
      </c>
      <c r="G42" s="137">
        <f>CAC!AB51</f>
        <v>45214</v>
      </c>
      <c r="H42" s="137">
        <f>CAC!AC51</f>
        <v>45274</v>
      </c>
      <c r="I42" s="139"/>
      <c r="J42" s="139"/>
      <c r="K42" s="139"/>
      <c r="L42" s="139"/>
      <c r="M42" s="99" t="str">
        <f t="shared" ca="1" si="1"/>
        <v>N/A</v>
      </c>
      <c r="N42" s="99" t="str">
        <f t="shared" ca="1" si="2"/>
        <v>N/A</v>
      </c>
      <c r="O42" s="99" t="str">
        <f t="shared" ca="1" si="3"/>
        <v>Pendência</v>
      </c>
      <c r="P42" s="137" t="str">
        <f t="shared" ca="1" si="4"/>
        <v>Em dia</v>
      </c>
    </row>
    <row r="43" spans="1:16" s="67" customFormat="1" ht="45">
      <c r="A43" s="134" t="str">
        <f>CAC!A52</f>
        <v>SESEG-NUASG4</v>
      </c>
      <c r="B43" s="78" t="str">
        <f>CAC!C52</f>
        <v>0002345-91.2023.4.01.8010</v>
      </c>
      <c r="C43" s="135" t="str">
        <f>CAC!B52</f>
        <v>Contratação de Empresas para fornecimento de água mineral e copos descartáveis para esta Seção Judiciária do Pará, durante o exercício de 2023.</v>
      </c>
      <c r="D43" s="136">
        <f t="shared" ca="1" si="0"/>
        <v>17</v>
      </c>
      <c r="E43" s="137">
        <f>CAC!W52</f>
        <v>45154</v>
      </c>
      <c r="F43" s="137">
        <f>CAC!X52</f>
        <v>45179</v>
      </c>
      <c r="G43" s="138" t="str">
        <f>CAC!AB52</f>
        <v>---</v>
      </c>
      <c r="H43" s="137">
        <f>CAC!AC52</f>
        <v>45274</v>
      </c>
      <c r="I43" s="139"/>
      <c r="J43" s="139"/>
      <c r="K43" s="139"/>
      <c r="L43" s="139"/>
      <c r="M43" s="99" t="str">
        <f t="shared" ca="1" si="1"/>
        <v>Pendência</v>
      </c>
      <c r="N43" s="99" t="str">
        <f t="shared" ca="1" si="2"/>
        <v>Pendência</v>
      </c>
      <c r="O43" s="99" t="str">
        <f t="shared" ca="1" si="3"/>
        <v>N/A</v>
      </c>
      <c r="P43" s="137" t="str">
        <f t="shared" ca="1" si="4"/>
        <v>Em dia</v>
      </c>
    </row>
    <row r="44" spans="1:16" s="67" customFormat="1" ht="45">
      <c r="A44" s="134" t="str">
        <f>CAC!A53</f>
        <v>SESEG-NUASG5</v>
      </c>
      <c r="B44" s="78" t="str">
        <f>CAC!C53</f>
        <v>0002345-91.2023.4.01.8010</v>
      </c>
      <c r="C44" s="135" t="str">
        <f>CAC!B53</f>
        <v>Contratação de Empresas para fornecimento de água mineral e copos descartáveis para esta Seção Judiciária do Pará, durante o exercício de 2023.</v>
      </c>
      <c r="D44" s="136">
        <f t="shared" ca="1" si="0"/>
        <v>17</v>
      </c>
      <c r="E44" s="137">
        <f>CAC!W53</f>
        <v>45154</v>
      </c>
      <c r="F44" s="137">
        <f>CAC!X53</f>
        <v>45179</v>
      </c>
      <c r="G44" s="138" t="str">
        <f>CAC!AB53</f>
        <v>---</v>
      </c>
      <c r="H44" s="137">
        <f>CAC!AC53</f>
        <v>45274</v>
      </c>
      <c r="I44" s="139"/>
      <c r="J44" s="139"/>
      <c r="K44" s="139"/>
      <c r="L44" s="139"/>
      <c r="M44" s="99" t="str">
        <f t="shared" ca="1" si="1"/>
        <v>Pendência</v>
      </c>
      <c r="N44" s="99" t="str">
        <f t="shared" ca="1" si="2"/>
        <v>Pendência</v>
      </c>
      <c r="O44" s="99" t="str">
        <f t="shared" ca="1" si="3"/>
        <v>N/A</v>
      </c>
      <c r="P44" s="137" t="str">
        <f t="shared" ca="1" si="4"/>
        <v>Em dia</v>
      </c>
    </row>
    <row r="45" spans="1:16" s="67" customFormat="1" ht="45">
      <c r="A45" s="134" t="str">
        <f>CAC!A54</f>
        <v>SESEG-NUASG6</v>
      </c>
      <c r="B45" s="78" t="str">
        <f>CAC!C54</f>
        <v>0002345-91.2023.4.01.8010</v>
      </c>
      <c r="C45" s="135" t="str">
        <f>CAC!B54</f>
        <v>Contratação de Empresas para fornecimento de água mineral e copos descartáveis para esta Seção Judiciária do Pará, durante o exercício de 2023.</v>
      </c>
      <c r="D45" s="136">
        <f t="shared" ca="1" si="0"/>
        <v>17</v>
      </c>
      <c r="E45" s="137">
        <f>CAC!W54</f>
        <v>45154</v>
      </c>
      <c r="F45" s="137">
        <f>CAC!X54</f>
        <v>45179</v>
      </c>
      <c r="G45" s="138" t="str">
        <f>CAC!AB54</f>
        <v>---</v>
      </c>
      <c r="H45" s="137">
        <f>CAC!AC54</f>
        <v>45274</v>
      </c>
      <c r="I45" s="139"/>
      <c r="J45" s="139"/>
      <c r="K45" s="139"/>
      <c r="L45" s="139"/>
      <c r="M45" s="99" t="str">
        <f t="shared" ca="1" si="1"/>
        <v>Pendência</v>
      </c>
      <c r="N45" s="99" t="str">
        <f t="shared" ca="1" si="2"/>
        <v>Pendência</v>
      </c>
      <c r="O45" s="99" t="str">
        <f t="shared" ca="1" si="3"/>
        <v>N/A</v>
      </c>
      <c r="P45" s="137" t="str">
        <f t="shared" ca="1" si="4"/>
        <v>Em dia</v>
      </c>
    </row>
    <row r="46" spans="1:16" s="67" customFormat="1" ht="45">
      <c r="A46" s="134" t="str">
        <f>CAC!A55</f>
        <v>SESEG-NUASG7</v>
      </c>
      <c r="B46" s="78" t="str">
        <f>CAC!C55</f>
        <v>0002345-91.2023.4.01.8010</v>
      </c>
      <c r="C46" s="135" t="str">
        <f>CAC!B55</f>
        <v>Contratação de Empresas para fornecimento de água mineral e copos descartáveis para esta Seção Judiciária do Pará, durante o exercício de 2023.</v>
      </c>
      <c r="D46" s="136">
        <f t="shared" ca="1" si="0"/>
        <v>17</v>
      </c>
      <c r="E46" s="137">
        <f>CAC!W55</f>
        <v>45186</v>
      </c>
      <c r="F46" s="137">
        <f>CAC!X55</f>
        <v>45211</v>
      </c>
      <c r="G46" s="138" t="str">
        <f>CAC!AB55</f>
        <v>---</v>
      </c>
      <c r="H46" s="137">
        <f>CAC!AC55</f>
        <v>45274</v>
      </c>
      <c r="I46" s="139"/>
      <c r="J46" s="139"/>
      <c r="K46" s="139"/>
      <c r="L46" s="139"/>
      <c r="M46" s="99" t="str">
        <f t="shared" ca="1" si="1"/>
        <v>Pendência</v>
      </c>
      <c r="N46" s="99" t="str">
        <f t="shared" ca="1" si="2"/>
        <v>Pendência</v>
      </c>
      <c r="O46" s="99" t="str">
        <f t="shared" ca="1" si="3"/>
        <v>N/A</v>
      </c>
      <c r="P46" s="137" t="str">
        <f t="shared" ca="1" si="4"/>
        <v>Em dia</v>
      </c>
    </row>
    <row r="47" spans="1:16" s="67" customFormat="1" ht="33.75">
      <c r="A47" s="134" t="str">
        <f>CAC!A56</f>
        <v>SESEG-NUASG8</v>
      </c>
      <c r="B47" s="78" t="str">
        <f>CAC!C56</f>
        <v>0002345-91.2023.4.01.8010</v>
      </c>
      <c r="C47" s="135" t="str">
        <f>CAC!B56</f>
        <v>Abastecimento de água encanada - Prédio Sede, Casa Rosada e Arquivo Judicial.</v>
      </c>
      <c r="D47" s="136">
        <f t="shared" ca="1" si="0"/>
        <v>17</v>
      </c>
      <c r="E47" s="137">
        <f>CAC!W56</f>
        <v>45205</v>
      </c>
      <c r="F47" s="137">
        <f>CAC!X56</f>
        <v>45230</v>
      </c>
      <c r="G47" s="138" t="str">
        <f>CAC!AB56</f>
        <v>---</v>
      </c>
      <c r="H47" s="137">
        <f>CAC!AC56</f>
        <v>45274</v>
      </c>
      <c r="I47" s="139"/>
      <c r="J47" s="139"/>
      <c r="K47" s="139"/>
      <c r="L47" s="139"/>
      <c r="M47" s="99" t="str">
        <f t="shared" ca="1" si="1"/>
        <v>Pendência</v>
      </c>
      <c r="N47" s="99" t="str">
        <f t="shared" ca="1" si="2"/>
        <v>Pendência</v>
      </c>
      <c r="O47" s="99" t="str">
        <f t="shared" ca="1" si="3"/>
        <v>N/A</v>
      </c>
      <c r="P47" s="137" t="str">
        <f t="shared" ca="1" si="4"/>
        <v>Em dia</v>
      </c>
    </row>
    <row r="48" spans="1:16" s="67" customFormat="1" ht="33.75">
      <c r="A48" s="134" t="str">
        <f>CAC!A57</f>
        <v>SESEG-NUASG9</v>
      </c>
      <c r="B48" s="78" t="str">
        <f>CAC!C57</f>
        <v>0002345-91.2023.4.01.8010</v>
      </c>
      <c r="C48" s="135" t="str">
        <f>CAC!B57</f>
        <v>Fornecimento de energia elétrica para a Sede da Seção Judiciária. (processo 0005336-50.2017.4.01.8010)</v>
      </c>
      <c r="D48" s="136">
        <f t="shared" ca="1" si="0"/>
        <v>17</v>
      </c>
      <c r="E48" s="137">
        <f>CAC!W57</f>
        <v>45203</v>
      </c>
      <c r="F48" s="137">
        <f>CAC!X57</f>
        <v>45228</v>
      </c>
      <c r="G48" s="138" t="str">
        <f>CAC!AB57</f>
        <v>---</v>
      </c>
      <c r="H48" s="137">
        <f>CAC!AC57</f>
        <v>45274</v>
      </c>
      <c r="I48" s="139"/>
      <c r="J48" s="139"/>
      <c r="K48" s="139"/>
      <c r="L48" s="139"/>
      <c r="M48" s="99" t="str">
        <f t="shared" ca="1" si="1"/>
        <v>Pendência</v>
      </c>
      <c r="N48" s="99" t="str">
        <f t="shared" ca="1" si="2"/>
        <v>Pendência</v>
      </c>
      <c r="O48" s="99" t="str">
        <f t="shared" ca="1" si="3"/>
        <v>N/A</v>
      </c>
      <c r="P48" s="137" t="str">
        <f t="shared" ca="1" si="4"/>
        <v>Em dia</v>
      </c>
    </row>
    <row r="49" spans="1:16" s="67" customFormat="1" ht="45">
      <c r="A49" s="134" t="str">
        <f>CAC!A58</f>
        <v>SESEG-NUASG10</v>
      </c>
      <c r="B49" s="78" t="str">
        <f>CAC!C58</f>
        <v>0002345-91.2023.4.01.8010</v>
      </c>
      <c r="C49" s="135" t="str">
        <f>CAC!B58</f>
        <v>Prestação de serviços de lavanderia para a Sede da Justiça Federal de 1º Grau – Seção Judiciária do Pará. (processo 0007941-90.2022.4.01.8010)</v>
      </c>
      <c r="D49" s="136">
        <f t="shared" ca="1" si="0"/>
        <v>17</v>
      </c>
      <c r="E49" s="138">
        <f>CAC!W58</f>
        <v>45154</v>
      </c>
      <c r="F49" s="138">
        <f>CAC!X58</f>
        <v>45179</v>
      </c>
      <c r="G49" s="137" t="str">
        <f>CAC!AB58</f>
        <v>---</v>
      </c>
      <c r="H49" s="137">
        <f>CAC!AC58</f>
        <v>45274</v>
      </c>
      <c r="I49" s="139"/>
      <c r="J49" s="139"/>
      <c r="K49" s="139"/>
      <c r="L49" s="139"/>
      <c r="M49" s="99" t="str">
        <f t="shared" ca="1" si="1"/>
        <v>Pendência</v>
      </c>
      <c r="N49" s="99" t="str">
        <f t="shared" ca="1" si="2"/>
        <v>Pendência</v>
      </c>
      <c r="O49" s="99" t="str">
        <f t="shared" ca="1" si="3"/>
        <v>N/A</v>
      </c>
      <c r="P49" s="137" t="str">
        <f t="shared" ca="1" si="4"/>
        <v>Em dia</v>
      </c>
    </row>
    <row r="50" spans="1:16" s="67" customFormat="1" ht="101.25">
      <c r="A50" s="134" t="str">
        <f>CAC!A59</f>
        <v>SESEG-NUASG11</v>
      </c>
      <c r="B50" s="78" t="str">
        <f>CAC!C59</f>
        <v>0002345-91.2023.4.01.8010</v>
      </c>
      <c r="C50" s="135" t="str">
        <f>CAC!B59</f>
        <v>Aquisição de materiais complementares para a execução de serviços de manutenções predial diversas, incluindo alvenaria, hidráulica, elétrica, pintura, impermeabilização nos prédios da Seção Judiciária do Pará instalados na capital, Belém/PA, exceto materiais para a manutenção de sistemas de refrigeração e incêndio.</v>
      </c>
      <c r="D50" s="136">
        <f t="shared" ca="1" si="0"/>
        <v>290</v>
      </c>
      <c r="E50" s="138">
        <f>CAC!W59</f>
        <v>45427</v>
      </c>
      <c r="F50" s="138">
        <f>CAC!X59</f>
        <v>45452</v>
      </c>
      <c r="G50" s="137" t="str">
        <f>CAC!AB59</f>
        <v>---</v>
      </c>
      <c r="H50" s="137">
        <f>CAC!AC59</f>
        <v>45547</v>
      </c>
      <c r="I50" s="139"/>
      <c r="J50" s="139"/>
      <c r="K50" s="139"/>
      <c r="L50" s="139"/>
      <c r="M50" s="99" t="str">
        <f t="shared" ca="1" si="1"/>
        <v>Em dia</v>
      </c>
      <c r="N50" s="99" t="str">
        <f t="shared" ca="1" si="2"/>
        <v>Em dia</v>
      </c>
      <c r="O50" s="99" t="str">
        <f t="shared" ca="1" si="3"/>
        <v>N/A</v>
      </c>
      <c r="P50" s="137" t="str">
        <f t="shared" ca="1" si="4"/>
        <v>Em dia</v>
      </c>
    </row>
    <row r="51" spans="1:16" s="67" customFormat="1" ht="56.25">
      <c r="A51" s="134" t="str">
        <f>CAC!A60</f>
        <v>SESEG-NUASG12</v>
      </c>
      <c r="B51" s="78" t="str">
        <f>CAC!C60</f>
        <v>0002345-91.2023.4.01.8010</v>
      </c>
      <c r="C51" s="135" t="str">
        <f>CAC!B60</f>
        <v>Aquisição de materiais complementares para a execução de serviços de manutenções dos equipamentos de refrigeração do tipo split e vrf instalados na Sede da Seção Judiciária.</v>
      </c>
      <c r="D51" s="136">
        <f t="shared" ca="1" si="0"/>
        <v>290</v>
      </c>
      <c r="E51" s="138">
        <f>CAC!W60</f>
        <v>45427</v>
      </c>
      <c r="F51" s="138">
        <f>CAC!X60</f>
        <v>45452</v>
      </c>
      <c r="G51" s="137" t="str">
        <f>CAC!AB60</f>
        <v>---</v>
      </c>
      <c r="H51" s="137">
        <f>CAC!AC60</f>
        <v>45547</v>
      </c>
      <c r="I51" s="139"/>
      <c r="J51" s="139"/>
      <c r="K51" s="139"/>
      <c r="L51" s="139"/>
      <c r="M51" s="99" t="str">
        <f t="shared" ca="1" si="1"/>
        <v>Em dia</v>
      </c>
      <c r="N51" s="99" t="str">
        <f t="shared" ca="1" si="2"/>
        <v>Em dia</v>
      </c>
      <c r="O51" s="99" t="str">
        <f t="shared" ca="1" si="3"/>
        <v>N/A</v>
      </c>
      <c r="P51" s="137" t="str">
        <f t="shared" ca="1" si="4"/>
        <v>Em dia</v>
      </c>
    </row>
    <row r="52" spans="1:16" s="67" customFormat="1" ht="101.25">
      <c r="A52" s="134" t="str">
        <f>CAC!A61</f>
        <v>SESEG-NUASG13</v>
      </c>
      <c r="B52" s="78" t="str">
        <f>CAC!C61</f>
        <v>0002345-91.2023.4.01.8010</v>
      </c>
      <c r="C52" s="135" t="str">
        <f>CAC!B61</f>
        <v>Prorrogação do contrato nº 21/2019 (8557679) - prestação de serviços de Apoio Administrativo (Encarregado Geral, Auxiliar de Escritório, Recepcionista, Almoxarife, Assistente de Almoxarife, Copeiro e Ascensorista), conforme Anexo A do Edital de licitação Pregão nº 10/2019, na sede da Seção Judiciária do Pará e nas demais Subseções Judiciárias.</v>
      </c>
      <c r="D52" s="136">
        <f t="shared" ca="1" si="0"/>
        <v>17</v>
      </c>
      <c r="E52" s="137" t="str">
        <f>CAC!W61</f>
        <v>---</v>
      </c>
      <c r="F52" s="137" t="str">
        <f>CAC!X61</f>
        <v>---</v>
      </c>
      <c r="G52" s="138">
        <f>CAC!AB61</f>
        <v>45214</v>
      </c>
      <c r="H52" s="137">
        <f>CAC!AC61</f>
        <v>45274</v>
      </c>
      <c r="I52" s="139"/>
      <c r="J52" s="139"/>
      <c r="K52" s="139"/>
      <c r="L52" s="139"/>
      <c r="M52" s="99" t="str">
        <f t="shared" ca="1" si="1"/>
        <v>N/A</v>
      </c>
      <c r="N52" s="99" t="str">
        <f t="shared" ca="1" si="2"/>
        <v>N/A</v>
      </c>
      <c r="O52" s="99" t="str">
        <f t="shared" ca="1" si="3"/>
        <v>Pendência</v>
      </c>
      <c r="P52" s="137" t="str">
        <f t="shared" ca="1" si="4"/>
        <v>Em dia</v>
      </c>
    </row>
    <row r="53" spans="1:16" s="67" customFormat="1" ht="202.5">
      <c r="A53" s="134" t="str">
        <f>CAC!A62</f>
        <v>SESEG-NUASG14</v>
      </c>
      <c r="B53" s="78" t="str">
        <f>CAC!C62</f>
        <v>0002345-91.2023.4.01.8010</v>
      </c>
      <c r="C53" s="135" t="str">
        <f>CAC!B62</f>
        <v>Contratação de empresa para a prestação de serviços de OUTSOURCING DE IMPRESSÃO - LOCAÇÃO DE EQUIPAMENTOS MULTIFUNCIONAIS a fim de suprir as necessidades desta Seção Judiciária do Pará. O serviço inclui o fornecimento de máquinas multifuncionais para execução de: impressão, cópias, digitalização, bem como, acessórios, suprimentos, insumos/consumíveis (toner, cilindro) e assistência técnica no município atendido e serviços correlatos, inclusive fornecimento de peças, componentes (toner, cilindro, revelador etc.), e quaisquer outros elementos necessários à prestação dos serviços ora pretendido, exceto papel.</v>
      </c>
      <c r="D53" s="136">
        <f t="shared" ca="1" si="0"/>
        <v>318</v>
      </c>
      <c r="E53" s="137">
        <f>CAC!W62</f>
        <v>45472</v>
      </c>
      <c r="F53" s="137">
        <f>CAC!X62</f>
        <v>45497</v>
      </c>
      <c r="G53" s="138" t="str">
        <f>CAC!AB62</f>
        <v>---</v>
      </c>
      <c r="H53" s="137">
        <f>CAC!AC62</f>
        <v>45575</v>
      </c>
      <c r="I53" s="139"/>
      <c r="J53" s="139"/>
      <c r="K53" s="139"/>
      <c r="L53" s="139"/>
      <c r="M53" s="99" t="str">
        <f t="shared" ca="1" si="1"/>
        <v>Em dia</v>
      </c>
      <c r="N53" s="99" t="str">
        <f t="shared" ca="1" si="2"/>
        <v>Em dia</v>
      </c>
      <c r="O53" s="99" t="str">
        <f t="shared" ca="1" si="3"/>
        <v>N/A</v>
      </c>
      <c r="P53" s="137" t="str">
        <f t="shared" ca="1" si="4"/>
        <v>Em dia</v>
      </c>
    </row>
    <row r="54" spans="1:16" s="67" customFormat="1" ht="101.25">
      <c r="A54" s="134" t="str">
        <f>CAC!A63</f>
        <v>SESEG-NUASG15</v>
      </c>
      <c r="B54" s="78" t="str">
        <f>CAC!C63</f>
        <v>0002345-91.2023.4.01.8010</v>
      </c>
      <c r="C54" s="135" t="str">
        <f>CAC!B63</f>
        <v>Contratação de empresa para o abastecimento mensal do sistema de bombeamento Cloro Residual Livre (CRL) na rede de distribuição de água, em atendimento a Portaria de Consolidação n° 5, MS, haja vista que os relatórios de análise de qualidade da água utilizada neste Prédio Sede apontam para essa necessidade.</v>
      </c>
      <c r="D54" s="136">
        <f t="shared" ca="1" si="0"/>
        <v>17</v>
      </c>
      <c r="E54" s="137">
        <f>CAC!W63</f>
        <v>45154</v>
      </c>
      <c r="F54" s="137">
        <f>CAC!X63</f>
        <v>45179</v>
      </c>
      <c r="G54" s="138" t="str">
        <f>CAC!AB63</f>
        <v>---</v>
      </c>
      <c r="H54" s="137">
        <f>CAC!AC63</f>
        <v>45274</v>
      </c>
      <c r="I54" s="139"/>
      <c r="J54" s="139"/>
      <c r="K54" s="139"/>
      <c r="L54" s="139"/>
      <c r="M54" s="99" t="str">
        <f t="shared" ca="1" si="1"/>
        <v>Pendência</v>
      </c>
      <c r="N54" s="99" t="str">
        <f t="shared" ca="1" si="2"/>
        <v>Pendência</v>
      </c>
      <c r="O54" s="99" t="str">
        <f t="shared" ca="1" si="3"/>
        <v>N/A</v>
      </c>
      <c r="P54" s="137" t="str">
        <f t="shared" ca="1" si="4"/>
        <v>Em dia</v>
      </c>
    </row>
    <row r="55" spans="1:16" s="67" customFormat="1" ht="33.75">
      <c r="A55" s="134" t="str">
        <f>CAC!A64</f>
        <v>SESEG-NUASG16</v>
      </c>
      <c r="B55" s="78" t="str">
        <f>CAC!C64</f>
        <v>0002345-91.2023.4.01.8010</v>
      </c>
      <c r="C55" s="135" t="str">
        <f>CAC!B64</f>
        <v>Contratação de empresa especializada na instalação, manutenção de placas de identificação.</v>
      </c>
      <c r="D55" s="136">
        <f t="shared" ca="1" si="0"/>
        <v>169</v>
      </c>
      <c r="E55" s="137">
        <f>CAC!W64</f>
        <v>45355</v>
      </c>
      <c r="F55" s="137">
        <f>CAC!X64</f>
        <v>45380</v>
      </c>
      <c r="G55" s="138" t="str">
        <f>CAC!AB64</f>
        <v>---</v>
      </c>
      <c r="H55" s="137">
        <f>CAC!AC64</f>
        <v>45426</v>
      </c>
      <c r="I55" s="139"/>
      <c r="J55" s="139"/>
      <c r="K55" s="139"/>
      <c r="L55" s="139"/>
      <c r="M55" s="99" t="str">
        <f t="shared" ca="1" si="1"/>
        <v>Em dia</v>
      </c>
      <c r="N55" s="99" t="str">
        <f t="shared" ca="1" si="2"/>
        <v>Em dia</v>
      </c>
      <c r="O55" s="99" t="str">
        <f t="shared" ca="1" si="3"/>
        <v>N/A</v>
      </c>
      <c r="P55" s="137" t="str">
        <f t="shared" ca="1" si="4"/>
        <v>Em dia</v>
      </c>
    </row>
    <row r="56" spans="1:16" s="67" customFormat="1" ht="56.25">
      <c r="A56" s="134" t="str">
        <f>CAC!A65</f>
        <v>SESEG-NUASG17</v>
      </c>
      <c r="B56" s="78" t="str">
        <f>CAC!C65</f>
        <v>0002345-91.2023.4.01.8010</v>
      </c>
      <c r="C56" s="135" t="str">
        <f>CAC!B65</f>
        <v>Aquisição de equipamentos de refrigeração de diversas potências para substituir equipamentos localizados em locais criticos, como CPD, Sala do No Break e Subestação elétrica.</v>
      </c>
      <c r="D56" s="136">
        <f t="shared" ca="1" si="0"/>
        <v>205</v>
      </c>
      <c r="E56" s="137">
        <f>CAC!W65</f>
        <v>45374</v>
      </c>
      <c r="F56" s="137">
        <f>CAC!X65</f>
        <v>45399</v>
      </c>
      <c r="G56" s="138" t="str">
        <f>CAC!AB65</f>
        <v>---</v>
      </c>
      <c r="H56" s="137">
        <f>CAC!AC65</f>
        <v>45462</v>
      </c>
      <c r="I56" s="139"/>
      <c r="J56" s="139"/>
      <c r="K56" s="139"/>
      <c r="L56" s="139"/>
      <c r="M56" s="99" t="str">
        <f t="shared" ca="1" si="1"/>
        <v>Em dia</v>
      </c>
      <c r="N56" s="99" t="str">
        <f t="shared" ca="1" si="2"/>
        <v>Em dia</v>
      </c>
      <c r="O56" s="99" t="str">
        <f t="shared" ca="1" si="3"/>
        <v>N/A</v>
      </c>
      <c r="P56" s="137" t="str">
        <f t="shared" ca="1" si="4"/>
        <v>Em dia</v>
      </c>
    </row>
    <row r="57" spans="1:16" s="67" customFormat="1" ht="112.5">
      <c r="A57" s="134" t="str">
        <f>CAC!A66</f>
        <v>SESEG-NUASG18</v>
      </c>
      <c r="B57" s="78" t="str">
        <f>CAC!C66</f>
        <v>0002345-91.2023.4.01.8010</v>
      </c>
      <c r="C57" s="135" t="str">
        <f>CAC!B66</f>
        <v>Contratação de de empresa especializada no serviço de descontaminação e descarte de lâmpadas, que contêm mercúrio metálico, dos tipos fluorescentes (de qualquer tamanho e forma, inclusive as compactas), de vapor de mercúrio, de vapor de sódio, de vapor metálico, lâmpadas mista, halógenas e outros tipos de uso técnico especializado.</v>
      </c>
      <c r="D57" s="136">
        <f t="shared" ca="1" si="0"/>
        <v>171</v>
      </c>
      <c r="E57" s="137">
        <f>CAC!W66</f>
        <v>45340</v>
      </c>
      <c r="F57" s="137">
        <f>CAC!X66</f>
        <v>45365</v>
      </c>
      <c r="G57" s="138" t="str">
        <f>CAC!AB66</f>
        <v>---</v>
      </c>
      <c r="H57" s="137">
        <f>CAC!AC66</f>
        <v>45428</v>
      </c>
      <c r="I57" s="139"/>
      <c r="J57" s="139"/>
      <c r="K57" s="139"/>
      <c r="L57" s="139"/>
      <c r="M57" s="99" t="str">
        <f t="shared" ca="1" si="1"/>
        <v>Em dia</v>
      </c>
      <c r="N57" s="99" t="str">
        <f t="shared" ca="1" si="2"/>
        <v>Em dia</v>
      </c>
      <c r="O57" s="99" t="str">
        <f t="shared" ca="1" si="3"/>
        <v>N/A</v>
      </c>
      <c r="P57" s="137" t="str">
        <f t="shared" ca="1" si="4"/>
        <v>Em dia</v>
      </c>
    </row>
    <row r="58" spans="1:16" s="67" customFormat="1" ht="90">
      <c r="A58" s="134" t="str">
        <f>CAC!A67</f>
        <v>SESEG-NUASG19</v>
      </c>
      <c r="B58" s="78" t="str">
        <f>CAC!C67</f>
        <v>0002345-91.2023.4.01.8010</v>
      </c>
      <c r="C58" s="135" t="str">
        <f>CAC!B67</f>
        <v>Contratação de de empresa empresa especializada, através do Sistema de Registro de Preços, para fornecimento e instalação de divisórias, paredes de gesso acartonado, forro mineral estruturado e outros materiais conexos  para adaptação de espaços na Sede da Seção Judiciária do Pará.</v>
      </c>
      <c r="D58" s="136">
        <f t="shared" ca="1" si="0"/>
        <v>138</v>
      </c>
      <c r="E58" s="137">
        <f>CAC!W67</f>
        <v>45307</v>
      </c>
      <c r="F58" s="137">
        <f>CAC!X67</f>
        <v>45332</v>
      </c>
      <c r="G58" s="138" t="str">
        <f>CAC!AB67</f>
        <v>---</v>
      </c>
      <c r="H58" s="137">
        <f>CAC!AC67</f>
        <v>45395</v>
      </c>
      <c r="I58" s="139"/>
      <c r="J58" s="139"/>
      <c r="K58" s="139"/>
      <c r="L58" s="139"/>
      <c r="M58" s="99" t="str">
        <f t="shared" ca="1" si="1"/>
        <v>Em dia</v>
      </c>
      <c r="N58" s="99" t="str">
        <f t="shared" ca="1" si="2"/>
        <v>Em dia</v>
      </c>
      <c r="O58" s="99" t="str">
        <f t="shared" ca="1" si="3"/>
        <v>N/A</v>
      </c>
      <c r="P58" s="137" t="str">
        <f t="shared" ca="1" si="4"/>
        <v>Em dia</v>
      </c>
    </row>
    <row r="59" spans="1:16" s="67" customFormat="1" ht="90">
      <c r="A59" s="134" t="str">
        <f>CAC!A68</f>
        <v>SESEG-NUASG20</v>
      </c>
      <c r="B59" s="78" t="str">
        <f>CAC!C68</f>
        <v>0002345-91.2023.4.01.8010</v>
      </c>
      <c r="C59" s="135" t="str">
        <f>CAC!B68</f>
        <v>Contratação de de empresa empresa especializada no fornecimento de equipamentos e prestação de serviços com a finalidade de dar continuidade a modernização dos sistemas de áudio e vídeo do Auditório e da sala de treinamento da Sede da Seção Judiciária do Pará.</v>
      </c>
      <c r="D59" s="136">
        <f t="shared" ca="1" si="0"/>
        <v>230</v>
      </c>
      <c r="E59" s="137">
        <f>CAC!W68</f>
        <v>45399</v>
      </c>
      <c r="F59" s="137">
        <f>CAC!X68</f>
        <v>45424</v>
      </c>
      <c r="G59" s="138" t="str">
        <f>CAC!AB68</f>
        <v>---</v>
      </c>
      <c r="H59" s="137">
        <f>CAC!AC68</f>
        <v>45487</v>
      </c>
      <c r="I59" s="139"/>
      <c r="J59" s="139"/>
      <c r="K59" s="139"/>
      <c r="L59" s="139"/>
      <c r="M59" s="99" t="str">
        <f t="shared" ca="1" si="1"/>
        <v>Em dia</v>
      </c>
      <c r="N59" s="99" t="str">
        <f t="shared" ca="1" si="2"/>
        <v>Em dia</v>
      </c>
      <c r="O59" s="99" t="str">
        <f t="shared" ca="1" si="3"/>
        <v>N/A</v>
      </c>
      <c r="P59" s="137" t="str">
        <f t="shared" ca="1" si="4"/>
        <v>Em dia</v>
      </c>
    </row>
    <row r="60" spans="1:16" s="67" customFormat="1" ht="90">
      <c r="A60" s="134" t="str">
        <f>CAC!A69</f>
        <v>SESEG-NUASG21</v>
      </c>
      <c r="B60" s="78" t="str">
        <f>CAC!C69</f>
        <v>0002345-91.2023.4.01.8010</v>
      </c>
      <c r="C60" s="135" t="str">
        <f>CAC!B69</f>
        <v>Contratação de de empresa empresa especializada no fornecimento de equipamentos e prestação de serviços com a finalidade de dar continuidade a modernização dos sistemas de áudio e vídeo do Auditório e da sala de treinamento da Sede da Seção Judiciária do Pará.</v>
      </c>
      <c r="D60" s="136">
        <f t="shared" ca="1" si="0"/>
        <v>230</v>
      </c>
      <c r="E60" s="137">
        <f>CAC!W69</f>
        <v>45399</v>
      </c>
      <c r="F60" s="137">
        <f>CAC!X69</f>
        <v>45424</v>
      </c>
      <c r="G60" s="138" t="str">
        <f>CAC!AB69</f>
        <v>---</v>
      </c>
      <c r="H60" s="137">
        <f>CAC!AC69</f>
        <v>45487</v>
      </c>
      <c r="I60" s="139"/>
      <c r="J60" s="139"/>
      <c r="K60" s="139"/>
      <c r="L60" s="139"/>
      <c r="M60" s="99" t="str">
        <f t="shared" ca="1" si="1"/>
        <v>Em dia</v>
      </c>
      <c r="N60" s="99" t="str">
        <f t="shared" ca="1" si="2"/>
        <v>Em dia</v>
      </c>
      <c r="O60" s="99" t="str">
        <f t="shared" ca="1" si="3"/>
        <v>N/A</v>
      </c>
      <c r="P60" s="137" t="str">
        <f t="shared" ca="1" si="4"/>
        <v>Em dia</v>
      </c>
    </row>
    <row r="61" spans="1:16" s="67" customFormat="1" ht="45">
      <c r="A61" s="134" t="str">
        <f>CAC!A70</f>
        <v>SESEG-NUASG22</v>
      </c>
      <c r="B61" s="78" t="str">
        <f>CAC!C70</f>
        <v>0002345-91.2023.4.01.8010</v>
      </c>
      <c r="C61" s="135" t="str">
        <f>CAC!B70</f>
        <v>Contratação de serviços  especializado de jardinagem e paisagismo para o Edifício-Sede desta Seção Judiciária do Pará e prédios anexos.</v>
      </c>
      <c r="D61" s="136">
        <f t="shared" ca="1" si="0"/>
        <v>108</v>
      </c>
      <c r="E61" s="137">
        <f>CAC!W70</f>
        <v>45294</v>
      </c>
      <c r="F61" s="137">
        <f>CAC!X70</f>
        <v>45319</v>
      </c>
      <c r="G61" s="138" t="str">
        <f>CAC!AB70</f>
        <v>---</v>
      </c>
      <c r="H61" s="137">
        <f>CAC!AC70</f>
        <v>45365</v>
      </c>
      <c r="I61" s="139"/>
      <c r="J61" s="139"/>
      <c r="K61" s="139"/>
      <c r="L61" s="139"/>
      <c r="M61" s="99" t="str">
        <f t="shared" ca="1" si="1"/>
        <v>Em dia</v>
      </c>
      <c r="N61" s="99" t="str">
        <f t="shared" ca="1" si="2"/>
        <v>Em dia</v>
      </c>
      <c r="O61" s="99" t="str">
        <f t="shared" ca="1" si="3"/>
        <v>N/A</v>
      </c>
      <c r="P61" s="137" t="str">
        <f t="shared" ca="1" si="4"/>
        <v>Em dia</v>
      </c>
    </row>
    <row r="62" spans="1:16" s="67" customFormat="1" ht="45">
      <c r="A62" s="134" t="str">
        <f>CAC!A71</f>
        <v>SESEG-NUASG23</v>
      </c>
      <c r="B62" s="78" t="str">
        <f>CAC!C71</f>
        <v>0002345-91.2023.4.01.8010</v>
      </c>
      <c r="C62" s="135" t="str">
        <f>CAC!B71</f>
        <v>SERVIÇO DE POSTAGEM DE CORREPONDÊNCIAS, COLETA, TRANSPORTE E ENTREGA DE CORRESPONDENCIA AGRUPADA NACIONAL .</v>
      </c>
      <c r="D62" s="136">
        <f t="shared" ca="1" si="0"/>
        <v>17</v>
      </c>
      <c r="E62" s="137" t="str">
        <f>CAC!W71</f>
        <v>---</v>
      </c>
      <c r="F62" s="137" t="str">
        <f>CAC!X71</f>
        <v>---</v>
      </c>
      <c r="G62" s="138">
        <f>CAC!AB71</f>
        <v>45214</v>
      </c>
      <c r="H62" s="137">
        <f>CAC!AC71</f>
        <v>45274</v>
      </c>
      <c r="I62" s="139"/>
      <c r="J62" s="139"/>
      <c r="K62" s="139"/>
      <c r="L62" s="139"/>
      <c r="M62" s="99" t="str">
        <f t="shared" ca="1" si="1"/>
        <v>N/A</v>
      </c>
      <c r="N62" s="99" t="str">
        <f t="shared" ca="1" si="2"/>
        <v>N/A</v>
      </c>
      <c r="O62" s="99" t="str">
        <f t="shared" ca="1" si="3"/>
        <v>Pendência</v>
      </c>
      <c r="P62" s="137" t="str">
        <f t="shared" ca="1" si="4"/>
        <v>Em dia</v>
      </c>
    </row>
    <row r="63" spans="1:16" s="67" customFormat="1" ht="67.5">
      <c r="A63" s="134" t="str">
        <f>CAC!A72</f>
        <v>SESEG-NUASG24</v>
      </c>
      <c r="B63" s="78" t="str">
        <f>CAC!C72</f>
        <v>0002345-91.2023.4.01.8010</v>
      </c>
      <c r="C63" s="135" t="str">
        <f>CAC!B72</f>
        <v>PRORROGAÇÃO DO CONTRATO Nº 12/2022 - PRESTAÇÃO DE SERVIÇO MÓVEL PESSOAL–SMP-VISANDO ATENDER AS NECESSIDADES DA SEÇÃO JUDICIÁRIA DO PARÁ - SEDE EM BELÉM  E DEMAIS SUBSEÇÕES JUDICIÁRIAS.</v>
      </c>
      <c r="D63" s="136">
        <f t="shared" ca="1" si="0"/>
        <v>204</v>
      </c>
      <c r="E63" s="137" t="str">
        <f>CAC!W72</f>
        <v>---</v>
      </c>
      <c r="F63" s="137" t="str">
        <f>CAC!X72</f>
        <v>---</v>
      </c>
      <c r="G63" s="138">
        <f>CAC!AB72</f>
        <v>45401</v>
      </c>
      <c r="H63" s="137">
        <f>CAC!AC72</f>
        <v>45461</v>
      </c>
      <c r="I63" s="139"/>
      <c r="J63" s="139"/>
      <c r="K63" s="139"/>
      <c r="L63" s="139"/>
      <c r="M63" s="99" t="str">
        <f t="shared" ca="1" si="1"/>
        <v>N/A</v>
      </c>
      <c r="N63" s="99" t="str">
        <f t="shared" ca="1" si="2"/>
        <v>N/A</v>
      </c>
      <c r="O63" s="99" t="str">
        <f t="shared" ca="1" si="3"/>
        <v>Em dia</v>
      </c>
      <c r="P63" s="137" t="str">
        <f t="shared" ca="1" si="4"/>
        <v>Em dia</v>
      </c>
    </row>
    <row r="64" spans="1:16" s="67" customFormat="1" ht="146.25">
      <c r="A64" s="134" t="str">
        <f>CAC!A73</f>
        <v>SESEG-NUASG25</v>
      </c>
      <c r="B64" s="78" t="str">
        <f>CAC!C73</f>
        <v>0002345-91.2023.4.01.8010</v>
      </c>
      <c r="C64" s="135" t="str">
        <f>CAC!B73</f>
        <v>PRORROGAÇÃO DO CONTRATO Nº 05/2021 (12401249) - PRESTAÇÃO DE SERVIÇO TELEFÔNICO FIXO COMUTADO - STFC (FIXO-FIXO E FIXO-MÓVEL LOCAL), POR MEIO DE ENTRONCAMENTO DIGITAL E1, COM DISPONIBILIZAÇÃO DE RAMAIS DDR, A SER EXECUTADO DE FORMA CONTÍNUA NA SEDE DA JUSTIÇA FEDERAL – SEÇÃO JUDICIÁRIA DO PARÁ EM BELÉM E NAS SUBSEÇÕES DE ALTAMIRA, REDENÇÃO E TUCURUÍ, INCLUÍNDO OS SERVIÇOS TELEFÔNICOS DE LONGA DISTÂNCIA NACIONAL (LDN) EM TODA A SEÇÃO JUDICIÁRIA DO PARÁ</v>
      </c>
      <c r="D64" s="136">
        <f t="shared" ca="1" si="0"/>
        <v>75</v>
      </c>
      <c r="E64" s="137" t="str">
        <f>CAC!W73</f>
        <v>---</v>
      </c>
      <c r="F64" s="137" t="str">
        <f>CAC!X73</f>
        <v>---</v>
      </c>
      <c r="G64" s="138">
        <f>CAC!AB73</f>
        <v>45272</v>
      </c>
      <c r="H64" s="137">
        <f>CAC!AC73</f>
        <v>45332</v>
      </c>
      <c r="I64" s="139"/>
      <c r="J64" s="139"/>
      <c r="K64" s="139"/>
      <c r="L64" s="139"/>
      <c r="M64" s="99" t="str">
        <f t="shared" ca="1" si="1"/>
        <v>N/A</v>
      </c>
      <c r="N64" s="99" t="str">
        <f t="shared" ca="1" si="2"/>
        <v>N/A</v>
      </c>
      <c r="O64" s="99" t="str">
        <f t="shared" ca="1" si="3"/>
        <v>Em dia</v>
      </c>
      <c r="P64" s="137" t="str">
        <f t="shared" ca="1" si="4"/>
        <v>Em dia</v>
      </c>
    </row>
    <row r="65" spans="1:16" s="67" customFormat="1" ht="22.5">
      <c r="A65" s="134" t="str">
        <f>CAC!A79</f>
        <v>SERAE-NUINF2</v>
      </c>
      <c r="B65" s="78" t="str">
        <f>CAC!C79</f>
        <v>0002344-09.2023.4.01.8010</v>
      </c>
      <c r="C65" s="135" t="str">
        <f>CAC!B79</f>
        <v>Manutenção predial preventiva e corretiva do edifício sede SJPA e anexos.</v>
      </c>
      <c r="D65" s="136">
        <f t="shared" ca="1" si="0"/>
        <v>17</v>
      </c>
      <c r="E65" s="137" t="str">
        <f>CAC!W79</f>
        <v>---</v>
      </c>
      <c r="F65" s="137" t="str">
        <f>CAC!X79</f>
        <v>---</v>
      </c>
      <c r="G65" s="138">
        <f>CAC!AB79</f>
        <v>45214</v>
      </c>
      <c r="H65" s="137">
        <f>CAC!AC79</f>
        <v>45274</v>
      </c>
      <c r="I65" s="139"/>
      <c r="J65" s="139"/>
      <c r="K65" s="139"/>
      <c r="L65" s="139"/>
      <c r="M65" s="99" t="str">
        <f t="shared" ca="1" si="1"/>
        <v>N/A</v>
      </c>
      <c r="N65" s="99" t="str">
        <f t="shared" ca="1" si="2"/>
        <v>N/A</v>
      </c>
      <c r="O65" s="99" t="str">
        <f t="shared" ca="1" si="3"/>
        <v>Pendência</v>
      </c>
      <c r="P65" s="137" t="str">
        <f t="shared" ca="1" si="4"/>
        <v>Em dia</v>
      </c>
    </row>
    <row r="66" spans="1:16" s="67" customFormat="1" ht="22.5">
      <c r="A66" s="134" t="str">
        <f>CAC!A80</f>
        <v>SERAE-NUINF3</v>
      </c>
      <c r="B66" s="78" t="str">
        <f>CAC!C80</f>
        <v>0002344-09.2023.4.01.8010</v>
      </c>
      <c r="C66" s="135" t="str">
        <f>CAC!B80</f>
        <v>Execução de pontos de rede lógica do edifício sede SJPA.</v>
      </c>
      <c r="D66" s="136">
        <f t="shared" ref="D66:D129" ca="1" si="5">H66-TODAY()</f>
        <v>165</v>
      </c>
      <c r="E66" s="137">
        <f>CAC!W80</f>
        <v>45302</v>
      </c>
      <c r="F66" s="137">
        <f>CAC!X80</f>
        <v>45327</v>
      </c>
      <c r="G66" s="138" t="str">
        <f>CAC!AB80</f>
        <v>---</v>
      </c>
      <c r="H66" s="137">
        <f>CAC!AC80</f>
        <v>45422</v>
      </c>
      <c r="I66" s="139"/>
      <c r="J66" s="139"/>
      <c r="K66" s="139"/>
      <c r="L66" s="139"/>
      <c r="M66" s="99" t="str">
        <f t="shared" ref="M66:M129" ca="1" si="6">IF(E66="---","N/A",IF(AND(I66="",NOW()-E66&lt;0),"Em dia",IF(AND(I66="",NOW()-E66&gt;0),"Pendência",IF(I66&gt;E66,"Entregue com atraso","Entregue"))))</f>
        <v>Em dia</v>
      </c>
      <c r="N66" s="99" t="str">
        <f t="shared" ref="N66:N129" ca="1" si="7">IF(F66="---","N/A",IF(AND(J66="",NOW()-F66&lt;0),"Em dia",IF(AND(J66="",NOW()-F66&gt;0),"Pendência",IF(J66&gt;F66,"Entregue com atraso","Entregue"))))</f>
        <v>Em dia</v>
      </c>
      <c r="O66" s="99" t="str">
        <f t="shared" ref="O66:O129" ca="1" si="8">IF(G66="---","N/A",IF(AND(K66="",NOW()-G66&lt;0),"Em dia",IF(AND(K66="",NOW()-G66&gt;0),"Pendência",IF(K66&gt;G66,"Contratado com atraso","Contratado"))))</f>
        <v>N/A</v>
      </c>
      <c r="P66" s="137" t="str">
        <f t="shared" ref="P66:P129" ca="1" si="9">IF(AND(L66="",NOW()-H66&lt;0),"Em dia",IF(AND(L66="",NOW()-H66&gt;0),"Pendência",IF(L66&gt;H66,"Contratado com atraso","Contratado")))</f>
        <v>Em dia</v>
      </c>
    </row>
    <row r="67" spans="1:16" s="67" customFormat="1" ht="22.5">
      <c r="A67" s="134" t="str">
        <f>CAC!A81</f>
        <v>SERAE-NUINF4</v>
      </c>
      <c r="B67" s="78" t="str">
        <f>CAC!C81</f>
        <v>0002344-09.2023.4.01.8010</v>
      </c>
      <c r="C67" s="135" t="str">
        <f>CAC!B81</f>
        <v>Aquisição de equipamentos para cabeamento estruturado</v>
      </c>
      <c r="D67" s="136">
        <f t="shared" ca="1" si="5"/>
        <v>382</v>
      </c>
      <c r="E67" s="137">
        <f>CAC!W81</f>
        <v>45519</v>
      </c>
      <c r="F67" s="137">
        <f>CAC!X81</f>
        <v>45544</v>
      </c>
      <c r="G67" s="138" t="str">
        <f>CAC!AB81</f>
        <v>---</v>
      </c>
      <c r="H67" s="137">
        <f>CAC!AC81</f>
        <v>45639</v>
      </c>
      <c r="I67" s="139"/>
      <c r="J67" s="139"/>
      <c r="K67" s="139"/>
      <c r="L67" s="139"/>
      <c r="M67" s="99" t="str">
        <f t="shared" ca="1" si="6"/>
        <v>Em dia</v>
      </c>
      <c r="N67" s="99" t="str">
        <f t="shared" ca="1" si="7"/>
        <v>Em dia</v>
      </c>
      <c r="O67" s="99" t="str">
        <f t="shared" ca="1" si="8"/>
        <v>N/A</v>
      </c>
      <c r="P67" s="137" t="str">
        <f t="shared" ca="1" si="9"/>
        <v>Em dia</v>
      </c>
    </row>
    <row r="68" spans="1:16" s="67" customFormat="1" ht="45">
      <c r="A68" s="134" t="str">
        <f>CAC!A82</f>
        <v>SERAE-NUINF5</v>
      </c>
      <c r="B68" s="78" t="str">
        <f>CAC!C82</f>
        <v>0002344-09.2023.4.01.8010</v>
      </c>
      <c r="C68" s="135" t="str">
        <f>CAC!B82</f>
        <v>Contratação de serviço para levantamento e compatibilização dos projetos completos em plataforma BIM da SJPA</v>
      </c>
      <c r="D68" s="136">
        <f t="shared" ca="1" si="5"/>
        <v>167</v>
      </c>
      <c r="E68" s="137">
        <f>CAC!W82</f>
        <v>45304</v>
      </c>
      <c r="F68" s="137">
        <f>CAC!X82</f>
        <v>45329</v>
      </c>
      <c r="G68" s="138" t="str">
        <f>CAC!AB82</f>
        <v>---</v>
      </c>
      <c r="H68" s="137">
        <f>CAC!AC82</f>
        <v>45424</v>
      </c>
      <c r="I68" s="139"/>
      <c r="J68" s="139"/>
      <c r="K68" s="139"/>
      <c r="L68" s="139"/>
      <c r="M68" s="99" t="str">
        <f t="shared" ca="1" si="6"/>
        <v>Em dia</v>
      </c>
      <c r="N68" s="99" t="str">
        <f t="shared" ca="1" si="7"/>
        <v>Em dia</v>
      </c>
      <c r="O68" s="99" t="str">
        <f t="shared" ca="1" si="8"/>
        <v>N/A</v>
      </c>
      <c r="P68" s="137" t="str">
        <f t="shared" ca="1" si="9"/>
        <v>Em dia</v>
      </c>
    </row>
    <row r="69" spans="1:16" s="67" customFormat="1" ht="22.5">
      <c r="A69" s="134" t="str">
        <f>CAC!A83</f>
        <v>SERAE-NUINF6</v>
      </c>
      <c r="B69" s="78" t="str">
        <f>CAC!C83</f>
        <v>0002344-09.2023.4.01.8010</v>
      </c>
      <c r="C69" s="135" t="str">
        <f>CAC!B83</f>
        <v>Aquisição de licença anual de softwares de orçamentos de obras.</v>
      </c>
      <c r="D69" s="136">
        <f t="shared" ca="1" si="5"/>
        <v>361</v>
      </c>
      <c r="E69" s="137">
        <f>CAC!W83</f>
        <v>45547</v>
      </c>
      <c r="F69" s="137">
        <f>CAC!X83</f>
        <v>45572</v>
      </c>
      <c r="G69" s="138" t="str">
        <f>CAC!AB83</f>
        <v>---</v>
      </c>
      <c r="H69" s="137">
        <f>CAC!AC83</f>
        <v>45618</v>
      </c>
      <c r="I69" s="139"/>
      <c r="J69" s="139"/>
      <c r="K69" s="139"/>
      <c r="L69" s="139"/>
      <c r="M69" s="99" t="str">
        <f t="shared" ca="1" si="6"/>
        <v>Em dia</v>
      </c>
      <c r="N69" s="99" t="str">
        <f t="shared" ca="1" si="7"/>
        <v>Em dia</v>
      </c>
      <c r="O69" s="99" t="str">
        <f t="shared" ca="1" si="8"/>
        <v>N/A</v>
      </c>
      <c r="P69" s="137" t="str">
        <f t="shared" ca="1" si="9"/>
        <v>Em dia</v>
      </c>
    </row>
    <row r="70" spans="1:16" s="67" customFormat="1" ht="33.75">
      <c r="A70" s="134" t="str">
        <f>CAC!A84</f>
        <v>SERAE-NUINF7</v>
      </c>
      <c r="B70" s="78" t="str">
        <f>CAC!C84</f>
        <v>0002344-09.2023.4.01.8010</v>
      </c>
      <c r="C70" s="135" t="str">
        <f>CAC!B84</f>
        <v>Contratação de manutenção preventiva duas vezes por ano dos Grupos Geradores das Subseções.</v>
      </c>
      <c r="D70" s="136">
        <f t="shared" ca="1" si="5"/>
        <v>361</v>
      </c>
      <c r="E70" s="137">
        <f>CAC!W84</f>
        <v>45530</v>
      </c>
      <c r="F70" s="137">
        <f>CAC!X84</f>
        <v>45555</v>
      </c>
      <c r="G70" s="138" t="str">
        <f>CAC!AB84</f>
        <v>---</v>
      </c>
      <c r="H70" s="137">
        <f>CAC!AC84</f>
        <v>45618</v>
      </c>
      <c r="I70" s="139"/>
      <c r="J70" s="139"/>
      <c r="K70" s="139"/>
      <c r="L70" s="139"/>
      <c r="M70" s="99" t="str">
        <f t="shared" ca="1" si="6"/>
        <v>Em dia</v>
      </c>
      <c r="N70" s="99" t="str">
        <f t="shared" ca="1" si="7"/>
        <v>Em dia</v>
      </c>
      <c r="O70" s="99" t="str">
        <f t="shared" ca="1" si="8"/>
        <v>N/A</v>
      </c>
      <c r="P70" s="137" t="str">
        <f t="shared" ca="1" si="9"/>
        <v>Em dia</v>
      </c>
    </row>
    <row r="71" spans="1:16" s="67" customFormat="1" ht="22.5">
      <c r="A71" s="134" t="str">
        <f>CAC!A85</f>
        <v>SERAE-NUINF8</v>
      </c>
      <c r="B71" s="78" t="str">
        <f>CAC!C85</f>
        <v>0002344-09.2023.4.01.8010</v>
      </c>
      <c r="C71" s="135" t="str">
        <f>CAC!B85</f>
        <v>Contratação de serviços para Execução da 2ª etapa da reforma da SSJ Altamira</v>
      </c>
      <c r="D71" s="136">
        <f t="shared" ca="1" si="5"/>
        <v>361</v>
      </c>
      <c r="E71" s="137">
        <f>CAC!W85</f>
        <v>45530</v>
      </c>
      <c r="F71" s="137">
        <f>CAC!X85</f>
        <v>45555</v>
      </c>
      <c r="G71" s="138" t="str">
        <f>CAC!AB85</f>
        <v>---</v>
      </c>
      <c r="H71" s="137">
        <f>CAC!AC85</f>
        <v>45618</v>
      </c>
      <c r="I71" s="139"/>
      <c r="J71" s="139"/>
      <c r="K71" s="139"/>
      <c r="L71" s="139"/>
      <c r="M71" s="99" t="str">
        <f t="shared" ca="1" si="6"/>
        <v>Em dia</v>
      </c>
      <c r="N71" s="99" t="str">
        <f t="shared" ca="1" si="7"/>
        <v>Em dia</v>
      </c>
      <c r="O71" s="99" t="str">
        <f t="shared" ca="1" si="8"/>
        <v>N/A</v>
      </c>
      <c r="P71" s="137" t="str">
        <f t="shared" ca="1" si="9"/>
        <v>Em dia</v>
      </c>
    </row>
    <row r="72" spans="1:16" s="67" customFormat="1" ht="45">
      <c r="A72" s="134" t="str">
        <f>CAC!A93</f>
        <v>NUTEC1</v>
      </c>
      <c r="B72" s="78" t="str">
        <f>CAC!C93</f>
        <v>0002359-75.2023.4.01.8010</v>
      </c>
      <c r="C72" s="135" t="str">
        <f>CAC!B93</f>
        <v>Serviços de Suporte Técnico de TI para atender demanda da Capital e das oito Subseções vinculadas a esta Seção Judiciária.</v>
      </c>
      <c r="D72" s="136">
        <f t="shared" ca="1" si="5"/>
        <v>17</v>
      </c>
      <c r="E72" s="137">
        <f>CAC!W93</f>
        <v>45154</v>
      </c>
      <c r="F72" s="137">
        <f>CAC!X93</f>
        <v>45179</v>
      </c>
      <c r="G72" s="138" t="str">
        <f>CAC!AB93</f>
        <v>---</v>
      </c>
      <c r="H72" s="137">
        <f>CAC!AC93</f>
        <v>45274</v>
      </c>
      <c r="I72" s="139"/>
      <c r="J72" s="139"/>
      <c r="K72" s="139"/>
      <c r="L72" s="139"/>
      <c r="M72" s="99" t="str">
        <f t="shared" ca="1" si="6"/>
        <v>Pendência</v>
      </c>
      <c r="N72" s="99" t="str">
        <f t="shared" ca="1" si="7"/>
        <v>Pendência</v>
      </c>
      <c r="O72" s="99" t="str">
        <f t="shared" ca="1" si="8"/>
        <v>N/A</v>
      </c>
      <c r="P72" s="137" t="str">
        <f t="shared" ca="1" si="9"/>
        <v>Em dia</v>
      </c>
    </row>
    <row r="73" spans="1:16" s="67" customFormat="1" ht="33.75">
      <c r="A73" s="134" t="str">
        <f>CAC!A94</f>
        <v>NUTEC2</v>
      </c>
      <c r="B73" s="78" t="str">
        <f>CAC!C94</f>
        <v>0002359-75.2023.4.01.8010</v>
      </c>
      <c r="C73" s="135" t="str">
        <f>CAC!B94</f>
        <v>Links de telecomunicações entre a Sede em Belém e as oito Subseções vinculadas a esta Seção Judiciária.</v>
      </c>
      <c r="D73" s="136">
        <f t="shared" ca="1" si="5"/>
        <v>17</v>
      </c>
      <c r="E73" s="137">
        <f>CAC!W94</f>
        <v>45154</v>
      </c>
      <c r="F73" s="137">
        <f>CAC!X94</f>
        <v>45179</v>
      </c>
      <c r="G73" s="138" t="str">
        <f>CAC!AB94</f>
        <v>---</v>
      </c>
      <c r="H73" s="137">
        <f>CAC!AC94</f>
        <v>45274</v>
      </c>
      <c r="I73" s="139"/>
      <c r="J73" s="139"/>
      <c r="K73" s="139"/>
      <c r="L73" s="139"/>
      <c r="M73" s="99" t="str">
        <f t="shared" ca="1" si="6"/>
        <v>Pendência</v>
      </c>
      <c r="N73" s="99" t="str">
        <f t="shared" ca="1" si="7"/>
        <v>Pendência</v>
      </c>
      <c r="O73" s="99" t="str">
        <f t="shared" ca="1" si="8"/>
        <v>N/A</v>
      </c>
      <c r="P73" s="137" t="str">
        <f t="shared" ca="1" si="9"/>
        <v>Em dia</v>
      </c>
    </row>
    <row r="74" spans="1:16" s="67" customFormat="1" ht="45">
      <c r="A74" s="134" t="str">
        <f>CAC!A95</f>
        <v>NUTEC3</v>
      </c>
      <c r="B74" s="78" t="str">
        <f>CAC!C95</f>
        <v>0002359-75.2023.4.01.8010</v>
      </c>
      <c r="C74" s="135" t="str">
        <f>CAC!B95</f>
        <v>Link de Internet Corporativa para atender a demanda desta Sede em Belém e de forma compartilhada com as oito subseções judiciárias.</v>
      </c>
      <c r="D74" s="136">
        <f t="shared" ca="1" si="5"/>
        <v>17</v>
      </c>
      <c r="E74" s="137">
        <f>CAC!W95</f>
        <v>45154</v>
      </c>
      <c r="F74" s="137">
        <f>CAC!X95</f>
        <v>45179</v>
      </c>
      <c r="G74" s="138" t="str">
        <f>CAC!AB95</f>
        <v>---</v>
      </c>
      <c r="H74" s="137">
        <f>CAC!AC95</f>
        <v>45274</v>
      </c>
      <c r="I74" s="139"/>
      <c r="J74" s="139"/>
      <c r="K74" s="139"/>
      <c r="L74" s="139"/>
      <c r="M74" s="99" t="str">
        <f t="shared" ca="1" si="6"/>
        <v>Pendência</v>
      </c>
      <c r="N74" s="99" t="str">
        <f t="shared" ca="1" si="7"/>
        <v>Pendência</v>
      </c>
      <c r="O74" s="99" t="str">
        <f t="shared" ca="1" si="8"/>
        <v>N/A</v>
      </c>
      <c r="P74" s="137" t="str">
        <f t="shared" ca="1" si="9"/>
        <v>Em dia</v>
      </c>
    </row>
    <row r="75" spans="1:16" s="67" customFormat="1" ht="56.25">
      <c r="A75" s="134" t="str">
        <f>CAC!A96</f>
        <v>NUTEC4</v>
      </c>
      <c r="B75" s="78" t="str">
        <f>CAC!C96</f>
        <v>0002359-75.2023.4.01.8010</v>
      </c>
      <c r="C75" s="135" t="str">
        <f>CAC!B96</f>
        <v>Aquisição de equipamentos do tipo applicance para serem usados como firewall e implementarem, utilizando os links de internet desta capital e subseções, rede do tipo SDWAN.</v>
      </c>
      <c r="D75" s="136">
        <f t="shared" ca="1" si="5"/>
        <v>17</v>
      </c>
      <c r="E75" s="137">
        <f>CAC!W96</f>
        <v>45154</v>
      </c>
      <c r="F75" s="137">
        <f>CAC!X96</f>
        <v>45179</v>
      </c>
      <c r="G75" s="138" t="str">
        <f>CAC!AB96</f>
        <v>---</v>
      </c>
      <c r="H75" s="137">
        <f>CAC!AC96</f>
        <v>45274</v>
      </c>
      <c r="I75" s="139"/>
      <c r="J75" s="139"/>
      <c r="K75" s="139"/>
      <c r="L75" s="139"/>
      <c r="M75" s="99" t="str">
        <f t="shared" ca="1" si="6"/>
        <v>Pendência</v>
      </c>
      <c r="N75" s="99" t="str">
        <f t="shared" ca="1" si="7"/>
        <v>Pendência</v>
      </c>
      <c r="O75" s="99" t="str">
        <f t="shared" ca="1" si="8"/>
        <v>N/A</v>
      </c>
      <c r="P75" s="137" t="str">
        <f t="shared" ca="1" si="9"/>
        <v>Em dia</v>
      </c>
    </row>
    <row r="76" spans="1:16" s="67" customFormat="1" ht="56.25">
      <c r="A76" s="134" t="str">
        <f>CAC!A97</f>
        <v>NUTEC5</v>
      </c>
      <c r="B76" s="78" t="str">
        <f>CAC!C97</f>
        <v>0002359-75.2023.4.01.8010</v>
      </c>
      <c r="C76" s="135" t="str">
        <f>CAC!B97</f>
        <v>Aquisição de equipamentos do tipo applicance para serem usados como firewall e implementarem, utilizando os links de internet desta capital e subseções, rede do tipo SDWAN.</v>
      </c>
      <c r="D76" s="136">
        <f t="shared" ca="1" si="5"/>
        <v>17</v>
      </c>
      <c r="E76" s="137">
        <f>CAC!W97</f>
        <v>45154</v>
      </c>
      <c r="F76" s="137">
        <f>CAC!X97</f>
        <v>45179</v>
      </c>
      <c r="G76" s="138" t="str">
        <f>CAC!AB97</f>
        <v>---</v>
      </c>
      <c r="H76" s="137">
        <f>CAC!AC97</f>
        <v>45274</v>
      </c>
      <c r="I76" s="139"/>
      <c r="J76" s="139"/>
      <c r="K76" s="139"/>
      <c r="L76" s="139"/>
      <c r="M76" s="99" t="str">
        <f t="shared" ca="1" si="6"/>
        <v>Pendência</v>
      </c>
      <c r="N76" s="99" t="str">
        <f t="shared" ca="1" si="7"/>
        <v>Pendência</v>
      </c>
      <c r="O76" s="99" t="str">
        <f t="shared" ca="1" si="8"/>
        <v>N/A</v>
      </c>
      <c r="P76" s="137" t="str">
        <f t="shared" ca="1" si="9"/>
        <v>Em dia</v>
      </c>
    </row>
    <row r="77" spans="1:16" s="67" customFormat="1" ht="67.5">
      <c r="A77" s="134" t="str">
        <f>CAC!A98</f>
        <v>NUTEC6</v>
      </c>
      <c r="B77" s="78" t="str">
        <f>CAC!C98</f>
        <v>0002359-75.2023.4.01.8010</v>
      </c>
      <c r="C77" s="135" t="str">
        <f>CAC!B98</f>
        <v>Contratação de empresa especializada na prestação de serviços de locação de equipamentos IMPRESSORAS e MULTIFUNCIONAIS MONOCROMÁTICAS, IMPRESSORAS POLICROMÁTICAS e SCANNER</v>
      </c>
      <c r="D77" s="136">
        <f t="shared" ca="1" si="5"/>
        <v>17</v>
      </c>
      <c r="E77" s="137">
        <f>CAC!W98</f>
        <v>45154</v>
      </c>
      <c r="F77" s="137">
        <f>CAC!X98</f>
        <v>45179</v>
      </c>
      <c r="G77" s="138" t="str">
        <f>CAC!AB98</f>
        <v>---</v>
      </c>
      <c r="H77" s="137">
        <f>CAC!AC98</f>
        <v>45274</v>
      </c>
      <c r="I77" s="139"/>
      <c r="J77" s="139"/>
      <c r="K77" s="139"/>
      <c r="L77" s="139"/>
      <c r="M77" s="99" t="str">
        <f t="shared" ca="1" si="6"/>
        <v>Pendência</v>
      </c>
      <c r="N77" s="99" t="str">
        <f t="shared" ca="1" si="7"/>
        <v>Pendência</v>
      </c>
      <c r="O77" s="99" t="str">
        <f t="shared" ca="1" si="8"/>
        <v>N/A</v>
      </c>
      <c r="P77" s="137" t="str">
        <f t="shared" ca="1" si="9"/>
        <v>Em dia</v>
      </c>
    </row>
    <row r="78" spans="1:16" s="67" customFormat="1" ht="45">
      <c r="A78" s="134" t="str">
        <f>CAC!A99</f>
        <v>NUTEC7</v>
      </c>
      <c r="B78" s="78" t="str">
        <f>CAC!C99</f>
        <v>0002359-75.2023.4.01.8010</v>
      </c>
      <c r="C78" s="135" t="str">
        <f>CAC!B99</f>
        <v>Link de Internet Corporativa para atender a demanda das 08 (oito) Subseções judiciárias vinculadas à Seção Judiciária do Pará.</v>
      </c>
      <c r="D78" s="136">
        <f t="shared" ca="1" si="5"/>
        <v>17</v>
      </c>
      <c r="E78" s="137">
        <f>CAC!W99</f>
        <v>45154</v>
      </c>
      <c r="F78" s="137">
        <f>CAC!X99</f>
        <v>45179</v>
      </c>
      <c r="G78" s="138" t="str">
        <f>CAC!AB99</f>
        <v>---</v>
      </c>
      <c r="H78" s="137">
        <f>CAC!AC99</f>
        <v>45274</v>
      </c>
      <c r="I78" s="139"/>
      <c r="J78" s="139"/>
      <c r="K78" s="139"/>
      <c r="L78" s="139"/>
      <c r="M78" s="99" t="str">
        <f t="shared" ca="1" si="6"/>
        <v>Pendência</v>
      </c>
      <c r="N78" s="99" t="str">
        <f t="shared" ca="1" si="7"/>
        <v>Pendência</v>
      </c>
      <c r="O78" s="99" t="str">
        <f t="shared" ca="1" si="8"/>
        <v>N/A</v>
      </c>
      <c r="P78" s="137" t="str">
        <f t="shared" ca="1" si="9"/>
        <v>Em dia</v>
      </c>
    </row>
    <row r="79" spans="1:16" s="67" customFormat="1" ht="33.75">
      <c r="A79" s="134" t="str">
        <f>CAC!A101</f>
        <v>NUCOD1</v>
      </c>
      <c r="B79" s="78" t="str">
        <f>CAC!C101</f>
        <v>0003320-16.2023.4.01.8010</v>
      </c>
      <c r="C79" s="135" t="str">
        <f>CAC!B101</f>
        <v>Aquisição de equipamentos para os consultórios da Central de Perícias da Seccional.</v>
      </c>
      <c r="D79" s="136">
        <f t="shared" ca="1" si="5"/>
        <v>23</v>
      </c>
      <c r="E79" s="137">
        <f>CAC!W101</f>
        <v>45211</v>
      </c>
      <c r="F79" s="137">
        <f>CAC!X101</f>
        <v>45236</v>
      </c>
      <c r="G79" s="138" t="str">
        <f>CAC!AB101</f>
        <v>---</v>
      </c>
      <c r="H79" s="137">
        <f>CAC!AC101</f>
        <v>45280</v>
      </c>
      <c r="I79" s="139"/>
      <c r="J79" s="139"/>
      <c r="K79" s="139"/>
      <c r="L79" s="139"/>
      <c r="M79" s="99" t="str">
        <f t="shared" ca="1" si="6"/>
        <v>Pendência</v>
      </c>
      <c r="N79" s="99" t="str">
        <f t="shared" ca="1" si="7"/>
        <v>Pendência</v>
      </c>
      <c r="O79" s="99" t="str">
        <f t="shared" ca="1" si="8"/>
        <v>N/A</v>
      </c>
      <c r="P79" s="137" t="str">
        <f t="shared" ca="1" si="9"/>
        <v>Em dia</v>
      </c>
    </row>
    <row r="80" spans="1:16" s="67" customFormat="1" ht="56.25">
      <c r="A80" s="134" t="str">
        <f>CAC!A102</f>
        <v>NUCOD2</v>
      </c>
      <c r="B80" s="78" t="str">
        <f>CAC!C102</f>
        <v>0003320-16.2023.4.01.8010</v>
      </c>
      <c r="C80" s="135" t="str">
        <f>CAC!B102</f>
        <v>Aquisição de scanners portáteis e Notebooks Ultrabooks para o Setor de atermação (Setate), com prestação de serviço de assistência técnica “on-site” e garantia de 48 (quarenta e oito) meses.</v>
      </c>
      <c r="D80" s="136">
        <f t="shared" ca="1" si="5"/>
        <v>23</v>
      </c>
      <c r="E80" s="137">
        <f>CAC!W102</f>
        <v>45160</v>
      </c>
      <c r="F80" s="137">
        <f>CAC!X102</f>
        <v>45185</v>
      </c>
      <c r="G80" s="138" t="str">
        <f>CAC!AB102</f>
        <v>---</v>
      </c>
      <c r="H80" s="137">
        <f>CAC!AC102</f>
        <v>45280</v>
      </c>
      <c r="I80" s="139"/>
      <c r="J80" s="139"/>
      <c r="K80" s="139"/>
      <c r="L80" s="139"/>
      <c r="M80" s="99" t="str">
        <f t="shared" ca="1" si="6"/>
        <v>Pendência</v>
      </c>
      <c r="N80" s="99" t="str">
        <f t="shared" ca="1" si="7"/>
        <v>Pendência</v>
      </c>
      <c r="O80" s="99" t="str">
        <f t="shared" ca="1" si="8"/>
        <v>N/A</v>
      </c>
      <c r="P80" s="137" t="str">
        <f t="shared" ca="1" si="9"/>
        <v>Em dia</v>
      </c>
    </row>
    <row r="81" spans="1:16" s="67" customFormat="1" ht="56.25">
      <c r="A81" s="134" t="str">
        <f>CAC!A103</f>
        <v>NUCOD3</v>
      </c>
      <c r="B81" s="78" t="str">
        <f>CAC!C103</f>
        <v>0003320-16.2023.4.01.8010</v>
      </c>
      <c r="C81" s="135" t="str">
        <f>CAC!B103</f>
        <v>Aquisição de scanners portáteis e Notebooks Ultrabooks para o Setor de atermação (Setate), com prestação de serviço de assistência técnica “on-site” e garantia de 48 (quarenta e oito) meses.</v>
      </c>
      <c r="D81" s="136">
        <f t="shared" ca="1" si="5"/>
        <v>23</v>
      </c>
      <c r="E81" s="137">
        <f>CAC!W103</f>
        <v>45160</v>
      </c>
      <c r="F81" s="137">
        <f>CAC!X103</f>
        <v>45185</v>
      </c>
      <c r="G81" s="138" t="str">
        <f>CAC!AB103</f>
        <v>---</v>
      </c>
      <c r="H81" s="137">
        <f>CAC!AC103</f>
        <v>45280</v>
      </c>
      <c r="I81" s="139"/>
      <c r="J81" s="139"/>
      <c r="K81" s="139"/>
      <c r="L81" s="139"/>
      <c r="M81" s="99" t="str">
        <f t="shared" ca="1" si="6"/>
        <v>Pendência</v>
      </c>
      <c r="N81" s="99" t="str">
        <f t="shared" ca="1" si="7"/>
        <v>Pendência</v>
      </c>
      <c r="O81" s="99" t="str">
        <f t="shared" ca="1" si="8"/>
        <v>N/A</v>
      </c>
      <c r="P81" s="137" t="str">
        <f t="shared" ca="1" si="9"/>
        <v>Em dia</v>
      </c>
    </row>
    <row r="82" spans="1:16" s="67" customFormat="1" ht="56.25">
      <c r="A82" s="134" t="str">
        <f>CAC!A104</f>
        <v>NUCOD4</v>
      </c>
      <c r="B82" s="78" t="str">
        <f>CAC!C104</f>
        <v>0003320-16.2023.4.01.8010</v>
      </c>
      <c r="C82" s="135" t="str">
        <f>CAC!B104</f>
        <v>Aquisição de scanners portáteis e Notebooks Ultrabooks para o Setor de atermação (Setate), com prestação de serviço de assistência técnica “on-site” e garantia de 48 (quarenta e oito) meses.</v>
      </c>
      <c r="D82" s="136">
        <f t="shared" ca="1" si="5"/>
        <v>23</v>
      </c>
      <c r="E82" s="137">
        <f>CAC!W104</f>
        <v>45160</v>
      </c>
      <c r="F82" s="137">
        <f>CAC!X104</f>
        <v>45185</v>
      </c>
      <c r="G82" s="138" t="str">
        <f>CAC!AB104</f>
        <v>---</v>
      </c>
      <c r="H82" s="137">
        <f>CAC!AC104</f>
        <v>45280</v>
      </c>
      <c r="I82" s="139"/>
      <c r="J82" s="139"/>
      <c r="K82" s="139"/>
      <c r="L82" s="139"/>
      <c r="M82" s="99" t="str">
        <f t="shared" ca="1" si="6"/>
        <v>Pendência</v>
      </c>
      <c r="N82" s="99" t="str">
        <f t="shared" ca="1" si="7"/>
        <v>Pendência</v>
      </c>
      <c r="O82" s="99" t="str">
        <f t="shared" ca="1" si="8"/>
        <v>N/A</v>
      </c>
      <c r="P82" s="137" t="str">
        <f t="shared" ca="1" si="9"/>
        <v>Em dia</v>
      </c>
    </row>
    <row r="83" spans="1:16" s="67" customFormat="1" ht="33.75">
      <c r="A83" s="134" t="str">
        <f>CAC!A105</f>
        <v>NUCOD5</v>
      </c>
      <c r="B83" s="78" t="str">
        <f>CAC!C105</f>
        <v>0003320-16.2023.4.01.8010</v>
      </c>
      <c r="C83" s="135" t="str">
        <f>CAC!B105</f>
        <v>Aquisição de equipamentos para os consultórios da Central de Perícias da Seccional.</v>
      </c>
      <c r="D83" s="136">
        <f t="shared" ca="1" si="5"/>
        <v>47</v>
      </c>
      <c r="E83" s="137">
        <f>CAC!W105</f>
        <v>45233</v>
      </c>
      <c r="F83" s="137">
        <f>CAC!X105</f>
        <v>45258</v>
      </c>
      <c r="G83" s="138" t="str">
        <f>CAC!AB105</f>
        <v>---</v>
      </c>
      <c r="H83" s="137">
        <f>CAC!AC105</f>
        <v>45304</v>
      </c>
      <c r="I83" s="139"/>
      <c r="J83" s="139"/>
      <c r="K83" s="139"/>
      <c r="L83" s="139"/>
      <c r="M83" s="99" t="str">
        <f t="shared" ca="1" si="6"/>
        <v>Pendência</v>
      </c>
      <c r="N83" s="99" t="str">
        <f t="shared" ca="1" si="7"/>
        <v>Em dia</v>
      </c>
      <c r="O83" s="99" t="str">
        <f t="shared" ca="1" si="8"/>
        <v>N/A</v>
      </c>
      <c r="P83" s="137" t="str">
        <f t="shared" ca="1" si="9"/>
        <v>Em dia</v>
      </c>
    </row>
    <row r="84" spans="1:16" s="67" customFormat="1" ht="22.5">
      <c r="A84" s="134" t="str">
        <f>CAC!A108</f>
        <v>SUBSEÇÃO JUDICIÁRIA DE ALTAMIRA1</v>
      </c>
      <c r="B84" s="78" t="str">
        <f>CAC!C108</f>
        <v>0003298-55.2023.4.01.8010</v>
      </c>
      <c r="C84" s="135" t="str">
        <f>CAC!B108</f>
        <v>Fornecimento de energia elétrica na sede da Subseção Judiciária de altamira.</v>
      </c>
      <c r="D84" s="136">
        <f t="shared" ca="1" si="5"/>
        <v>17</v>
      </c>
      <c r="E84" s="137">
        <f>CAC!W108</f>
        <v>45203</v>
      </c>
      <c r="F84" s="137">
        <f>CAC!X108</f>
        <v>45228</v>
      </c>
      <c r="G84" s="138" t="str">
        <f>CAC!AB108</f>
        <v>---</v>
      </c>
      <c r="H84" s="137">
        <f>CAC!AC108</f>
        <v>45274</v>
      </c>
      <c r="I84" s="139"/>
      <c r="J84" s="139"/>
      <c r="K84" s="139"/>
      <c r="L84" s="139"/>
      <c r="M84" s="99" t="str">
        <f t="shared" ca="1" si="6"/>
        <v>Pendência</v>
      </c>
      <c r="N84" s="99" t="str">
        <f t="shared" ca="1" si="7"/>
        <v>Pendência</v>
      </c>
      <c r="O84" s="99" t="str">
        <f t="shared" ca="1" si="8"/>
        <v>N/A</v>
      </c>
      <c r="P84" s="137" t="str">
        <f t="shared" ca="1" si="9"/>
        <v>Em dia</v>
      </c>
    </row>
    <row r="85" spans="1:16" s="67" customFormat="1" ht="56.25">
      <c r="A85" s="134" t="str">
        <f>CAC!A109</f>
        <v>SUBSEÇÃO JUDICIÁRIA DE ALTAMIRA2</v>
      </c>
      <c r="B85" s="78" t="str">
        <f>CAC!C109</f>
        <v>0003298-55.2023.4.01.8010</v>
      </c>
      <c r="C85" s="135" t="str">
        <f>CAC!B109</f>
        <v>serviços de operação e manutenção preventiva e corretiva, com fornecimento de peças se for o caso, para o sistema de climatização do Prédio Sede da Subseção Judiciária do Altamira</v>
      </c>
      <c r="D85" s="136">
        <f t="shared" ca="1" si="5"/>
        <v>127</v>
      </c>
      <c r="E85" s="137">
        <f>CAC!W109</f>
        <v>45313</v>
      </c>
      <c r="F85" s="137">
        <f>CAC!X109</f>
        <v>45338</v>
      </c>
      <c r="G85" s="138" t="str">
        <f>CAC!AB109</f>
        <v>---</v>
      </c>
      <c r="H85" s="137">
        <f>CAC!AC109</f>
        <v>45384</v>
      </c>
      <c r="I85" s="139"/>
      <c r="J85" s="139"/>
      <c r="K85" s="139"/>
      <c r="L85" s="139"/>
      <c r="M85" s="99" t="str">
        <f t="shared" ca="1" si="6"/>
        <v>Em dia</v>
      </c>
      <c r="N85" s="99" t="str">
        <f t="shared" ca="1" si="7"/>
        <v>Em dia</v>
      </c>
      <c r="O85" s="99" t="str">
        <f t="shared" ca="1" si="8"/>
        <v>N/A</v>
      </c>
      <c r="P85" s="137" t="str">
        <f t="shared" ca="1" si="9"/>
        <v>Em dia</v>
      </c>
    </row>
    <row r="86" spans="1:16" s="67" customFormat="1" ht="45">
      <c r="A86" s="134" t="str">
        <f>CAC!A110</f>
        <v>SUBSEÇÃO JUDICIÁRIA DE ALTAMIRA3</v>
      </c>
      <c r="B86" s="78"/>
      <c r="C86" s="135" t="str">
        <f>CAC!B110</f>
        <v>Contratação de Empresas para fornecimento de água mineral e copos descartáveis à Subseção Judiciária de Altamira, durante o exercício de 2024.</v>
      </c>
      <c r="D86" s="136">
        <f t="shared" ca="1" si="5"/>
        <v>17</v>
      </c>
      <c r="E86" s="137">
        <f>CAC!W110</f>
        <v>45203</v>
      </c>
      <c r="F86" s="137">
        <f>CAC!X110</f>
        <v>45228</v>
      </c>
      <c r="G86" s="138" t="str">
        <f>CAC!AB110</f>
        <v>---</v>
      </c>
      <c r="H86" s="137">
        <f>CAC!AC110</f>
        <v>45274</v>
      </c>
      <c r="I86" s="139"/>
      <c r="J86" s="139"/>
      <c r="K86" s="139"/>
      <c r="L86" s="139"/>
      <c r="M86" s="99" t="str">
        <f t="shared" ca="1" si="6"/>
        <v>Pendência</v>
      </c>
      <c r="N86" s="99" t="str">
        <f t="shared" ca="1" si="7"/>
        <v>Pendência</v>
      </c>
      <c r="O86" s="99" t="str">
        <f t="shared" ca="1" si="8"/>
        <v>N/A</v>
      </c>
      <c r="P86" s="137" t="str">
        <f t="shared" ca="1" si="9"/>
        <v>Em dia</v>
      </c>
    </row>
    <row r="87" spans="1:16" s="67" customFormat="1" ht="45">
      <c r="A87" s="134" t="str">
        <f>CAC!A111</f>
        <v>SUBSEÇÃO JUDICIÁRIA DE ALTAMIRA4</v>
      </c>
      <c r="B87" s="78"/>
      <c r="C87" s="135" t="str">
        <f>CAC!B111</f>
        <v>Contratação de Empresas para fornecimento de água mineral e copos descartáveis à Subseção Judiciária de Altamira, durante o exercício de 2024.</v>
      </c>
      <c r="D87" s="136">
        <f t="shared" ca="1" si="5"/>
        <v>17</v>
      </c>
      <c r="E87" s="137">
        <f>CAC!W111</f>
        <v>45203</v>
      </c>
      <c r="F87" s="137">
        <f>CAC!X111</f>
        <v>45228</v>
      </c>
      <c r="G87" s="138" t="str">
        <f>CAC!AB111</f>
        <v>---</v>
      </c>
      <c r="H87" s="137">
        <f>CAC!AC111</f>
        <v>45274</v>
      </c>
      <c r="I87" s="139"/>
      <c r="J87" s="139"/>
      <c r="K87" s="139"/>
      <c r="L87" s="139"/>
      <c r="M87" s="99" t="str">
        <f t="shared" ca="1" si="6"/>
        <v>Pendência</v>
      </c>
      <c r="N87" s="99" t="str">
        <f t="shared" ca="1" si="7"/>
        <v>Pendência</v>
      </c>
      <c r="O87" s="99" t="str">
        <f t="shared" ca="1" si="8"/>
        <v>N/A</v>
      </c>
      <c r="P87" s="137" t="str">
        <f t="shared" ca="1" si="9"/>
        <v>Em dia</v>
      </c>
    </row>
    <row r="88" spans="1:16" s="67" customFormat="1" ht="45">
      <c r="A88" s="134" t="str">
        <f>CAC!A112</f>
        <v>SUBSEÇÃO JUDICIÁRIA DE ALTAMIRA5</v>
      </c>
      <c r="B88" s="78"/>
      <c r="C88" s="135" t="str">
        <f>CAC!B112</f>
        <v>Contratação de Empresas para fornecimento de água mineral e copos descartáveis à Subseção Judiciária de Altamira, durante o exercício de 2024.</v>
      </c>
      <c r="D88" s="136">
        <f t="shared" ca="1" si="5"/>
        <v>17</v>
      </c>
      <c r="E88" s="137">
        <f>CAC!W112</f>
        <v>45203</v>
      </c>
      <c r="F88" s="137">
        <f>CAC!X112</f>
        <v>45228</v>
      </c>
      <c r="G88" s="138" t="str">
        <f>CAC!AB112</f>
        <v>---</v>
      </c>
      <c r="H88" s="137">
        <f>CAC!AC112</f>
        <v>45274</v>
      </c>
      <c r="I88" s="139"/>
      <c r="J88" s="139"/>
      <c r="K88" s="139"/>
      <c r="L88" s="139"/>
      <c r="M88" s="99" t="str">
        <f t="shared" ca="1" si="6"/>
        <v>Pendência</v>
      </c>
      <c r="N88" s="99" t="str">
        <f t="shared" ca="1" si="7"/>
        <v>Pendência</v>
      </c>
      <c r="O88" s="99" t="str">
        <f t="shared" ca="1" si="8"/>
        <v>N/A</v>
      </c>
      <c r="P88" s="137" t="str">
        <f t="shared" ca="1" si="9"/>
        <v>Em dia</v>
      </c>
    </row>
    <row r="89" spans="1:16" s="67" customFormat="1" ht="12">
      <c r="A89" s="134" t="str">
        <f>CAC!A113</f>
        <v>SUBSEÇÃO JUDICIÁRIA DE ALTAMIRA6</v>
      </c>
      <c r="B89" s="78"/>
      <c r="C89" s="135" t="str">
        <f>CAC!B113</f>
        <v>Aquisição de 2 nobreaks de 10 kvs.</v>
      </c>
      <c r="D89" s="136">
        <f t="shared" ca="1" si="5"/>
        <v>138</v>
      </c>
      <c r="E89" s="137">
        <f>CAC!W113</f>
        <v>45324</v>
      </c>
      <c r="F89" s="137">
        <f>CAC!X113</f>
        <v>45349</v>
      </c>
      <c r="G89" s="138" t="str">
        <f>CAC!AB113</f>
        <v>---</v>
      </c>
      <c r="H89" s="137">
        <f>CAC!AC113</f>
        <v>45395</v>
      </c>
      <c r="I89" s="139"/>
      <c r="J89" s="139"/>
      <c r="K89" s="139"/>
      <c r="L89" s="139"/>
      <c r="M89" s="99" t="str">
        <f t="shared" ca="1" si="6"/>
        <v>Em dia</v>
      </c>
      <c r="N89" s="99" t="str">
        <f t="shared" ca="1" si="7"/>
        <v>Em dia</v>
      </c>
      <c r="O89" s="99" t="str">
        <f t="shared" ca="1" si="8"/>
        <v>N/A</v>
      </c>
      <c r="P89" s="137" t="str">
        <f t="shared" ca="1" si="9"/>
        <v>Em dia</v>
      </c>
    </row>
    <row r="90" spans="1:16" s="67" customFormat="1" ht="22.5">
      <c r="A90" s="134" t="str">
        <f>CAC!A114</f>
        <v>SUBSEÇÃO JUDICIÁRIA DE ALTAMIRA7</v>
      </c>
      <c r="B90" s="78"/>
      <c r="C90" s="135" t="str">
        <f>CAC!B114</f>
        <v>Manutenção preventiva e corretiva do grupo gerador</v>
      </c>
      <c r="D90" s="136">
        <f t="shared" ca="1" si="5"/>
        <v>138</v>
      </c>
      <c r="E90" s="137">
        <f>CAC!W114</f>
        <v>45324</v>
      </c>
      <c r="F90" s="137">
        <f>CAC!X114</f>
        <v>45349</v>
      </c>
      <c r="G90" s="138" t="str">
        <f>CAC!AB114</f>
        <v>---</v>
      </c>
      <c r="H90" s="137">
        <f>CAC!AC114</f>
        <v>45395</v>
      </c>
      <c r="I90" s="139"/>
      <c r="J90" s="139"/>
      <c r="K90" s="139"/>
      <c r="L90" s="139"/>
      <c r="M90" s="99" t="str">
        <f t="shared" ca="1" si="6"/>
        <v>Em dia</v>
      </c>
      <c r="N90" s="99" t="str">
        <f t="shared" ca="1" si="7"/>
        <v>Em dia</v>
      </c>
      <c r="O90" s="99" t="str">
        <f t="shared" ca="1" si="8"/>
        <v>N/A</v>
      </c>
      <c r="P90" s="137" t="str">
        <f t="shared" ca="1" si="9"/>
        <v>Em dia</v>
      </c>
    </row>
    <row r="91" spans="1:16" s="67" customFormat="1" ht="22.5">
      <c r="A91" s="134" t="str">
        <f>CAC!A115</f>
        <v>SUBSEÇÃO JUDICIÁRIA DE ALTAMIRA8</v>
      </c>
      <c r="B91" s="78"/>
      <c r="C91" s="135" t="str">
        <f>CAC!B115</f>
        <v>Compra de 05 pneus para caminhonete L200 TRITON.</v>
      </c>
      <c r="D91" s="136">
        <f t="shared" ca="1" si="5"/>
        <v>138</v>
      </c>
      <c r="E91" s="137">
        <f>CAC!W115</f>
        <v>45324</v>
      </c>
      <c r="F91" s="137">
        <f>CAC!X115</f>
        <v>45349</v>
      </c>
      <c r="G91" s="138" t="str">
        <f>CAC!AB115</f>
        <v>---</v>
      </c>
      <c r="H91" s="137">
        <f>CAC!AC115</f>
        <v>45395</v>
      </c>
      <c r="I91" s="139"/>
      <c r="J91" s="139"/>
      <c r="K91" s="139"/>
      <c r="L91" s="139"/>
      <c r="M91" s="99" t="str">
        <f t="shared" ca="1" si="6"/>
        <v>Em dia</v>
      </c>
      <c r="N91" s="99" t="str">
        <f t="shared" ca="1" si="7"/>
        <v>Em dia</v>
      </c>
      <c r="O91" s="99" t="str">
        <f t="shared" ca="1" si="8"/>
        <v>N/A</v>
      </c>
      <c r="P91" s="137" t="str">
        <f t="shared" ca="1" si="9"/>
        <v>Em dia</v>
      </c>
    </row>
    <row r="92" spans="1:16" s="67" customFormat="1" ht="33.75">
      <c r="A92" s="134" t="str">
        <f>CAC!A116</f>
        <v>SUBSEÇÃO JUDICIÁRIA DE ALTAMIRA9</v>
      </c>
      <c r="B92" s="78"/>
      <c r="C92" s="135" t="str">
        <f>CAC!B116</f>
        <v>Vidro temperado para divisão da guarita e proteção da porta giratória da entrada do prédio da SSJ-ATM.</v>
      </c>
      <c r="D92" s="136">
        <f t="shared" ca="1" si="5"/>
        <v>77</v>
      </c>
      <c r="E92" s="137">
        <f>CAC!W116</f>
        <v>45263</v>
      </c>
      <c r="F92" s="137">
        <f>CAC!X116</f>
        <v>45288</v>
      </c>
      <c r="G92" s="138" t="str">
        <f>CAC!AB116</f>
        <v>---</v>
      </c>
      <c r="H92" s="137">
        <f>CAC!AC116</f>
        <v>45334</v>
      </c>
      <c r="I92" s="139"/>
      <c r="J92" s="139"/>
      <c r="K92" s="139"/>
      <c r="L92" s="139"/>
      <c r="M92" s="99" t="str">
        <f t="shared" ca="1" si="6"/>
        <v>Em dia</v>
      </c>
      <c r="N92" s="99" t="str">
        <f t="shared" ca="1" si="7"/>
        <v>Em dia</v>
      </c>
      <c r="O92" s="99" t="str">
        <f t="shared" ca="1" si="8"/>
        <v>N/A</v>
      </c>
      <c r="P92" s="137" t="str">
        <f t="shared" ca="1" si="9"/>
        <v>Em dia</v>
      </c>
    </row>
    <row r="93" spans="1:16" s="67" customFormat="1" ht="90">
      <c r="A93" s="134" t="str">
        <f>CAC!A117</f>
        <v>SUBSEÇÃO JUDICIÁRIA DE ALTAMIRA10</v>
      </c>
      <c r="B93" s="78"/>
      <c r="C93" s="135" t="str">
        <f>CAC!B117</f>
        <v>Aumentar os muros laterais; Reativar as cercas de segurança; Instalar concertinas em toda extensão dos muros; Instalar eclusa na área de entrada, após o portão principal; Instalar grades de ferro na área após a eclusa bem como no lado esquerdo do prédio, evitando o fácil acesso aos fundos das instalações. </v>
      </c>
      <c r="D93" s="136">
        <f t="shared" ca="1" si="5"/>
        <v>138</v>
      </c>
      <c r="E93" s="137">
        <f>CAC!W117</f>
        <v>45324</v>
      </c>
      <c r="F93" s="137">
        <f>CAC!X117</f>
        <v>45349</v>
      </c>
      <c r="G93" s="138" t="str">
        <f>CAC!AB117</f>
        <v>---</v>
      </c>
      <c r="H93" s="137">
        <f>CAC!AC117</f>
        <v>45395</v>
      </c>
      <c r="I93" s="139"/>
      <c r="J93" s="139"/>
      <c r="K93" s="139"/>
      <c r="L93" s="139"/>
      <c r="M93" s="99" t="str">
        <f t="shared" ca="1" si="6"/>
        <v>Em dia</v>
      </c>
      <c r="N93" s="99" t="str">
        <f t="shared" ca="1" si="7"/>
        <v>Em dia</v>
      </c>
      <c r="O93" s="99" t="str">
        <f t="shared" ca="1" si="8"/>
        <v>N/A</v>
      </c>
      <c r="P93" s="137" t="str">
        <f t="shared" ca="1" si="9"/>
        <v>Em dia</v>
      </c>
    </row>
    <row r="94" spans="1:16" s="67" customFormat="1" ht="33.75">
      <c r="A94" s="134" t="str">
        <f>CAC!A118</f>
        <v>SUBSEÇÃO JUDICIÁRIA DE ALTAMIRA11</v>
      </c>
      <c r="B94" s="78"/>
      <c r="C94" s="135" t="str">
        <f>CAC!B118</f>
        <v>Implantação de sistema de acesso às dependências da subseção via cartão digital ou biométrico.</v>
      </c>
      <c r="D94" s="136">
        <f t="shared" ca="1" si="5"/>
        <v>138</v>
      </c>
      <c r="E94" s="137">
        <f>CAC!W118</f>
        <v>45275</v>
      </c>
      <c r="F94" s="137">
        <f>CAC!X118</f>
        <v>45300</v>
      </c>
      <c r="G94" s="138" t="str">
        <f>CAC!AB118</f>
        <v>---</v>
      </c>
      <c r="H94" s="137">
        <f>CAC!AC118</f>
        <v>45395</v>
      </c>
      <c r="I94" s="139"/>
      <c r="J94" s="139"/>
      <c r="K94" s="139"/>
      <c r="L94" s="139"/>
      <c r="M94" s="99" t="str">
        <f t="shared" ca="1" si="6"/>
        <v>Em dia</v>
      </c>
      <c r="N94" s="99" t="str">
        <f t="shared" ca="1" si="7"/>
        <v>Em dia</v>
      </c>
      <c r="O94" s="99" t="str">
        <f t="shared" ca="1" si="8"/>
        <v>N/A</v>
      </c>
      <c r="P94" s="137" t="str">
        <f t="shared" ca="1" si="9"/>
        <v>Em dia</v>
      </c>
    </row>
    <row r="95" spans="1:16" s="67" customFormat="1" ht="33.75">
      <c r="A95" s="134" t="str">
        <f>CAC!A119</f>
        <v>SUBSEÇÃO JUDICIÁRIA DE ALTAMIRA12</v>
      </c>
      <c r="B95" s="78"/>
      <c r="C95" s="135" t="str">
        <f>CAC!B119</f>
        <v>Aquisição de letras de alumínio em 3D para fachada da SSJ-ALTAMIRA, com os dizeres " JUSTIÇA FEDERAL".</v>
      </c>
      <c r="D95" s="136">
        <f t="shared" ca="1" si="5"/>
        <v>138</v>
      </c>
      <c r="E95" s="137">
        <f>CAC!W119</f>
        <v>45324</v>
      </c>
      <c r="F95" s="137">
        <f>CAC!X119</f>
        <v>45349</v>
      </c>
      <c r="G95" s="138" t="str">
        <f>CAC!AB119</f>
        <v>---</v>
      </c>
      <c r="H95" s="137">
        <f>CAC!AC119</f>
        <v>45395</v>
      </c>
      <c r="I95" s="139"/>
      <c r="J95" s="139"/>
      <c r="K95" s="139"/>
      <c r="L95" s="139"/>
      <c r="M95" s="99" t="str">
        <f t="shared" ca="1" si="6"/>
        <v>Em dia</v>
      </c>
      <c r="N95" s="99" t="str">
        <f t="shared" ca="1" si="7"/>
        <v>Em dia</v>
      </c>
      <c r="O95" s="99" t="str">
        <f t="shared" ca="1" si="8"/>
        <v>N/A</v>
      </c>
      <c r="P95" s="137" t="str">
        <f t="shared" ca="1" si="9"/>
        <v>Em dia</v>
      </c>
    </row>
    <row r="96" spans="1:16" s="67" customFormat="1" ht="22.5">
      <c r="A96" s="134" t="str">
        <f>CAC!A120</f>
        <v>SUBSEÇÃO JUDICIÁRIA DE ALTAMIRA13</v>
      </c>
      <c r="B96" s="78"/>
      <c r="C96" s="135" t="str">
        <f>CAC!B120</f>
        <v>Manutenção preventiva do elevador de acessibilidade.</v>
      </c>
      <c r="D96" s="136">
        <f t="shared" ca="1" si="5"/>
        <v>17</v>
      </c>
      <c r="E96" s="137">
        <f>CAC!W120</f>
        <v>45203</v>
      </c>
      <c r="F96" s="137">
        <f>CAC!X120</f>
        <v>45228</v>
      </c>
      <c r="G96" s="138" t="str">
        <f>CAC!AB120</f>
        <v>---</v>
      </c>
      <c r="H96" s="137">
        <f>CAC!AC120</f>
        <v>45274</v>
      </c>
      <c r="I96" s="139"/>
      <c r="J96" s="139"/>
      <c r="K96" s="139"/>
      <c r="L96" s="139"/>
      <c r="M96" s="99" t="str">
        <f t="shared" ca="1" si="6"/>
        <v>Pendência</v>
      </c>
      <c r="N96" s="99" t="str">
        <f t="shared" ca="1" si="7"/>
        <v>Pendência</v>
      </c>
      <c r="O96" s="99" t="str">
        <f t="shared" ca="1" si="8"/>
        <v>N/A</v>
      </c>
      <c r="P96" s="137" t="str">
        <f t="shared" ca="1" si="9"/>
        <v>Em dia</v>
      </c>
    </row>
    <row r="97" spans="1:16" s="67" customFormat="1" ht="12">
      <c r="A97" s="134" t="str">
        <f>CAC!A121</f>
        <v>SUBSEÇÃO JUDICIÁRIA DE ALTAMIRA14</v>
      </c>
      <c r="B97" s="78"/>
      <c r="C97" s="135" t="str">
        <f>CAC!B121</f>
        <v>Aquisição de 06 persianas para janelas.</v>
      </c>
      <c r="D97" s="136">
        <f t="shared" ca="1" si="5"/>
        <v>169</v>
      </c>
      <c r="E97" s="137">
        <f>CAC!W121</f>
        <v>45355</v>
      </c>
      <c r="F97" s="137">
        <f>CAC!X121</f>
        <v>45380</v>
      </c>
      <c r="G97" s="138" t="str">
        <f>CAC!AB121</f>
        <v>---</v>
      </c>
      <c r="H97" s="137">
        <f>CAC!AC121</f>
        <v>45426</v>
      </c>
      <c r="I97" s="139"/>
      <c r="J97" s="139"/>
      <c r="K97" s="139"/>
      <c r="L97" s="139"/>
      <c r="M97" s="99" t="str">
        <f t="shared" ca="1" si="6"/>
        <v>Em dia</v>
      </c>
      <c r="N97" s="99" t="str">
        <f t="shared" ca="1" si="7"/>
        <v>Em dia</v>
      </c>
      <c r="O97" s="99" t="str">
        <f t="shared" ca="1" si="8"/>
        <v>N/A</v>
      </c>
      <c r="P97" s="137" t="str">
        <f t="shared" ca="1" si="9"/>
        <v>Em dia</v>
      </c>
    </row>
    <row r="98" spans="1:16" s="67" customFormat="1" ht="12">
      <c r="A98" s="134" t="str">
        <f>CAC!A122</f>
        <v>SUBSEÇÃO JUDICIÁRIA DE CASTANHAL1</v>
      </c>
      <c r="B98" s="78" t="str">
        <f>CAC!C122</f>
        <v>0003533-22.2023.4.01.8010</v>
      </c>
      <c r="C98" s="135" t="str">
        <f>CAC!B122</f>
        <v>Fornecimento de energia elétrica</v>
      </c>
      <c r="D98" s="136">
        <f t="shared" ca="1" si="5"/>
        <v>101</v>
      </c>
      <c r="E98" s="137">
        <f>CAC!W122</f>
        <v>45292</v>
      </c>
      <c r="F98" s="137">
        <f>CAC!X122</f>
        <v>45317</v>
      </c>
      <c r="G98" s="138" t="str">
        <f>CAC!AB122</f>
        <v>---</v>
      </c>
      <c r="H98" s="137">
        <f>CAC!AC122</f>
        <v>45358</v>
      </c>
      <c r="I98" s="139"/>
      <c r="J98" s="139"/>
      <c r="K98" s="139"/>
      <c r="L98" s="139"/>
      <c r="M98" s="99" t="str">
        <f t="shared" ca="1" si="6"/>
        <v>Em dia</v>
      </c>
      <c r="N98" s="99" t="str">
        <f t="shared" ca="1" si="7"/>
        <v>Em dia</v>
      </c>
      <c r="O98" s="99" t="str">
        <f t="shared" ca="1" si="8"/>
        <v>N/A</v>
      </c>
      <c r="P98" s="137" t="str">
        <f t="shared" ca="1" si="9"/>
        <v>Em dia</v>
      </c>
    </row>
    <row r="99" spans="1:16" ht="22.5">
      <c r="A99" s="134" t="str">
        <f>CAC!A123</f>
        <v>SUBSEÇÃO JUDICIÁRIA DE CASTANHAL2</v>
      </c>
      <c r="B99" s="78" t="str">
        <f>CAC!C123</f>
        <v>0003533-22.2023.4.01.8010</v>
      </c>
      <c r="C99" s="135" t="str">
        <f>CAC!B123</f>
        <v>Manutenção preventiva e corretiva em equipamento de ar condicionado</v>
      </c>
      <c r="D99" s="136">
        <f t="shared" ca="1" si="5"/>
        <v>199</v>
      </c>
      <c r="E99" s="137">
        <f>CAC!W123</f>
        <v>45385</v>
      </c>
      <c r="F99" s="137">
        <f>CAC!X123</f>
        <v>45410</v>
      </c>
      <c r="G99" s="138" t="str">
        <f>CAC!AB123</f>
        <v>---</v>
      </c>
      <c r="H99" s="137">
        <f>CAC!AC123</f>
        <v>45456</v>
      </c>
      <c r="I99" s="139"/>
      <c r="J99" s="139"/>
      <c r="K99" s="139"/>
      <c r="L99" s="139"/>
      <c r="M99" s="99" t="str">
        <f t="shared" ca="1" si="6"/>
        <v>Em dia</v>
      </c>
      <c r="N99" s="99" t="str">
        <f t="shared" ca="1" si="7"/>
        <v>Em dia</v>
      </c>
      <c r="O99" s="99" t="str">
        <f t="shared" ca="1" si="8"/>
        <v>N/A</v>
      </c>
      <c r="P99" s="137" t="str">
        <f t="shared" ca="1" si="9"/>
        <v>Em dia</v>
      </c>
    </row>
    <row r="100" spans="1:16" ht="33.75">
      <c r="A100" s="134" t="str">
        <f>CAC!A124</f>
        <v>SUBSEÇÃO JUDICIÁRIA DE CASTANHAL3</v>
      </c>
      <c r="B100" s="78" t="str">
        <f>CAC!C124</f>
        <v>0003533-22.2023.4.01.8010</v>
      </c>
      <c r="C100" s="135" t="str">
        <f>CAC!B124</f>
        <v>Aquisição de material/reposição de informática (materiais periféricos): R$ 5.000,00</v>
      </c>
      <c r="D100" s="136">
        <f t="shared" ca="1" si="5"/>
        <v>17</v>
      </c>
      <c r="E100" s="137">
        <f>CAC!W124</f>
        <v>45203</v>
      </c>
      <c r="F100" s="137">
        <f>CAC!X124</f>
        <v>45228</v>
      </c>
      <c r="G100" s="138" t="str">
        <f>CAC!AB124</f>
        <v>---</v>
      </c>
      <c r="H100" s="137">
        <f>CAC!AC124</f>
        <v>45274</v>
      </c>
      <c r="I100" s="139"/>
      <c r="J100" s="139"/>
      <c r="K100" s="139"/>
      <c r="L100" s="139"/>
      <c r="M100" s="99" t="str">
        <f t="shared" ca="1" si="6"/>
        <v>Pendência</v>
      </c>
      <c r="N100" s="99" t="str">
        <f t="shared" ca="1" si="7"/>
        <v>Pendência</v>
      </c>
      <c r="O100" s="99" t="str">
        <f t="shared" ca="1" si="8"/>
        <v>N/A</v>
      </c>
      <c r="P100" s="137" t="str">
        <f t="shared" ca="1" si="9"/>
        <v>Em dia</v>
      </c>
    </row>
    <row r="101" spans="1:16" ht="22.5">
      <c r="A101" s="134" t="str">
        <f>CAC!A125</f>
        <v>SUBSEÇÃO JUDICIÁRIA DE CASTANHAL4</v>
      </c>
      <c r="B101" s="78" t="str">
        <f>CAC!C125</f>
        <v>0003533-22.2023.4.01.8010</v>
      </c>
      <c r="C101" s="135" t="str">
        <f>CAC!B125</f>
        <v>Locação de imóvel que abriga a Subseção Judiciária de Castanhal</v>
      </c>
      <c r="D101" s="136">
        <f t="shared" ca="1" si="5"/>
        <v>17</v>
      </c>
      <c r="E101" s="137">
        <f>CAC!W125</f>
        <v>45205</v>
      </c>
      <c r="F101" s="137">
        <f>CAC!X125</f>
        <v>45230</v>
      </c>
      <c r="G101" s="138" t="str">
        <f>CAC!AB125</f>
        <v>---</v>
      </c>
      <c r="H101" s="137">
        <f>CAC!AC125</f>
        <v>45274</v>
      </c>
      <c r="I101" s="139"/>
      <c r="J101" s="139"/>
      <c r="K101" s="139"/>
      <c r="L101" s="139"/>
      <c r="M101" s="99" t="str">
        <f t="shared" ca="1" si="6"/>
        <v>Pendência</v>
      </c>
      <c r="N101" s="99" t="str">
        <f t="shared" ca="1" si="7"/>
        <v>Pendência</v>
      </c>
      <c r="O101" s="99" t="str">
        <f t="shared" ca="1" si="8"/>
        <v>N/A</v>
      </c>
      <c r="P101" s="137" t="str">
        <f t="shared" ca="1" si="9"/>
        <v>Em dia</v>
      </c>
    </row>
    <row r="102" spans="1:16" ht="15">
      <c r="A102" s="134" t="str">
        <f>CAC!A126</f>
        <v>SUBSEÇÃO JUDICIÁRIA DE CASTANHAL5</v>
      </c>
      <c r="B102" s="78" t="str">
        <f>CAC!C126</f>
        <v>0003533-22.2023.4.01.8010</v>
      </c>
      <c r="C102" s="135" t="str">
        <f>CAC!B126</f>
        <v>Aquisição de peças de centrais de ar.</v>
      </c>
      <c r="D102" s="136">
        <f t="shared" ca="1" si="5"/>
        <v>17</v>
      </c>
      <c r="E102" s="137">
        <f>CAC!W126</f>
        <v>45205</v>
      </c>
      <c r="F102" s="137">
        <f>CAC!X126</f>
        <v>45230</v>
      </c>
      <c r="G102" s="138" t="str">
        <f>CAC!AB126</f>
        <v>---</v>
      </c>
      <c r="H102" s="137">
        <f>CAC!AC126</f>
        <v>45274</v>
      </c>
      <c r="I102" s="139"/>
      <c r="J102" s="139"/>
      <c r="K102" s="139"/>
      <c r="L102" s="139"/>
      <c r="M102" s="99" t="str">
        <f t="shared" ca="1" si="6"/>
        <v>Pendência</v>
      </c>
      <c r="N102" s="99" t="str">
        <f t="shared" ca="1" si="7"/>
        <v>Pendência</v>
      </c>
      <c r="O102" s="99" t="str">
        <f t="shared" ca="1" si="8"/>
        <v>N/A</v>
      </c>
      <c r="P102" s="137" t="str">
        <f t="shared" ca="1" si="9"/>
        <v>Em dia</v>
      </c>
    </row>
    <row r="103" spans="1:16" ht="22.5">
      <c r="A103" s="134" t="str">
        <f>CAC!A127</f>
        <v>SUBSEÇÃO JUDICIÁRIA DE CASTANHAL6</v>
      </c>
      <c r="B103" s="78" t="str">
        <f>CAC!C127</f>
        <v>0003533-22.2023.4.01.8010</v>
      </c>
      <c r="C103" s="135" t="str">
        <f>CAC!B127</f>
        <v>Compra de equipamentos de informática:  6 scaners, 6 impressoras. </v>
      </c>
      <c r="D103" s="136">
        <f t="shared" ca="1" si="5"/>
        <v>352</v>
      </c>
      <c r="E103" s="137">
        <f>CAC!W127</f>
        <v>45538</v>
      </c>
      <c r="F103" s="137">
        <f>CAC!X127</f>
        <v>45563</v>
      </c>
      <c r="G103" s="138" t="str">
        <f>CAC!AB127</f>
        <v>---</v>
      </c>
      <c r="H103" s="137">
        <f>CAC!AC127</f>
        <v>45609</v>
      </c>
      <c r="I103" s="139"/>
      <c r="J103" s="139"/>
      <c r="K103" s="139"/>
      <c r="L103" s="139"/>
      <c r="M103" s="99" t="str">
        <f t="shared" ca="1" si="6"/>
        <v>Em dia</v>
      </c>
      <c r="N103" s="99" t="str">
        <f t="shared" ca="1" si="7"/>
        <v>Em dia</v>
      </c>
      <c r="O103" s="99" t="str">
        <f t="shared" ca="1" si="8"/>
        <v>N/A</v>
      </c>
      <c r="P103" s="137" t="str">
        <f t="shared" ca="1" si="9"/>
        <v>Em dia</v>
      </c>
    </row>
    <row r="104" spans="1:16" ht="22.5">
      <c r="A104" s="134" t="str">
        <f>CAC!A128</f>
        <v>SUBSEÇÃO JUDICIÁRIA DE CASTANHAL7</v>
      </c>
      <c r="B104" s="78" t="str">
        <f>CAC!C128</f>
        <v>0003533-22.2023.4.01.8010</v>
      </c>
      <c r="C104" s="135" t="str">
        <f>CAC!B128</f>
        <v>Compra de equipamentos de informática:  6 scaners, 6 impressoras. </v>
      </c>
      <c r="D104" s="136">
        <f t="shared" ca="1" si="5"/>
        <v>352</v>
      </c>
      <c r="E104" s="137">
        <f>CAC!W128</f>
        <v>45540</v>
      </c>
      <c r="F104" s="137">
        <f>CAC!X128</f>
        <v>45565</v>
      </c>
      <c r="G104" s="138" t="str">
        <f>CAC!AB128</f>
        <v>---</v>
      </c>
      <c r="H104" s="137">
        <f>CAC!AC128</f>
        <v>45609</v>
      </c>
      <c r="I104" s="139"/>
      <c r="J104" s="139"/>
      <c r="K104" s="139"/>
      <c r="L104" s="139"/>
      <c r="M104" s="99" t="str">
        <f t="shared" ca="1" si="6"/>
        <v>Em dia</v>
      </c>
      <c r="N104" s="99" t="str">
        <f t="shared" ca="1" si="7"/>
        <v>Em dia</v>
      </c>
      <c r="O104" s="99" t="str">
        <f t="shared" ca="1" si="8"/>
        <v>N/A</v>
      </c>
      <c r="P104" s="137" t="str">
        <f t="shared" ca="1" si="9"/>
        <v>Em dia</v>
      </c>
    </row>
    <row r="105" spans="1:16" ht="22.5">
      <c r="A105" s="134" t="str">
        <f>CAC!A129</f>
        <v>SUBSEÇÃO JUDICIÁRIA DE CASTANHAL8</v>
      </c>
      <c r="B105" s="78"/>
      <c r="C105" s="135" t="str">
        <f>CAC!B129</f>
        <v>Compra de equpamentos de informatica: 10 teclados, 10 mouses e 5 cabos HDMI.</v>
      </c>
      <c r="D105" s="136">
        <f t="shared" ca="1" si="5"/>
        <v>370</v>
      </c>
      <c r="E105" s="137">
        <f>CAC!W129</f>
        <v>45558</v>
      </c>
      <c r="F105" s="137">
        <f>CAC!X129</f>
        <v>45583</v>
      </c>
      <c r="G105" s="138" t="str">
        <f>CAC!AB129</f>
        <v>---</v>
      </c>
      <c r="H105" s="137">
        <f>CAC!AC129</f>
        <v>45627</v>
      </c>
      <c r="I105" s="139"/>
      <c r="J105" s="139"/>
      <c r="K105" s="139"/>
      <c r="L105" s="139"/>
      <c r="M105" s="99" t="str">
        <f t="shared" ca="1" si="6"/>
        <v>Em dia</v>
      </c>
      <c r="N105" s="99" t="str">
        <f t="shared" ca="1" si="7"/>
        <v>Em dia</v>
      </c>
      <c r="O105" s="99" t="str">
        <f t="shared" ca="1" si="8"/>
        <v>N/A</v>
      </c>
      <c r="P105" s="137" t="str">
        <f t="shared" ca="1" si="9"/>
        <v>Em dia</v>
      </c>
    </row>
    <row r="106" spans="1:16" ht="22.5">
      <c r="A106" s="134" t="str">
        <f>CAC!A130</f>
        <v>SUBSEÇÃO JUDICIÁRIA DE CASTANHAL9</v>
      </c>
      <c r="B106" s="78"/>
      <c r="C106" s="135" t="str">
        <f>CAC!B130</f>
        <v>Compra de equpamentos de informatica: 10 teclados, 10 mouses e 5 cabos HDMI.</v>
      </c>
      <c r="D106" s="136">
        <f t="shared" ca="1" si="5"/>
        <v>370</v>
      </c>
      <c r="E106" s="137">
        <f>CAC!W130</f>
        <v>45558</v>
      </c>
      <c r="F106" s="137">
        <f>CAC!X130</f>
        <v>45583</v>
      </c>
      <c r="G106" s="138" t="str">
        <f>CAC!AB130</f>
        <v>---</v>
      </c>
      <c r="H106" s="137">
        <f>CAC!AC130</f>
        <v>45627</v>
      </c>
      <c r="I106" s="139"/>
      <c r="J106" s="139"/>
      <c r="K106" s="139"/>
      <c r="L106" s="139"/>
      <c r="M106" s="99" t="str">
        <f t="shared" ca="1" si="6"/>
        <v>Em dia</v>
      </c>
      <c r="N106" s="99" t="str">
        <f t="shared" ca="1" si="7"/>
        <v>Em dia</v>
      </c>
      <c r="O106" s="99" t="str">
        <f t="shared" ca="1" si="8"/>
        <v>N/A</v>
      </c>
      <c r="P106" s="137" t="str">
        <f t="shared" ca="1" si="9"/>
        <v>Em dia</v>
      </c>
    </row>
    <row r="107" spans="1:16" ht="22.5">
      <c r="A107" s="134" t="str">
        <f>CAC!A131</f>
        <v>SUBSEÇÃO JUDICIÁRIA DE CASTANHAL10</v>
      </c>
      <c r="B107" s="78"/>
      <c r="C107" s="135" t="str">
        <f>CAC!B131</f>
        <v>Aquisição de persianas para SSJCAH - 1º e 2º andar</v>
      </c>
      <c r="D107" s="136">
        <f t="shared" ca="1" si="5"/>
        <v>370</v>
      </c>
      <c r="E107" s="137">
        <f>CAC!W131</f>
        <v>45558</v>
      </c>
      <c r="F107" s="137">
        <f>CAC!X131</f>
        <v>45583</v>
      </c>
      <c r="G107" s="138" t="str">
        <f>CAC!AB131</f>
        <v>---</v>
      </c>
      <c r="H107" s="137">
        <f>CAC!AC131</f>
        <v>45627</v>
      </c>
      <c r="I107" s="139"/>
      <c r="J107" s="139"/>
      <c r="K107" s="139"/>
      <c r="L107" s="139"/>
      <c r="M107" s="99" t="str">
        <f t="shared" ca="1" si="6"/>
        <v>Em dia</v>
      </c>
      <c r="N107" s="99" t="str">
        <f t="shared" ca="1" si="7"/>
        <v>Em dia</v>
      </c>
      <c r="O107" s="99" t="str">
        <f t="shared" ca="1" si="8"/>
        <v>N/A</v>
      </c>
      <c r="P107" s="137" t="str">
        <f t="shared" ca="1" si="9"/>
        <v>Em dia</v>
      </c>
    </row>
    <row r="108" spans="1:16" ht="15">
      <c r="A108" s="134" t="str">
        <f>CAC!A132</f>
        <v>SUBSEÇÃO JUDICIÁRIA DE CASTANHAL11</v>
      </c>
      <c r="B108" s="78"/>
      <c r="C108" s="135" t="str">
        <f>CAC!B132</f>
        <v>Recarga de Extintores</v>
      </c>
      <c r="D108" s="136">
        <f t="shared" ca="1" si="5"/>
        <v>48</v>
      </c>
      <c r="E108" s="137">
        <f>CAC!W132</f>
        <v>45236</v>
      </c>
      <c r="F108" s="137">
        <f>CAC!X132</f>
        <v>45261</v>
      </c>
      <c r="G108" s="138" t="str">
        <f>CAC!AB132</f>
        <v>---</v>
      </c>
      <c r="H108" s="137">
        <f>CAC!AC132</f>
        <v>45305</v>
      </c>
      <c r="I108" s="139"/>
      <c r="J108" s="139"/>
      <c r="K108" s="139"/>
      <c r="L108" s="139"/>
      <c r="M108" s="99" t="str">
        <f t="shared" ca="1" si="6"/>
        <v>Pendência</v>
      </c>
      <c r="N108" s="99" t="str">
        <f t="shared" ca="1" si="7"/>
        <v>Em dia</v>
      </c>
      <c r="O108" s="99" t="str">
        <f t="shared" ca="1" si="8"/>
        <v>N/A</v>
      </c>
      <c r="P108" s="137" t="str">
        <f t="shared" ca="1" si="9"/>
        <v>Em dia</v>
      </c>
    </row>
    <row r="109" spans="1:16" ht="15">
      <c r="A109" s="134" t="str">
        <f>CAC!A133</f>
        <v>SUBSEÇÃO JUDICIÁRIA DE CASTANHAL12</v>
      </c>
      <c r="B109" s="78"/>
      <c r="C109" s="135" t="str">
        <f>CAC!B133</f>
        <v>Recarga de Extintores</v>
      </c>
      <c r="D109" s="136">
        <f t="shared" ca="1" si="5"/>
        <v>48</v>
      </c>
      <c r="E109" s="137">
        <f>CAC!W133</f>
        <v>45236</v>
      </c>
      <c r="F109" s="137">
        <f>CAC!X133</f>
        <v>45261</v>
      </c>
      <c r="G109" s="138" t="str">
        <f>CAC!AB133</f>
        <v>---</v>
      </c>
      <c r="H109" s="137">
        <f>CAC!AC133</f>
        <v>45305</v>
      </c>
      <c r="I109" s="139"/>
      <c r="J109" s="139"/>
      <c r="K109" s="139"/>
      <c r="L109" s="139"/>
      <c r="M109" s="99" t="str">
        <f t="shared" ca="1" si="6"/>
        <v>Pendência</v>
      </c>
      <c r="N109" s="99" t="str">
        <f t="shared" ca="1" si="7"/>
        <v>Em dia</v>
      </c>
      <c r="O109" s="99" t="str">
        <f t="shared" ca="1" si="8"/>
        <v>N/A</v>
      </c>
      <c r="P109" s="137" t="str">
        <f t="shared" ca="1" si="9"/>
        <v>Em dia</v>
      </c>
    </row>
    <row r="110" spans="1:16" ht="56.25">
      <c r="A110" s="134" t="str">
        <f>CAC!A134</f>
        <v>SUBSEÇÃO JUDICIÁRIA DE CASTANHAL13</v>
      </c>
      <c r="B110" s="78"/>
      <c r="C110" s="135" t="str">
        <f>CAC!B134</f>
        <v> Aquisição de aparelhos de ar condicionado, capacidade refrigeração: 60.000 BTUs e 45.000 BTUs, tensão: 220 v, tipo: split, características adicionais 1: controle remoto sem fio, inverter </v>
      </c>
      <c r="D110" s="136">
        <f t="shared" ca="1" si="5"/>
        <v>261</v>
      </c>
      <c r="E110" s="137">
        <f>CAC!W134</f>
        <v>45449</v>
      </c>
      <c r="F110" s="137">
        <f>CAC!X134</f>
        <v>45474</v>
      </c>
      <c r="G110" s="138" t="str">
        <f>CAC!AB134</f>
        <v>---</v>
      </c>
      <c r="H110" s="137">
        <f>CAC!AC134</f>
        <v>45518</v>
      </c>
      <c r="I110" s="139"/>
      <c r="J110" s="139"/>
      <c r="K110" s="139"/>
      <c r="L110" s="139"/>
      <c r="M110" s="99" t="str">
        <f t="shared" ca="1" si="6"/>
        <v>Em dia</v>
      </c>
      <c r="N110" s="99" t="str">
        <f t="shared" ca="1" si="7"/>
        <v>Em dia</v>
      </c>
      <c r="O110" s="99" t="str">
        <f t="shared" ca="1" si="8"/>
        <v>N/A</v>
      </c>
      <c r="P110" s="137" t="str">
        <f t="shared" ca="1" si="9"/>
        <v>Em dia</v>
      </c>
    </row>
    <row r="111" spans="1:16" ht="56.25">
      <c r="A111" s="134" t="str">
        <f>CAC!A135</f>
        <v>SUBSEÇÃO JUDICIÁRIA DE CASTANHAL14</v>
      </c>
      <c r="B111" s="78"/>
      <c r="C111" s="135" t="str">
        <f>CAC!B135</f>
        <v> Aquisição de aparelhos de ar condicionado, capacidade refrigeração: 60.000 BTUs e 45.000 BTUs, tensão: 220 v, tipo: split, características adicionais 1: controle remoto sem fio, inverter </v>
      </c>
      <c r="D111" s="136">
        <f t="shared" ca="1" si="5"/>
        <v>261</v>
      </c>
      <c r="E111" s="137">
        <f>CAC!W135</f>
        <v>45449</v>
      </c>
      <c r="F111" s="137">
        <f>CAC!X135</f>
        <v>45474</v>
      </c>
      <c r="G111" s="138" t="str">
        <f>CAC!AB135</f>
        <v>---</v>
      </c>
      <c r="H111" s="137">
        <f>CAC!AC135</f>
        <v>45518</v>
      </c>
      <c r="I111" s="139"/>
      <c r="J111" s="139"/>
      <c r="K111" s="139"/>
      <c r="L111" s="139"/>
      <c r="M111" s="99" t="str">
        <f t="shared" ca="1" si="6"/>
        <v>Em dia</v>
      </c>
      <c r="N111" s="99" t="str">
        <f t="shared" ca="1" si="7"/>
        <v>Em dia</v>
      </c>
      <c r="O111" s="99" t="str">
        <f t="shared" ca="1" si="8"/>
        <v>N/A</v>
      </c>
      <c r="P111" s="137" t="str">
        <f t="shared" ca="1" si="9"/>
        <v>Em dia</v>
      </c>
    </row>
    <row r="112" spans="1:16" ht="22.5">
      <c r="A112" s="134" t="str">
        <f>CAC!A136</f>
        <v>SUBSEÇÃO JUDICIÁRIA DE CASTANHAL15</v>
      </c>
      <c r="B112" s="78"/>
      <c r="C112" s="135" t="str">
        <f>CAC!B136</f>
        <v>Instalação de ar condicionados de 18.000 e 22.000 btus</v>
      </c>
      <c r="D112" s="136">
        <f t="shared" ca="1" si="5"/>
        <v>370</v>
      </c>
      <c r="E112" s="137">
        <f>CAC!W136</f>
        <v>45558</v>
      </c>
      <c r="F112" s="137">
        <f>CAC!X136</f>
        <v>45583</v>
      </c>
      <c r="G112" s="138" t="str">
        <f>CAC!AB136</f>
        <v>---</v>
      </c>
      <c r="H112" s="137">
        <f>CAC!AC136</f>
        <v>45627</v>
      </c>
      <c r="I112" s="139"/>
      <c r="J112" s="139"/>
      <c r="K112" s="139"/>
      <c r="L112" s="139"/>
      <c r="M112" s="99" t="str">
        <f t="shared" ca="1" si="6"/>
        <v>Em dia</v>
      </c>
      <c r="N112" s="99" t="str">
        <f t="shared" ca="1" si="7"/>
        <v>Em dia</v>
      </c>
      <c r="O112" s="99" t="str">
        <f t="shared" ca="1" si="8"/>
        <v>N/A</v>
      </c>
      <c r="P112" s="137" t="str">
        <f t="shared" ca="1" si="9"/>
        <v>Em dia</v>
      </c>
    </row>
    <row r="113" spans="1:16" ht="22.5">
      <c r="A113" s="134" t="str">
        <f>CAC!A137</f>
        <v>SUBSEÇÃO JUDICIÁRIA DE CASTANHAL16</v>
      </c>
      <c r="B113" s="78"/>
      <c r="C113" s="135" t="str">
        <f>CAC!B137</f>
        <v>Gás Refrigerante R410A em cilindro de 11,3kg</v>
      </c>
      <c r="D113" s="136">
        <f t="shared" ca="1" si="5"/>
        <v>48</v>
      </c>
      <c r="E113" s="137">
        <f>CAC!W137</f>
        <v>45236</v>
      </c>
      <c r="F113" s="137">
        <f>CAC!X137</f>
        <v>45261</v>
      </c>
      <c r="G113" s="138" t="str">
        <f>CAC!AB137</f>
        <v>---</v>
      </c>
      <c r="H113" s="137">
        <f>CAC!AC137</f>
        <v>45305</v>
      </c>
      <c r="I113" s="139"/>
      <c r="J113" s="139"/>
      <c r="K113" s="139"/>
      <c r="L113" s="139"/>
      <c r="M113" s="99" t="str">
        <f t="shared" ca="1" si="6"/>
        <v>Pendência</v>
      </c>
      <c r="N113" s="99" t="str">
        <f t="shared" ca="1" si="7"/>
        <v>Em dia</v>
      </c>
      <c r="O113" s="99" t="str">
        <f t="shared" ca="1" si="8"/>
        <v>N/A</v>
      </c>
      <c r="P113" s="137" t="str">
        <f t="shared" ca="1" si="9"/>
        <v>Em dia</v>
      </c>
    </row>
    <row r="114" spans="1:16" ht="15">
      <c r="A114" s="134" t="str">
        <f>CAC!A138</f>
        <v>SUBSEÇÃO JUDICIÁRIA DE CASTANHAL17</v>
      </c>
      <c r="B114" s="78"/>
      <c r="C114" s="135" t="str">
        <f>CAC!B138</f>
        <v>Limpeza e higienização de cisternas.</v>
      </c>
      <c r="D114" s="136">
        <f t="shared" ca="1" si="5"/>
        <v>199</v>
      </c>
      <c r="E114" s="137">
        <f>CAC!W138</f>
        <v>45387</v>
      </c>
      <c r="F114" s="137">
        <f>CAC!X138</f>
        <v>45412</v>
      </c>
      <c r="G114" s="138" t="str">
        <f>CAC!AB138</f>
        <v>---</v>
      </c>
      <c r="H114" s="137">
        <f>CAC!AC138</f>
        <v>45456</v>
      </c>
      <c r="I114" s="139"/>
      <c r="J114" s="139"/>
      <c r="K114" s="139"/>
      <c r="L114" s="139"/>
      <c r="M114" s="99" t="str">
        <f t="shared" ca="1" si="6"/>
        <v>Em dia</v>
      </c>
      <c r="N114" s="99" t="str">
        <f t="shared" ca="1" si="7"/>
        <v>Em dia</v>
      </c>
      <c r="O114" s="99" t="str">
        <f t="shared" ca="1" si="8"/>
        <v>N/A</v>
      </c>
      <c r="P114" s="137" t="str">
        <f t="shared" ca="1" si="9"/>
        <v>Em dia</v>
      </c>
    </row>
    <row r="115" spans="1:16" ht="168.75">
      <c r="A115" s="134" t="str">
        <f>CAC!A139</f>
        <v>SUBSEÇÃO JUDICIÁRIA DE CASTANHAL18</v>
      </c>
      <c r="B115" s="78"/>
      <c r="C115" s="135" t="str">
        <f>CAC!B139</f>
        <v>Cadeira giratória espaldar com encosto revestido em tela flexível, com apoio lombar independente regulável na altura. Com apoio de braços regulável em altura e ângulo(acabamento em resina plástica). Com assento em tela de alta performance. Com ajuste de altura do assento e inclinação do encosto em 3 pontos de parada. Base da cadeira injetada em resina termostática de alta resistência e alta qualidade, com rodinhas de 55mm de diâmetro, indicado para qualquer tipo de piso. Assento, encosto, apoio de braço e base na cor preta.</v>
      </c>
      <c r="D115" s="136">
        <f t="shared" ca="1" si="5"/>
        <v>48</v>
      </c>
      <c r="E115" s="137">
        <f>CAC!W139</f>
        <v>45236</v>
      </c>
      <c r="F115" s="137">
        <f>CAC!X139</f>
        <v>45261</v>
      </c>
      <c r="G115" s="138" t="str">
        <f>CAC!AB139</f>
        <v>---</v>
      </c>
      <c r="H115" s="137">
        <f>CAC!AC139</f>
        <v>45305</v>
      </c>
      <c r="I115" s="139"/>
      <c r="J115" s="139"/>
      <c r="K115" s="139"/>
      <c r="L115" s="139"/>
      <c r="M115" s="99" t="str">
        <f t="shared" ca="1" si="6"/>
        <v>Pendência</v>
      </c>
      <c r="N115" s="99" t="str">
        <f t="shared" ca="1" si="7"/>
        <v>Em dia</v>
      </c>
      <c r="O115" s="99" t="str">
        <f t="shared" ca="1" si="8"/>
        <v>N/A</v>
      </c>
      <c r="P115" s="137" t="str">
        <f t="shared" ca="1" si="9"/>
        <v>Em dia</v>
      </c>
    </row>
    <row r="116" spans="1:16" ht="15">
      <c r="A116" s="134" t="str">
        <f>CAC!A140</f>
        <v>SUBSEÇÃO JUDICIÁRIA DE CASTANHAL19</v>
      </c>
      <c r="B116" s="78"/>
      <c r="C116" s="135" t="str">
        <f>CAC!B140</f>
        <v>Serviço de Locação de copiadora</v>
      </c>
      <c r="D116" s="136">
        <f t="shared" ca="1" si="5"/>
        <v>17</v>
      </c>
      <c r="E116" s="137">
        <f>CAC!W140</f>
        <v>45186</v>
      </c>
      <c r="F116" s="137">
        <f>CAC!X140</f>
        <v>45211</v>
      </c>
      <c r="G116" s="138" t="str">
        <f>CAC!AB140</f>
        <v>---</v>
      </c>
      <c r="H116" s="137">
        <f>CAC!AC140</f>
        <v>45274</v>
      </c>
      <c r="I116" s="139"/>
      <c r="J116" s="139"/>
      <c r="K116" s="139"/>
      <c r="L116" s="139"/>
      <c r="M116" s="99" t="str">
        <f t="shared" ca="1" si="6"/>
        <v>Pendência</v>
      </c>
      <c r="N116" s="99" t="str">
        <f t="shared" ca="1" si="7"/>
        <v>Pendência</v>
      </c>
      <c r="O116" s="99" t="str">
        <f t="shared" ca="1" si="8"/>
        <v>N/A</v>
      </c>
      <c r="P116" s="137" t="str">
        <f t="shared" ca="1" si="9"/>
        <v>Em dia</v>
      </c>
    </row>
    <row r="117" spans="1:16" ht="15">
      <c r="A117" s="134" t="str">
        <f>CAC!A141</f>
        <v>SUBSEÇÃO JUDICIÁRIA DE CASTANHAL20</v>
      </c>
      <c r="B117" s="78"/>
      <c r="C117" s="135" t="str">
        <f>CAC!B141</f>
        <v>Serviço de dedetização e desratização</v>
      </c>
      <c r="D117" s="136">
        <f t="shared" ca="1" si="5"/>
        <v>352</v>
      </c>
      <c r="E117" s="137">
        <f>CAC!W141</f>
        <v>45540</v>
      </c>
      <c r="F117" s="137">
        <f>CAC!X141</f>
        <v>45565</v>
      </c>
      <c r="G117" s="138" t="str">
        <f>CAC!AB141</f>
        <v>---</v>
      </c>
      <c r="H117" s="137">
        <f>CAC!AC141</f>
        <v>45609</v>
      </c>
      <c r="I117" s="139"/>
      <c r="J117" s="139"/>
      <c r="K117" s="139"/>
      <c r="L117" s="139"/>
      <c r="M117" s="99" t="str">
        <f t="shared" ca="1" si="6"/>
        <v>Em dia</v>
      </c>
      <c r="N117" s="99" t="str">
        <f t="shared" ca="1" si="7"/>
        <v>Em dia</v>
      </c>
      <c r="O117" s="99" t="str">
        <f t="shared" ca="1" si="8"/>
        <v>N/A</v>
      </c>
      <c r="P117" s="137" t="str">
        <f t="shared" ca="1" si="9"/>
        <v>Em dia</v>
      </c>
    </row>
    <row r="118" spans="1:16" ht="45">
      <c r="A118" s="134" t="str">
        <f>CAC!A142</f>
        <v>SUBSEÇÃO JUDICIÁRIA DE CASTANHAL21</v>
      </c>
      <c r="B118" s="78"/>
      <c r="C118" s="135" t="str">
        <f>CAC!B142</f>
        <v>Cofre de tamanho médio, para fins de acautelamento de armar de fogo pequenas ou itens apreendidos (moedas falsas, passaportes, CNH e outros)</v>
      </c>
      <c r="D118" s="136">
        <f t="shared" ca="1" si="5"/>
        <v>374</v>
      </c>
      <c r="E118" s="137">
        <f>CAC!W142</f>
        <v>45562</v>
      </c>
      <c r="F118" s="137">
        <f>CAC!X142</f>
        <v>45587</v>
      </c>
      <c r="G118" s="138" t="str">
        <f>CAC!AB142</f>
        <v>---</v>
      </c>
      <c r="H118" s="137">
        <f>CAC!AC142</f>
        <v>45631</v>
      </c>
      <c r="I118" s="139"/>
      <c r="J118" s="139"/>
      <c r="K118" s="139"/>
      <c r="L118" s="139"/>
      <c r="M118" s="99" t="str">
        <f t="shared" ca="1" si="6"/>
        <v>Em dia</v>
      </c>
      <c r="N118" s="99" t="str">
        <f t="shared" ca="1" si="7"/>
        <v>Em dia</v>
      </c>
      <c r="O118" s="99" t="str">
        <f t="shared" ca="1" si="8"/>
        <v>N/A</v>
      </c>
      <c r="P118" s="137" t="str">
        <f t="shared" ca="1" si="9"/>
        <v>Em dia</v>
      </c>
    </row>
    <row r="119" spans="1:16" ht="56.25">
      <c r="A119" s="134" t="str">
        <f>CAC!A143</f>
        <v>SUBSEÇÃO JUDICIÁRIA DE CASTANHAL22</v>
      </c>
      <c r="B119" s="78"/>
      <c r="C119" s="135" t="str">
        <f>CAC!B143</f>
        <v>Instalação de cofre de tamanho médio, para fins de acautelamento de armar de fogo pequenas ou itens apreendidos (moedas falsas, passaportes, CNH e outros)</v>
      </c>
      <c r="D119" s="136">
        <f t="shared" ca="1" si="5"/>
        <v>374</v>
      </c>
      <c r="E119" s="137">
        <f>CAC!W143</f>
        <v>45562</v>
      </c>
      <c r="F119" s="137">
        <f>CAC!X143</f>
        <v>45587</v>
      </c>
      <c r="G119" s="138" t="str">
        <f>CAC!AB143</f>
        <v>---</v>
      </c>
      <c r="H119" s="137">
        <f>CAC!AC143</f>
        <v>45631</v>
      </c>
      <c r="I119" s="139"/>
      <c r="J119" s="139"/>
      <c r="K119" s="139"/>
      <c r="L119" s="139"/>
      <c r="M119" s="99" t="str">
        <f t="shared" ca="1" si="6"/>
        <v>Em dia</v>
      </c>
      <c r="N119" s="99" t="str">
        <f t="shared" ca="1" si="7"/>
        <v>Em dia</v>
      </c>
      <c r="O119" s="99" t="str">
        <f t="shared" ca="1" si="8"/>
        <v>N/A</v>
      </c>
      <c r="P119" s="137" t="str">
        <f t="shared" ca="1" si="9"/>
        <v>Em dia</v>
      </c>
    </row>
    <row r="120" spans="1:16" ht="15">
      <c r="A120" s="134" t="str">
        <f>CAC!A144</f>
        <v>SUBSEÇÃO JUDICIÁRIA DE CASTANHAL23</v>
      </c>
      <c r="B120" s="78"/>
      <c r="C120" s="135" t="str">
        <f>CAC!B144</f>
        <v/>
      </c>
      <c r="D120" s="136" t="e">
        <f t="shared" ca="1" si="5"/>
        <v>#VALUE!</v>
      </c>
      <c r="E120" s="137" t="str">
        <f>CAC!W144</f>
        <v>---</v>
      </c>
      <c r="F120" s="137" t="str">
        <f>CAC!X144</f>
        <v>---</v>
      </c>
      <c r="G120" s="138" t="str">
        <f>CAC!AB144</f>
        <v>---</v>
      </c>
      <c r="H120" s="137" t="str">
        <f>CAC!AC144</f>
        <v>---</v>
      </c>
      <c r="I120" s="139"/>
      <c r="J120" s="139"/>
      <c r="K120" s="139"/>
      <c r="L120" s="139"/>
      <c r="M120" s="99" t="str">
        <f t="shared" ca="1" si="6"/>
        <v>N/A</v>
      </c>
      <c r="N120" s="99" t="str">
        <f t="shared" ca="1" si="7"/>
        <v>N/A</v>
      </c>
      <c r="O120" s="99" t="str">
        <f t="shared" ca="1" si="8"/>
        <v>N/A</v>
      </c>
      <c r="P120" s="137" t="e">
        <f t="shared" ca="1" si="9"/>
        <v>#VALUE!</v>
      </c>
    </row>
    <row r="121" spans="1:16" ht="22.5">
      <c r="A121" s="134" t="str">
        <f>CAC!A145</f>
        <v>SUBSEÇÃO JUDICIÁRIA DE ITAITUBA1</v>
      </c>
      <c r="B121" s="78" t="str">
        <f>CAC!C145</f>
        <v>0003377-34.2023.4.01.8010</v>
      </c>
      <c r="C121" s="135" t="str">
        <f>CAC!B145</f>
        <v>Necessidade básica dos servidores e clientes do consumo de água potável</v>
      </c>
      <c r="D121" s="136">
        <f t="shared" ca="1" si="5"/>
        <v>17</v>
      </c>
      <c r="E121" s="137">
        <f>CAC!W145</f>
        <v>45203</v>
      </c>
      <c r="F121" s="137">
        <f>CAC!X145</f>
        <v>45228</v>
      </c>
      <c r="G121" s="138" t="str">
        <f>CAC!AB145</f>
        <v>---</v>
      </c>
      <c r="H121" s="137">
        <f>CAC!AC145</f>
        <v>45274</v>
      </c>
      <c r="I121" s="139"/>
      <c r="J121" s="139"/>
      <c r="K121" s="139"/>
      <c r="L121" s="139"/>
      <c r="M121" s="99" t="str">
        <f t="shared" ca="1" si="6"/>
        <v>Pendência</v>
      </c>
      <c r="N121" s="99" t="str">
        <f t="shared" ca="1" si="7"/>
        <v>Pendência</v>
      </c>
      <c r="O121" s="99" t="str">
        <f t="shared" ca="1" si="8"/>
        <v>N/A</v>
      </c>
      <c r="P121" s="137" t="str">
        <f t="shared" ca="1" si="9"/>
        <v>Em dia</v>
      </c>
    </row>
    <row r="122" spans="1:16" ht="22.5">
      <c r="A122" s="134" t="str">
        <f>CAC!A146</f>
        <v>SUBSEÇÃO JUDICIÁRIA DE ITAITUBA2</v>
      </c>
      <c r="B122" s="78" t="str">
        <f>CAC!C146</f>
        <v>0003377-34.2023.4.01.8010</v>
      </c>
      <c r="C122" s="135" t="str">
        <f>CAC!B146</f>
        <v>Necessidade básica dos servidores e clientes do consumo de água potável</v>
      </c>
      <c r="D122" s="136">
        <f t="shared" ca="1" si="5"/>
        <v>17</v>
      </c>
      <c r="E122" s="137">
        <f>CAC!W146</f>
        <v>45203</v>
      </c>
      <c r="F122" s="137">
        <f>CAC!X146</f>
        <v>45228</v>
      </c>
      <c r="G122" s="138" t="str">
        <f>CAC!AB146</f>
        <v>---</v>
      </c>
      <c r="H122" s="137">
        <f>CAC!AC146</f>
        <v>45274</v>
      </c>
      <c r="I122" s="139"/>
      <c r="J122" s="139"/>
      <c r="K122" s="139"/>
      <c r="L122" s="139"/>
      <c r="M122" s="99" t="str">
        <f t="shared" ca="1" si="6"/>
        <v>Pendência</v>
      </c>
      <c r="N122" s="99" t="str">
        <f t="shared" ca="1" si="7"/>
        <v>Pendência</v>
      </c>
      <c r="O122" s="99" t="str">
        <f t="shared" ca="1" si="8"/>
        <v>N/A</v>
      </c>
      <c r="P122" s="137" t="str">
        <f t="shared" ca="1" si="9"/>
        <v>Em dia</v>
      </c>
    </row>
    <row r="123" spans="1:16" ht="22.5">
      <c r="A123" s="134" t="str">
        <f>CAC!A147</f>
        <v>SUBSEÇÃO JUDICIÁRIA DE ITAITUBA3</v>
      </c>
      <c r="B123" s="78" t="str">
        <f>CAC!C147</f>
        <v>0003377-34.2023.4.01.8010</v>
      </c>
      <c r="C123" s="135" t="str">
        <f>CAC!B147</f>
        <v>Abrigo e acomodação física da Sede da Subseção</v>
      </c>
      <c r="D123" s="136">
        <f t="shared" ca="1" si="5"/>
        <v>17</v>
      </c>
      <c r="E123" s="137">
        <f>CAC!W147</f>
        <v>45203</v>
      </c>
      <c r="F123" s="137">
        <f>CAC!X147</f>
        <v>45228</v>
      </c>
      <c r="G123" s="138" t="str">
        <f>CAC!AB147</f>
        <v>---</v>
      </c>
      <c r="H123" s="137">
        <f>CAC!AC147</f>
        <v>45274</v>
      </c>
      <c r="I123" s="139"/>
      <c r="J123" s="139"/>
      <c r="K123" s="139"/>
      <c r="L123" s="139"/>
      <c r="M123" s="99" t="str">
        <f t="shared" ca="1" si="6"/>
        <v>Pendência</v>
      </c>
      <c r="N123" s="99" t="str">
        <f t="shared" ca="1" si="7"/>
        <v>Pendência</v>
      </c>
      <c r="O123" s="99" t="str">
        <f t="shared" ca="1" si="8"/>
        <v>N/A</v>
      </c>
      <c r="P123" s="137" t="str">
        <f t="shared" ca="1" si="9"/>
        <v>Em dia</v>
      </c>
    </row>
    <row r="124" spans="1:16" ht="22.5">
      <c r="A124" s="134" t="str">
        <f>CAC!A149</f>
        <v>SUBSEÇÃO JUDICIÁRIA DE ITAITUBA5</v>
      </c>
      <c r="B124" s="78" t="str">
        <f>CAC!C149</f>
        <v>0003377-34.2023.4.01.8010</v>
      </c>
      <c r="C124" s="135" t="str">
        <f>CAC!B149</f>
        <v>Desgaste de equipamento e poluição ambiental pelo uso do gerador</v>
      </c>
      <c r="D124" s="136">
        <f t="shared" ca="1" si="5"/>
        <v>199</v>
      </c>
      <c r="E124" s="137">
        <f>CAC!W149</f>
        <v>45387</v>
      </c>
      <c r="F124" s="137">
        <f>CAC!X149</f>
        <v>45412</v>
      </c>
      <c r="G124" s="138" t="str">
        <f>CAC!AB149</f>
        <v>---</v>
      </c>
      <c r="H124" s="137">
        <f>CAC!AC149</f>
        <v>45456</v>
      </c>
      <c r="I124" s="139"/>
      <c r="J124" s="139"/>
      <c r="K124" s="139"/>
      <c r="L124" s="139"/>
      <c r="M124" s="99" t="str">
        <f t="shared" ca="1" si="6"/>
        <v>Em dia</v>
      </c>
      <c r="N124" s="99" t="str">
        <f t="shared" ca="1" si="7"/>
        <v>Em dia</v>
      </c>
      <c r="O124" s="99" t="str">
        <f t="shared" ca="1" si="8"/>
        <v>N/A</v>
      </c>
      <c r="P124" s="137" t="str">
        <f t="shared" ca="1" si="9"/>
        <v>Em dia</v>
      </c>
    </row>
    <row r="125" spans="1:16" ht="33.75">
      <c r="A125" s="134" t="str">
        <f>CAC!A150</f>
        <v>SUBSEÇÃO JUDICIÁRIA DE ITAITUBA6</v>
      </c>
      <c r="B125" s="78" t="str">
        <f>CAC!C150</f>
        <v>0003377-34.2023.4.01.8010</v>
      </c>
      <c r="C125" s="135" t="str">
        <f>CAC!B150</f>
        <v>Desgaste de equipamento e poluição ambiental pelo uso de aparelhos de refrigeração (Ar condicionados)</v>
      </c>
      <c r="D125" s="136">
        <f t="shared" ca="1" si="5"/>
        <v>17</v>
      </c>
      <c r="E125" s="137">
        <f>CAC!W150</f>
        <v>45205</v>
      </c>
      <c r="F125" s="137">
        <f>CAC!X150</f>
        <v>45230</v>
      </c>
      <c r="G125" s="138" t="str">
        <f>CAC!AB150</f>
        <v>---</v>
      </c>
      <c r="H125" s="137">
        <f>CAC!AC150</f>
        <v>45274</v>
      </c>
      <c r="I125" s="139"/>
      <c r="J125" s="139"/>
      <c r="K125" s="139"/>
      <c r="L125" s="139"/>
      <c r="M125" s="99" t="str">
        <f t="shared" ca="1" si="6"/>
        <v>Pendência</v>
      </c>
      <c r="N125" s="99" t="str">
        <f t="shared" ca="1" si="7"/>
        <v>Pendência</v>
      </c>
      <c r="O125" s="99" t="str">
        <f t="shared" ca="1" si="8"/>
        <v>N/A</v>
      </c>
      <c r="P125" s="137" t="str">
        <f t="shared" ca="1" si="9"/>
        <v>Em dia</v>
      </c>
    </row>
    <row r="126" spans="1:16" ht="22.5">
      <c r="A126" s="134" t="str">
        <f>CAC!A151</f>
        <v>SUBSEÇÃO JUDICIÁRIA DE ITAITUBA7</v>
      </c>
      <c r="B126" s="78" t="str">
        <f>CAC!C151</f>
        <v>0003377-34.2023.4.01.8010</v>
      </c>
      <c r="C126" s="135" t="str">
        <f>CAC!B151</f>
        <v>Realização de Audiência remota, via internet, de forma efetiva e confiável. </v>
      </c>
      <c r="D126" s="136">
        <f t="shared" ca="1" si="5"/>
        <v>119</v>
      </c>
      <c r="E126" s="137">
        <f>CAC!W151</f>
        <v>45305</v>
      </c>
      <c r="F126" s="137">
        <f>CAC!X151</f>
        <v>45330</v>
      </c>
      <c r="G126" s="138" t="str">
        <f>CAC!AB151</f>
        <v>---</v>
      </c>
      <c r="H126" s="137">
        <f>CAC!AC151</f>
        <v>45376</v>
      </c>
      <c r="I126" s="139"/>
      <c r="J126" s="139"/>
      <c r="K126" s="139"/>
      <c r="L126" s="139"/>
      <c r="M126" s="99" t="str">
        <f t="shared" ca="1" si="6"/>
        <v>Em dia</v>
      </c>
      <c r="N126" s="99" t="str">
        <f t="shared" ca="1" si="7"/>
        <v>Em dia</v>
      </c>
      <c r="O126" s="99" t="str">
        <f t="shared" ca="1" si="8"/>
        <v>N/A</v>
      </c>
      <c r="P126" s="137" t="str">
        <f t="shared" ca="1" si="9"/>
        <v>Em dia</v>
      </c>
    </row>
    <row r="127" spans="1:16" ht="22.5">
      <c r="A127" s="134" t="str">
        <f>CAC!A152</f>
        <v>SUBSEÇÃO JUDICIÁRIA DE MARABÁ1</v>
      </c>
      <c r="B127" s="78" t="str">
        <f>CAC!C152</f>
        <v>0003289-93.2023.4.01.8010</v>
      </c>
      <c r="C127" s="135" t="str">
        <f>CAC!B152</f>
        <v>Manutenção preventiva e corretiva de elevadores</v>
      </c>
      <c r="D127" s="136">
        <f t="shared" ca="1" si="5"/>
        <v>17</v>
      </c>
      <c r="E127" s="138" t="str">
        <f>CAC!W152</f>
        <v>---</v>
      </c>
      <c r="F127" s="138" t="str">
        <f>CAC!X152</f>
        <v>---</v>
      </c>
      <c r="G127" s="137">
        <f>CAC!AB152</f>
        <v>45214</v>
      </c>
      <c r="H127" s="137">
        <f>CAC!AC152</f>
        <v>45274</v>
      </c>
      <c r="I127" s="139"/>
      <c r="J127" s="139"/>
      <c r="K127" s="139"/>
      <c r="L127" s="139"/>
      <c r="M127" s="99" t="str">
        <f t="shared" ca="1" si="6"/>
        <v>N/A</v>
      </c>
      <c r="N127" s="99" t="str">
        <f t="shared" ca="1" si="7"/>
        <v>N/A</v>
      </c>
      <c r="O127" s="99" t="str">
        <f t="shared" ca="1" si="8"/>
        <v>Pendência</v>
      </c>
      <c r="P127" s="137" t="str">
        <f t="shared" ca="1" si="9"/>
        <v>Em dia</v>
      </c>
    </row>
    <row r="128" spans="1:16" ht="15">
      <c r="A128" s="134" t="str">
        <f>CAC!A153</f>
        <v>SUBSEÇÃO JUDICIÁRIA DE MARABÁ2</v>
      </c>
      <c r="B128" s="78" t="str">
        <f>CAC!C153</f>
        <v>0003289-93.2023.4.01.8010</v>
      </c>
      <c r="C128" s="135" t="str">
        <f>CAC!B153</f>
        <v>Fornecimento de água mineral.</v>
      </c>
      <c r="D128" s="136">
        <f t="shared" ca="1" si="5"/>
        <v>35</v>
      </c>
      <c r="E128" s="137">
        <f>CAC!W153</f>
        <v>45221</v>
      </c>
      <c r="F128" s="137">
        <f>CAC!X153</f>
        <v>45246</v>
      </c>
      <c r="G128" s="138" t="str">
        <f>CAC!AB153</f>
        <v>---</v>
      </c>
      <c r="H128" s="137">
        <f>CAC!AC153</f>
        <v>45292</v>
      </c>
      <c r="I128" s="139"/>
      <c r="J128" s="139"/>
      <c r="K128" s="139"/>
      <c r="L128" s="139"/>
      <c r="M128" s="99" t="str">
        <f t="shared" ca="1" si="6"/>
        <v>Pendência</v>
      </c>
      <c r="N128" s="99" t="str">
        <f t="shared" ca="1" si="7"/>
        <v>Pendência</v>
      </c>
      <c r="O128" s="99" t="str">
        <f t="shared" ca="1" si="8"/>
        <v>N/A</v>
      </c>
      <c r="P128" s="137" t="str">
        <f t="shared" ca="1" si="9"/>
        <v>Em dia</v>
      </c>
    </row>
    <row r="129" spans="1:16" ht="15">
      <c r="A129" s="134" t="str">
        <f>CAC!A154</f>
        <v>SUBSEÇÃO JUDICIÁRIA DE MARABÁ3</v>
      </c>
      <c r="B129" s="78" t="str">
        <f>CAC!C154</f>
        <v>0003289-93.2023.4.01.8010</v>
      </c>
      <c r="C129" s="135" t="str">
        <f>CAC!B154</f>
        <v>Manutenção predial.</v>
      </c>
      <c r="D129" s="136">
        <f t="shared" ca="1" si="5"/>
        <v>17</v>
      </c>
      <c r="E129" s="138" t="str">
        <f>CAC!W154</f>
        <v>---</v>
      </c>
      <c r="F129" s="138" t="str">
        <f>CAC!X154</f>
        <v>---</v>
      </c>
      <c r="G129" s="137">
        <f>CAC!AB154</f>
        <v>45214</v>
      </c>
      <c r="H129" s="137">
        <f>CAC!AC154</f>
        <v>45274</v>
      </c>
      <c r="I129" s="139"/>
      <c r="J129" s="139"/>
      <c r="K129" s="139"/>
      <c r="L129" s="139"/>
      <c r="M129" s="99" t="str">
        <f t="shared" ca="1" si="6"/>
        <v>N/A</v>
      </c>
      <c r="N129" s="99" t="str">
        <f t="shared" ca="1" si="7"/>
        <v>N/A</v>
      </c>
      <c r="O129" s="99" t="str">
        <f t="shared" ca="1" si="8"/>
        <v>Pendência</v>
      </c>
      <c r="P129" s="137" t="str">
        <f t="shared" ca="1" si="9"/>
        <v>Em dia</v>
      </c>
    </row>
    <row r="130" spans="1:16" ht="15">
      <c r="A130" s="134" t="str">
        <f>CAC!A155</f>
        <v>SUBSEÇÃO JUDICIÁRIA DE MARABÁ4</v>
      </c>
      <c r="B130" s="78" t="str">
        <f>CAC!C155</f>
        <v>0003289-93.2023.4.01.8010</v>
      </c>
      <c r="C130" s="135" t="str">
        <f>CAC!B155</f>
        <v>Fornecimento de energia elétrica.</v>
      </c>
      <c r="D130" s="136">
        <f t="shared" ref="D130:D193" ca="1" si="10">H130-TODAY()</f>
        <v>17</v>
      </c>
      <c r="E130" s="137">
        <f>CAC!W155</f>
        <v>45203</v>
      </c>
      <c r="F130" s="137">
        <f>CAC!X155</f>
        <v>45228</v>
      </c>
      <c r="G130" s="138" t="str">
        <f>CAC!AB155</f>
        <v>---</v>
      </c>
      <c r="H130" s="137">
        <f>CAC!AC155</f>
        <v>45274</v>
      </c>
      <c r="I130" s="139"/>
      <c r="J130" s="139"/>
      <c r="K130" s="139"/>
      <c r="L130" s="139"/>
      <c r="M130" s="99" t="str">
        <f t="shared" ref="M130:M193" ca="1" si="11">IF(E130="---","N/A",IF(AND(I130="",NOW()-E130&lt;0),"Em dia",IF(AND(I130="",NOW()-E130&gt;0),"Pendência",IF(I130&gt;E130,"Entregue com atraso","Entregue"))))</f>
        <v>Pendência</v>
      </c>
      <c r="N130" s="99" t="str">
        <f t="shared" ref="N130:N193" ca="1" si="12">IF(F130="---","N/A",IF(AND(J130="",NOW()-F130&lt;0),"Em dia",IF(AND(J130="",NOW()-F130&gt;0),"Pendência",IF(J130&gt;F130,"Entregue com atraso","Entregue"))))</f>
        <v>Pendência</v>
      </c>
      <c r="O130" s="99" t="str">
        <f t="shared" ref="O130:O193" ca="1" si="13">IF(G130="---","N/A",IF(AND(K130="",NOW()-G130&lt;0),"Em dia",IF(AND(K130="",NOW()-G130&gt;0),"Pendência",IF(K130&gt;G130,"Contratado com atraso","Contratado"))))</f>
        <v>N/A</v>
      </c>
      <c r="P130" s="137" t="str">
        <f t="shared" ref="P130:P193" ca="1" si="14">IF(AND(L130="",NOW()-H130&lt;0),"Em dia",IF(AND(L130="",NOW()-H130&gt;0),"Pendência",IF(L130&gt;H130,"Contratado com atraso","Contratado")))</f>
        <v>Em dia</v>
      </c>
    </row>
    <row r="131" spans="1:16" ht="15">
      <c r="A131" s="134" t="str">
        <f>CAC!A156</f>
        <v>SUBSEÇÃO JUDICIÁRIA DE MARABÁ5</v>
      </c>
      <c r="B131" s="78" t="str">
        <f>CAC!C156</f>
        <v>0003289-93.2023.4.01.8010</v>
      </c>
      <c r="C131" s="135" t="str">
        <f>CAC!B156</f>
        <v>Resmas de papel formato A-4.</v>
      </c>
      <c r="D131" s="136">
        <f t="shared" ca="1" si="10"/>
        <v>17</v>
      </c>
      <c r="E131" s="137">
        <f>CAC!W156</f>
        <v>45203</v>
      </c>
      <c r="F131" s="137">
        <f>CAC!X156</f>
        <v>45228</v>
      </c>
      <c r="G131" s="138" t="str">
        <f>CAC!AB156</f>
        <v>---</v>
      </c>
      <c r="H131" s="137">
        <f>CAC!AC156</f>
        <v>45274</v>
      </c>
      <c r="I131" s="139"/>
      <c r="J131" s="139"/>
      <c r="K131" s="139"/>
      <c r="L131" s="139"/>
      <c r="M131" s="99" t="str">
        <f t="shared" ca="1" si="11"/>
        <v>Pendência</v>
      </c>
      <c r="N131" s="99" t="str">
        <f t="shared" ca="1" si="12"/>
        <v>Pendência</v>
      </c>
      <c r="O131" s="99" t="str">
        <f t="shared" ca="1" si="13"/>
        <v>N/A</v>
      </c>
      <c r="P131" s="137" t="str">
        <f t="shared" ca="1" si="14"/>
        <v>Em dia</v>
      </c>
    </row>
    <row r="132" spans="1:16" ht="45">
      <c r="A132" s="134" t="str">
        <f>CAC!A157</f>
        <v>SUBSEÇÃO JUDICIÁRIA DE MARABÁ6</v>
      </c>
      <c r="B132" s="78" t="str">
        <f>CAC!C157</f>
        <v>0003289-93.2023.4.01.8010</v>
      </c>
      <c r="C132" s="135" t="str">
        <f>CAC!B157</f>
        <v>Aquisição de material elétrico e materiais para reparos a serem utilizados pela Subseção Judiciária de Marabá.</v>
      </c>
      <c r="D132" s="136">
        <f t="shared" ca="1" si="10"/>
        <v>17</v>
      </c>
      <c r="E132" s="137">
        <f>CAC!W157</f>
        <v>45205</v>
      </c>
      <c r="F132" s="137">
        <f>CAC!X157</f>
        <v>45230</v>
      </c>
      <c r="G132" s="138" t="str">
        <f>CAC!AB157</f>
        <v>---</v>
      </c>
      <c r="H132" s="137">
        <f>CAC!AC157</f>
        <v>45274</v>
      </c>
      <c r="I132" s="139"/>
      <c r="J132" s="139"/>
      <c r="K132" s="139"/>
      <c r="L132" s="139"/>
      <c r="M132" s="99" t="str">
        <f t="shared" ca="1" si="11"/>
        <v>Pendência</v>
      </c>
      <c r="N132" s="99" t="str">
        <f t="shared" ca="1" si="12"/>
        <v>Pendência</v>
      </c>
      <c r="O132" s="99" t="str">
        <f t="shared" ca="1" si="13"/>
        <v>N/A</v>
      </c>
      <c r="P132" s="137" t="str">
        <f t="shared" ca="1" si="14"/>
        <v>Em dia</v>
      </c>
    </row>
    <row r="133" spans="1:16" ht="33.75">
      <c r="A133" s="134" t="str">
        <f>CAC!A158</f>
        <v>SUBSEÇÃO JUDICIÁRIA DE MARABÁ7</v>
      </c>
      <c r="B133" s="78" t="str">
        <f>CAC!C158</f>
        <v>0003289-93.2023.4.01.8010</v>
      </c>
      <c r="C133" s="135" t="str">
        <f>CAC!B158</f>
        <v>Aquisição de gás refrigerante para manutenção nos condicionadores de ar da Subseção de Marabá</v>
      </c>
      <c r="D133" s="136">
        <f t="shared" ca="1" si="10"/>
        <v>17</v>
      </c>
      <c r="E133" s="137">
        <f>CAC!W158</f>
        <v>45205</v>
      </c>
      <c r="F133" s="137">
        <f>CAC!X158</f>
        <v>45230</v>
      </c>
      <c r="G133" s="138" t="str">
        <f>CAC!AB158</f>
        <v>---</v>
      </c>
      <c r="H133" s="137">
        <f>CAC!AC158</f>
        <v>45274</v>
      </c>
      <c r="I133" s="139"/>
      <c r="J133" s="139"/>
      <c r="K133" s="139"/>
      <c r="L133" s="139"/>
      <c r="M133" s="99" t="str">
        <f t="shared" ca="1" si="11"/>
        <v>Pendência</v>
      </c>
      <c r="N133" s="99" t="str">
        <f t="shared" ca="1" si="12"/>
        <v>Pendência</v>
      </c>
      <c r="O133" s="99" t="str">
        <f t="shared" ca="1" si="13"/>
        <v>N/A</v>
      </c>
      <c r="P133" s="137" t="str">
        <f t="shared" ca="1" si="14"/>
        <v>Em dia</v>
      </c>
    </row>
    <row r="134" spans="1:16" ht="33.75">
      <c r="A134" s="134" t="str">
        <f>CAC!A159</f>
        <v>SUBSEÇÃO JUDICIÁRIA DE MARABÁ8</v>
      </c>
      <c r="B134" s="78" t="str">
        <f>CAC!C159</f>
        <v>0003289-93.2023.4.01.8010</v>
      </c>
      <c r="C134" s="135" t="str">
        <f>CAC!B159</f>
        <v>Aquisição de gás refrigerante para manutenção nos condicionadores de ar da Subseção de Marabá</v>
      </c>
      <c r="D134" s="136">
        <f t="shared" ca="1" si="10"/>
        <v>17</v>
      </c>
      <c r="E134" s="137">
        <f>CAC!W159</f>
        <v>45205</v>
      </c>
      <c r="F134" s="137">
        <f>CAC!X159</f>
        <v>45230</v>
      </c>
      <c r="G134" s="138" t="str">
        <f>CAC!AB159</f>
        <v>---</v>
      </c>
      <c r="H134" s="137">
        <f>CAC!AC159</f>
        <v>45274</v>
      </c>
      <c r="I134" s="139"/>
      <c r="J134" s="139"/>
      <c r="K134" s="139"/>
      <c r="L134" s="139"/>
      <c r="M134" s="99" t="str">
        <f t="shared" ca="1" si="11"/>
        <v>Pendência</v>
      </c>
      <c r="N134" s="99" t="str">
        <f t="shared" ca="1" si="12"/>
        <v>Pendência</v>
      </c>
      <c r="O134" s="99" t="str">
        <f t="shared" ca="1" si="13"/>
        <v>N/A</v>
      </c>
      <c r="P134" s="137" t="str">
        <f t="shared" ca="1" si="14"/>
        <v>Em dia</v>
      </c>
    </row>
    <row r="135" spans="1:16" ht="15">
      <c r="A135" s="134" t="str">
        <f>CAC!A160</f>
        <v>SUBSEÇÃO JUDICIÁRIA DE MARABÁ9</v>
      </c>
      <c r="B135" s="78" t="str">
        <f>CAC!C160</f>
        <v>0003289-93.2023.4.01.8010</v>
      </c>
      <c r="C135" s="135" t="str">
        <f>CAC!B160</f>
        <v>Reforma dos banheiros</v>
      </c>
      <c r="D135" s="136">
        <f t="shared" ca="1" si="10"/>
        <v>169</v>
      </c>
      <c r="E135" s="137">
        <f>CAC!W160</f>
        <v>45338</v>
      </c>
      <c r="F135" s="137">
        <f>CAC!X160</f>
        <v>45363</v>
      </c>
      <c r="G135" s="138" t="str">
        <f>CAC!AB160</f>
        <v>---</v>
      </c>
      <c r="H135" s="137">
        <f>CAC!AC160</f>
        <v>45426</v>
      </c>
      <c r="I135" s="139"/>
      <c r="J135" s="139"/>
      <c r="K135" s="139"/>
      <c r="L135" s="139"/>
      <c r="M135" s="99" t="str">
        <f t="shared" ca="1" si="11"/>
        <v>Em dia</v>
      </c>
      <c r="N135" s="99" t="str">
        <f t="shared" ca="1" si="12"/>
        <v>Em dia</v>
      </c>
      <c r="O135" s="99" t="str">
        <f t="shared" ca="1" si="13"/>
        <v>N/A</v>
      </c>
      <c r="P135" s="137" t="str">
        <f t="shared" ca="1" si="14"/>
        <v>Em dia</v>
      </c>
    </row>
    <row r="136" spans="1:16" ht="22.5">
      <c r="A136" s="134" t="str">
        <f>CAC!A161</f>
        <v>SUBSEÇÃO JUDICIÁRIA DE MARABÁ10</v>
      </c>
      <c r="B136" s="78" t="str">
        <f>CAC!C161</f>
        <v>0003289-93.2023.4.01.8010</v>
      </c>
      <c r="C136" s="135" t="str">
        <f>CAC!B161</f>
        <v>Manutenção de aparelhos de ar condicionado.</v>
      </c>
      <c r="D136" s="136">
        <f t="shared" ca="1" si="10"/>
        <v>17</v>
      </c>
      <c r="E136" s="137">
        <f>CAC!W161</f>
        <v>45205</v>
      </c>
      <c r="F136" s="137">
        <f>CAC!X161</f>
        <v>45230</v>
      </c>
      <c r="G136" s="138" t="str">
        <f>CAC!AB161</f>
        <v>---</v>
      </c>
      <c r="H136" s="137">
        <f>CAC!AC161</f>
        <v>45274</v>
      </c>
      <c r="I136" s="139"/>
      <c r="J136" s="139"/>
      <c r="K136" s="139"/>
      <c r="L136" s="139"/>
      <c r="M136" s="99" t="str">
        <f t="shared" ca="1" si="11"/>
        <v>Pendência</v>
      </c>
      <c r="N136" s="99" t="str">
        <f t="shared" ca="1" si="12"/>
        <v>Pendência</v>
      </c>
      <c r="O136" s="99" t="str">
        <f t="shared" ca="1" si="13"/>
        <v>N/A</v>
      </c>
      <c r="P136" s="137" t="str">
        <f t="shared" ca="1" si="14"/>
        <v>Em dia</v>
      </c>
    </row>
    <row r="137" spans="1:16" ht="33.75">
      <c r="A137" s="134" t="str">
        <f>CAC!A162</f>
        <v>SUBSEÇÃO JUDICIÁRIA DE MARABÁ11</v>
      </c>
      <c r="B137" s="78" t="str">
        <f>CAC!C162</f>
        <v>0003289-93.2023.4.01.8010</v>
      </c>
      <c r="C137" s="135" t="str">
        <f>CAC!B162</f>
        <v>Contratação de empresa especializada em recarga de extintores, teste de mangueira e hidrante</v>
      </c>
      <c r="D137" s="136">
        <f t="shared" ca="1" si="10"/>
        <v>167</v>
      </c>
      <c r="E137" s="137">
        <f>CAC!W162</f>
        <v>45355</v>
      </c>
      <c r="F137" s="137">
        <f>CAC!X162</f>
        <v>45380</v>
      </c>
      <c r="G137" s="138" t="str">
        <f>CAC!AB162</f>
        <v>---</v>
      </c>
      <c r="H137" s="137">
        <f>CAC!AC162</f>
        <v>45424</v>
      </c>
      <c r="I137" s="139"/>
      <c r="J137" s="139"/>
      <c r="K137" s="139"/>
      <c r="L137" s="139"/>
      <c r="M137" s="99" t="str">
        <f t="shared" ca="1" si="11"/>
        <v>Em dia</v>
      </c>
      <c r="N137" s="99" t="str">
        <f t="shared" ca="1" si="12"/>
        <v>Em dia</v>
      </c>
      <c r="O137" s="99" t="str">
        <f t="shared" ca="1" si="13"/>
        <v>N/A</v>
      </c>
      <c r="P137" s="137" t="str">
        <f t="shared" ca="1" si="14"/>
        <v>Em dia</v>
      </c>
    </row>
    <row r="138" spans="1:16" ht="45">
      <c r="A138" s="134" t="str">
        <f>CAC!A163</f>
        <v>SUBSEÇÃO JUDICIÁRIA DE MARABÁ12</v>
      </c>
      <c r="B138" s="78" t="str">
        <f>CAC!C163</f>
        <v>0003289-93.2023.4.01.8010</v>
      </c>
      <c r="C138" s="135" t="str">
        <f>CAC!B163</f>
        <v>Contratação de empresa que realize a manutenção e revitalização do jardim externo do prédio da Subseção Judiciária de Marabá</v>
      </c>
      <c r="D138" s="136">
        <f t="shared" ca="1" si="10"/>
        <v>17</v>
      </c>
      <c r="E138" s="137">
        <f>CAC!W163</f>
        <v>45205</v>
      </c>
      <c r="F138" s="137">
        <f>CAC!X163</f>
        <v>45230</v>
      </c>
      <c r="G138" s="138" t="str">
        <f>CAC!AB163</f>
        <v>---</v>
      </c>
      <c r="H138" s="137">
        <f>CAC!AC163</f>
        <v>45274</v>
      </c>
      <c r="I138" s="139"/>
      <c r="J138" s="139"/>
      <c r="K138" s="139"/>
      <c r="L138" s="139"/>
      <c r="M138" s="99" t="str">
        <f t="shared" ca="1" si="11"/>
        <v>Pendência</v>
      </c>
      <c r="N138" s="99" t="str">
        <f t="shared" ca="1" si="12"/>
        <v>Pendência</v>
      </c>
      <c r="O138" s="99" t="str">
        <f t="shared" ca="1" si="13"/>
        <v>N/A</v>
      </c>
      <c r="P138" s="137" t="str">
        <f t="shared" ca="1" si="14"/>
        <v>Em dia</v>
      </c>
    </row>
    <row r="139" spans="1:16" ht="45">
      <c r="A139" s="134" t="str">
        <f>CAC!A164</f>
        <v>SUBSEÇÃO JUDICIÁRIA DE MARABÁ13</v>
      </c>
      <c r="B139" s="78" t="str">
        <f>CAC!C164</f>
        <v>0003289-93.2023.4.01.8010</v>
      </c>
      <c r="C139" s="135" t="str">
        <f>CAC!B164</f>
        <v>Contratação de empresa especializada para manutenção preventiva mensal na porta giratória desta Subseção de Marabá</v>
      </c>
      <c r="D139" s="136">
        <f t="shared" ca="1" si="10"/>
        <v>17</v>
      </c>
      <c r="E139" s="137">
        <f>CAC!W164</f>
        <v>45205</v>
      </c>
      <c r="F139" s="137">
        <f>CAC!X164</f>
        <v>45230</v>
      </c>
      <c r="G139" s="138" t="str">
        <f>CAC!AB164</f>
        <v>---</v>
      </c>
      <c r="H139" s="137">
        <f>CAC!AC164</f>
        <v>45274</v>
      </c>
      <c r="I139" s="139"/>
      <c r="J139" s="139"/>
      <c r="K139" s="139"/>
      <c r="L139" s="139"/>
      <c r="M139" s="99" t="str">
        <f t="shared" ca="1" si="11"/>
        <v>Pendência</v>
      </c>
      <c r="N139" s="99" t="str">
        <f t="shared" ca="1" si="12"/>
        <v>Pendência</v>
      </c>
      <c r="O139" s="99" t="str">
        <f t="shared" ca="1" si="13"/>
        <v>N/A</v>
      </c>
      <c r="P139" s="137" t="str">
        <f t="shared" ca="1" si="14"/>
        <v>Em dia</v>
      </c>
    </row>
    <row r="140" spans="1:16" ht="45">
      <c r="A140" s="134" t="str">
        <f>CAC!A165</f>
        <v>SUBSEÇÃO JUDICIÁRIA DE MARABÁ14</v>
      </c>
      <c r="B140" s="78" t="str">
        <f>CAC!C165</f>
        <v>0003289-93.2023.4.01.8010</v>
      </c>
      <c r="C140" s="135" t="str">
        <f>CAC!B165</f>
        <v>Contratação de empresa especializada para manutenção preventiva trimestral no Scanner de Raio-X desta Subseção de Marabá</v>
      </c>
      <c r="D140" s="136">
        <f t="shared" ca="1" si="10"/>
        <v>17</v>
      </c>
      <c r="E140" s="137">
        <f>CAC!W165</f>
        <v>45205</v>
      </c>
      <c r="F140" s="137">
        <f>CAC!X165</f>
        <v>45230</v>
      </c>
      <c r="G140" s="138" t="str">
        <f>CAC!AB165</f>
        <v>---</v>
      </c>
      <c r="H140" s="137">
        <f>CAC!AC165</f>
        <v>45274</v>
      </c>
      <c r="I140" s="139"/>
      <c r="J140" s="139"/>
      <c r="K140" s="139"/>
      <c r="L140" s="139"/>
      <c r="M140" s="99" t="str">
        <f t="shared" ca="1" si="11"/>
        <v>Pendência</v>
      </c>
      <c r="N140" s="99" t="str">
        <f t="shared" ca="1" si="12"/>
        <v>Pendência</v>
      </c>
      <c r="O140" s="99" t="str">
        <f t="shared" ca="1" si="13"/>
        <v>N/A</v>
      </c>
      <c r="P140" s="137" t="str">
        <f t="shared" ca="1" si="14"/>
        <v>Em dia</v>
      </c>
    </row>
    <row r="141" spans="1:16" ht="67.5">
      <c r="A141" s="134" t="str">
        <f>CAC!A166</f>
        <v>SUBSEÇÃO JUDICIÁRIA DE MARABÁ15</v>
      </c>
      <c r="B141" s="78" t="str">
        <f>CAC!C166</f>
        <v>0003289-93.2023.4.01.8010</v>
      </c>
      <c r="C141" s="135" t="str">
        <f>CAC!B166</f>
        <v>A aquisição de capachos para as portas de acesso ao prédio da Subseção Judiciária de Marabá, bem com de adesivos com o símbolo da Justiça Federal para substituir os atuais que estão fixados nos vidros de cada andar.</v>
      </c>
      <c r="D141" s="136">
        <f t="shared" ca="1" si="10"/>
        <v>77</v>
      </c>
      <c r="E141" s="137">
        <f>CAC!W166</f>
        <v>45265</v>
      </c>
      <c r="F141" s="137">
        <f>CAC!X166</f>
        <v>45290</v>
      </c>
      <c r="G141" s="138" t="str">
        <f>CAC!AB166</f>
        <v>---</v>
      </c>
      <c r="H141" s="137">
        <f>CAC!AC166</f>
        <v>45334</v>
      </c>
      <c r="I141" s="139"/>
      <c r="J141" s="139"/>
      <c r="K141" s="139"/>
      <c r="L141" s="139"/>
      <c r="M141" s="99" t="str">
        <f t="shared" ca="1" si="11"/>
        <v>Em dia</v>
      </c>
      <c r="N141" s="99" t="str">
        <f t="shared" ca="1" si="12"/>
        <v>Em dia</v>
      </c>
      <c r="O141" s="99" t="str">
        <f t="shared" ca="1" si="13"/>
        <v>N/A</v>
      </c>
      <c r="P141" s="137" t="str">
        <f t="shared" ca="1" si="14"/>
        <v>Em dia</v>
      </c>
    </row>
    <row r="142" spans="1:16" ht="33.75">
      <c r="A142" s="134" t="str">
        <f>CAC!A167</f>
        <v>SUBSEÇÃO JUDICIÁRIA DE MARABÁ16</v>
      </c>
      <c r="B142" s="78" t="str">
        <f>CAC!C167</f>
        <v>0003289-93.2023.4.01.8010</v>
      </c>
      <c r="C142" s="135" t="str">
        <f>CAC!B167</f>
        <v>Contratação de empresa para confecção de novas persianas para o prédio desta Subseção Judiciária de Marabá</v>
      </c>
      <c r="D142" s="136">
        <f t="shared" ca="1" si="10"/>
        <v>17</v>
      </c>
      <c r="E142" s="137">
        <f>CAC!W167</f>
        <v>45205</v>
      </c>
      <c r="F142" s="137">
        <f>CAC!X167</f>
        <v>45230</v>
      </c>
      <c r="G142" s="138" t="str">
        <f>CAC!AB167</f>
        <v>---</v>
      </c>
      <c r="H142" s="137">
        <f>CAC!AC167</f>
        <v>45274</v>
      </c>
      <c r="I142" s="139"/>
      <c r="J142" s="139"/>
      <c r="K142" s="139"/>
      <c r="L142" s="139"/>
      <c r="M142" s="99" t="str">
        <f t="shared" ca="1" si="11"/>
        <v>Pendência</v>
      </c>
      <c r="N142" s="99" t="str">
        <f t="shared" ca="1" si="12"/>
        <v>Pendência</v>
      </c>
      <c r="O142" s="99" t="str">
        <f t="shared" ca="1" si="13"/>
        <v>N/A</v>
      </c>
      <c r="P142" s="137" t="str">
        <f t="shared" ca="1" si="14"/>
        <v>Em dia</v>
      </c>
    </row>
    <row r="143" spans="1:16" ht="22.5">
      <c r="A143" s="134" t="str">
        <f>CAC!A168</f>
        <v>SUBSEÇÃO JUDICIÁRIA DE MARABÁ17</v>
      </c>
      <c r="B143" s="78" t="str">
        <f>CAC!C168</f>
        <v>0003289-93.2023.4.01.8010</v>
      </c>
      <c r="C143" s="135" t="str">
        <f>CAC!B168</f>
        <v>Aquisição de 03 centrais de ar de 24.000 btus</v>
      </c>
      <c r="D143" s="136">
        <f t="shared" ca="1" si="10"/>
        <v>17</v>
      </c>
      <c r="E143" s="137">
        <f>CAC!W168</f>
        <v>45205</v>
      </c>
      <c r="F143" s="137">
        <f>CAC!X168</f>
        <v>45230</v>
      </c>
      <c r="G143" s="138" t="str">
        <f>CAC!AB168</f>
        <v>---</v>
      </c>
      <c r="H143" s="137">
        <f>CAC!AC168</f>
        <v>45274</v>
      </c>
      <c r="I143" s="139"/>
      <c r="J143" s="139"/>
      <c r="K143" s="139"/>
      <c r="L143" s="139"/>
      <c r="M143" s="99" t="str">
        <f t="shared" ca="1" si="11"/>
        <v>Pendência</v>
      </c>
      <c r="N143" s="99" t="str">
        <f t="shared" ca="1" si="12"/>
        <v>Pendência</v>
      </c>
      <c r="O143" s="99" t="str">
        <f t="shared" ca="1" si="13"/>
        <v>N/A</v>
      </c>
      <c r="P143" s="137" t="str">
        <f t="shared" ca="1" si="14"/>
        <v>Em dia</v>
      </c>
    </row>
    <row r="144" spans="1:16" ht="146.25">
      <c r="A144" s="134" t="str">
        <f>CAC!A169</f>
        <v>SUBSEÇÃO JUDICIÁRIA DE MARABÁ18</v>
      </c>
      <c r="B144" s="78" t="str">
        <f>CAC!C169</f>
        <v>0003289-93.2023.4.01.8010</v>
      </c>
      <c r="C144" s="135" t="str">
        <f>CAC!B169</f>
        <v>Contratação de empresa especializada para prestação de serviços de descupinização, desratização e desinsetização (eliminação de baratas, formigas, aranhas, traças, cupins, escorpiões, mosquitos etc), com fornecimento de todo o material e equipamentos necessários, a serem executados em todas as dependências do prédio da Justiça Federal de 1º grau no Pará, SUBSEÇÃO JUDICIÁRIA DE MARABÁ, compreendendo suas áreas internas e externas.</v>
      </c>
      <c r="D144" s="136">
        <f t="shared" ca="1" si="10"/>
        <v>17</v>
      </c>
      <c r="E144" s="137">
        <f>CAC!W169</f>
        <v>45205</v>
      </c>
      <c r="F144" s="137">
        <f>CAC!X169</f>
        <v>45230</v>
      </c>
      <c r="G144" s="138" t="str">
        <f>CAC!AB169</f>
        <v>---</v>
      </c>
      <c r="H144" s="137">
        <f>CAC!AC169</f>
        <v>45274</v>
      </c>
      <c r="I144" s="139"/>
      <c r="J144" s="139"/>
      <c r="K144" s="139"/>
      <c r="L144" s="139"/>
      <c r="M144" s="99" t="str">
        <f t="shared" ca="1" si="11"/>
        <v>Pendência</v>
      </c>
      <c r="N144" s="99" t="str">
        <f t="shared" ca="1" si="12"/>
        <v>Pendência</v>
      </c>
      <c r="O144" s="99" t="str">
        <f t="shared" ca="1" si="13"/>
        <v>N/A</v>
      </c>
      <c r="P144" s="137" t="str">
        <f t="shared" ca="1" si="14"/>
        <v>Em dia</v>
      </c>
    </row>
    <row r="145" spans="1:16" ht="33.75">
      <c r="A145" s="134" t="str">
        <f>CAC!A170</f>
        <v>SUBSEÇÃO JUDICIÁRIA DE MARABÁ19</v>
      </c>
      <c r="B145" s="78" t="str">
        <f>CAC!C170</f>
        <v>0003289-93.2023.4.01.8010</v>
      </c>
      <c r="C145" s="135" t="str">
        <f>CAC!B170</f>
        <v>Contratação de empresa especializada para pintura interna e externa do prédio sede da Subseção Judiciária de Marabá.</v>
      </c>
      <c r="D145" s="136">
        <f t="shared" ca="1" si="10"/>
        <v>17</v>
      </c>
      <c r="E145" s="137">
        <f>CAC!W170</f>
        <v>45186</v>
      </c>
      <c r="F145" s="137">
        <f>CAC!X170</f>
        <v>45211</v>
      </c>
      <c r="G145" s="138" t="str">
        <f>CAC!AB170</f>
        <v>---</v>
      </c>
      <c r="H145" s="137">
        <f>CAC!AC170</f>
        <v>45274</v>
      </c>
      <c r="I145" s="139"/>
      <c r="J145" s="139"/>
      <c r="K145" s="139"/>
      <c r="L145" s="139"/>
      <c r="M145" s="99" t="str">
        <f t="shared" ca="1" si="11"/>
        <v>Pendência</v>
      </c>
      <c r="N145" s="99" t="str">
        <f t="shared" ca="1" si="12"/>
        <v>Pendência</v>
      </c>
      <c r="O145" s="99" t="str">
        <f t="shared" ca="1" si="13"/>
        <v>N/A</v>
      </c>
      <c r="P145" s="137" t="str">
        <f t="shared" ca="1" si="14"/>
        <v>Em dia</v>
      </c>
    </row>
    <row r="146" spans="1:16" ht="22.5">
      <c r="A146" s="134" t="str">
        <f>CAC!A171</f>
        <v>SUBSEÇÃO JUDICIÁRIA DE MARABÁ20</v>
      </c>
      <c r="B146" s="78" t="str">
        <f>CAC!C171</f>
        <v>0003289-93.2023.4.01.8010</v>
      </c>
      <c r="C146" s="135" t="str">
        <f>CAC!B171</f>
        <v>Aquisição de cofre para acautelar armas de usuários externos.</v>
      </c>
      <c r="D146" s="136">
        <f t="shared" ca="1" si="10"/>
        <v>17</v>
      </c>
      <c r="E146" s="137">
        <f>CAC!W171</f>
        <v>45205</v>
      </c>
      <c r="F146" s="137">
        <f>CAC!X171</f>
        <v>45230</v>
      </c>
      <c r="G146" s="138" t="str">
        <f>CAC!AB171</f>
        <v>---</v>
      </c>
      <c r="H146" s="137">
        <f>CAC!AC171</f>
        <v>45274</v>
      </c>
      <c r="I146" s="139"/>
      <c r="J146" s="139"/>
      <c r="K146" s="139"/>
      <c r="L146" s="139"/>
      <c r="M146" s="99" t="str">
        <f t="shared" ca="1" si="11"/>
        <v>Pendência</v>
      </c>
      <c r="N146" s="99" t="str">
        <f t="shared" ca="1" si="12"/>
        <v>Pendência</v>
      </c>
      <c r="O146" s="99" t="str">
        <f t="shared" ca="1" si="13"/>
        <v>N/A</v>
      </c>
      <c r="P146" s="137" t="str">
        <f t="shared" ca="1" si="14"/>
        <v>Em dia</v>
      </c>
    </row>
    <row r="147" spans="1:16" ht="33.75">
      <c r="A147" s="134" t="str">
        <f>CAC!A172</f>
        <v>SUBSEÇÃO JUDICIÁRIA DE MARABÁ21</v>
      </c>
      <c r="B147" s="78" t="str">
        <f>CAC!C172</f>
        <v>0003289-93.2023.4.01.8010</v>
      </c>
      <c r="C147" s="135" t="str">
        <f>CAC!B172</f>
        <v>Adequação de sala para colocação de Cofre e acautelamento de armas de usuários externos.</v>
      </c>
      <c r="D147" s="136">
        <f t="shared" ca="1" si="10"/>
        <v>17</v>
      </c>
      <c r="E147" s="137">
        <f>CAC!W172</f>
        <v>45205</v>
      </c>
      <c r="F147" s="137">
        <f>CAC!X172</f>
        <v>45230</v>
      </c>
      <c r="G147" s="138" t="str">
        <f>CAC!AB172</f>
        <v>---</v>
      </c>
      <c r="H147" s="137">
        <f>CAC!AC172</f>
        <v>45274</v>
      </c>
      <c r="I147" s="139"/>
      <c r="J147" s="139"/>
      <c r="K147" s="139"/>
      <c r="L147" s="139"/>
      <c r="M147" s="99" t="str">
        <f t="shared" ca="1" si="11"/>
        <v>Pendência</v>
      </c>
      <c r="N147" s="99" t="str">
        <f t="shared" ca="1" si="12"/>
        <v>Pendência</v>
      </c>
      <c r="O147" s="99" t="str">
        <f t="shared" ca="1" si="13"/>
        <v>N/A</v>
      </c>
      <c r="P147" s="137" t="str">
        <f t="shared" ca="1" si="14"/>
        <v>Em dia</v>
      </c>
    </row>
    <row r="148" spans="1:16" ht="22.5">
      <c r="A148" s="134" t="str">
        <f>CAC!A173</f>
        <v>SUBSEÇÃO JUDICIÁRIA DE PARAGOMINAS1</v>
      </c>
      <c r="B148" s="78" t="str">
        <f>CAC!C173</f>
        <v>0002312-04.2023.4.01.8010</v>
      </c>
      <c r="C148" s="135" t="str">
        <f>CAC!B173</f>
        <v>Permanecer executando as atividades no mesmo local.</v>
      </c>
      <c r="D148" s="136">
        <f t="shared" ca="1" si="10"/>
        <v>17</v>
      </c>
      <c r="E148" s="137" t="str">
        <f>CAC!W173</f>
        <v>---</v>
      </c>
      <c r="F148" s="137" t="str">
        <f>CAC!X173</f>
        <v>---</v>
      </c>
      <c r="G148" s="138">
        <f>CAC!AB173</f>
        <v>45214</v>
      </c>
      <c r="H148" s="137">
        <f>CAC!AC173</f>
        <v>45274</v>
      </c>
      <c r="I148" s="139"/>
      <c r="J148" s="139"/>
      <c r="K148" s="139"/>
      <c r="L148" s="139"/>
      <c r="M148" s="99" t="str">
        <f t="shared" ca="1" si="11"/>
        <v>N/A</v>
      </c>
      <c r="N148" s="99" t="str">
        <f t="shared" ca="1" si="12"/>
        <v>N/A</v>
      </c>
      <c r="O148" s="99" t="str">
        <f t="shared" ca="1" si="13"/>
        <v>Pendência</v>
      </c>
      <c r="P148" s="137" t="str">
        <f t="shared" ca="1" si="14"/>
        <v>Em dia</v>
      </c>
    </row>
    <row r="149" spans="1:16" ht="22.5">
      <c r="A149" s="134" t="str">
        <f>CAC!A174</f>
        <v>SUBSEÇÃO JUDICIÁRIA DE PARAGOMINAS2</v>
      </c>
      <c r="B149" s="78" t="str">
        <f>CAC!C174</f>
        <v>0002312-04.2023.4.01.8010</v>
      </c>
      <c r="C149" s="135" t="str">
        <f>CAC!B174</f>
        <v>Suprir necessidade vital e promover bem estar das pessoas.</v>
      </c>
      <c r="D149" s="136">
        <f t="shared" ca="1" si="10"/>
        <v>31</v>
      </c>
      <c r="E149" s="137">
        <f>CAC!W174</f>
        <v>45219</v>
      </c>
      <c r="F149" s="137">
        <f>CAC!X174</f>
        <v>45244</v>
      </c>
      <c r="G149" s="138" t="str">
        <f>CAC!AB174</f>
        <v>---</v>
      </c>
      <c r="H149" s="137">
        <f>CAC!AC174</f>
        <v>45288</v>
      </c>
      <c r="I149" s="139"/>
      <c r="J149" s="139"/>
      <c r="K149" s="139"/>
      <c r="L149" s="139"/>
      <c r="M149" s="99" t="str">
        <f t="shared" ca="1" si="11"/>
        <v>Pendência</v>
      </c>
      <c r="N149" s="99" t="str">
        <f t="shared" ca="1" si="12"/>
        <v>Pendência</v>
      </c>
      <c r="O149" s="99" t="str">
        <f t="shared" ca="1" si="13"/>
        <v>N/A</v>
      </c>
      <c r="P149" s="137" t="str">
        <f t="shared" ca="1" si="14"/>
        <v>Em dia</v>
      </c>
    </row>
    <row r="150" spans="1:16" ht="22.5">
      <c r="A150" s="134" t="str">
        <f>CAC!A175</f>
        <v>SUBSEÇÃO JUDICIÁRIA DE PARAGOMINAS3</v>
      </c>
      <c r="B150" s="78" t="str">
        <f>CAC!C175</f>
        <v>0002312-04.2023.4.01.8010</v>
      </c>
      <c r="C150" s="135" t="str">
        <f>CAC!B175</f>
        <v>Suprir necessidade vital e promover bem estar das pessoas.</v>
      </c>
      <c r="D150" s="136">
        <f t="shared" ca="1" si="10"/>
        <v>31</v>
      </c>
      <c r="E150" s="137">
        <f>CAC!W175</f>
        <v>45217</v>
      </c>
      <c r="F150" s="137">
        <f>CAC!X175</f>
        <v>45242</v>
      </c>
      <c r="G150" s="138" t="str">
        <f>CAC!AB175</f>
        <v>---</v>
      </c>
      <c r="H150" s="137">
        <f>CAC!AC175</f>
        <v>45288</v>
      </c>
      <c r="I150" s="139"/>
      <c r="J150" s="139"/>
      <c r="K150" s="139"/>
      <c r="L150" s="139"/>
      <c r="M150" s="99" t="str">
        <f t="shared" ca="1" si="11"/>
        <v>Pendência</v>
      </c>
      <c r="N150" s="99" t="str">
        <f t="shared" ca="1" si="12"/>
        <v>Pendência</v>
      </c>
      <c r="O150" s="99" t="str">
        <f t="shared" ca="1" si="13"/>
        <v>N/A</v>
      </c>
      <c r="P150" s="137" t="str">
        <f t="shared" ca="1" si="14"/>
        <v>Em dia</v>
      </c>
    </row>
    <row r="151" spans="1:16" ht="15">
      <c r="A151" s="134" t="str">
        <f>CAC!A176</f>
        <v>SUBSEÇÃO JUDICIÁRIA DE PARAGOMINAS4</v>
      </c>
      <c r="B151" s="78" t="str">
        <f>CAC!C176</f>
        <v>0002312-04.2023.4.01.8010</v>
      </c>
      <c r="C151" s="135" t="str">
        <f>CAC!B176</f>
        <v>Promover execução dos serviços.</v>
      </c>
      <c r="D151" s="136">
        <f t="shared" ca="1" si="10"/>
        <v>17</v>
      </c>
      <c r="E151" s="137">
        <f>CAC!W176</f>
        <v>45205</v>
      </c>
      <c r="F151" s="137">
        <f>CAC!X176</f>
        <v>45230</v>
      </c>
      <c r="G151" s="138" t="str">
        <f>CAC!AB176</f>
        <v>---</v>
      </c>
      <c r="H151" s="137">
        <f>CAC!AC176</f>
        <v>45274</v>
      </c>
      <c r="I151" s="139"/>
      <c r="J151" s="139"/>
      <c r="K151" s="139"/>
      <c r="L151" s="139"/>
      <c r="M151" s="99" t="str">
        <f t="shared" ca="1" si="11"/>
        <v>Pendência</v>
      </c>
      <c r="N151" s="99" t="str">
        <f t="shared" ca="1" si="12"/>
        <v>Pendência</v>
      </c>
      <c r="O151" s="99" t="str">
        <f t="shared" ca="1" si="13"/>
        <v>N/A</v>
      </c>
      <c r="P151" s="137" t="str">
        <f t="shared" ca="1" si="14"/>
        <v>Em dia</v>
      </c>
    </row>
    <row r="152" spans="1:16" ht="22.5">
      <c r="A152" s="134" t="str">
        <f>CAC!A177</f>
        <v>SUBSEÇÃO JUDICIÁRIA DE PARAGOMINAS5</v>
      </c>
      <c r="B152" s="78" t="str">
        <f>CAC!C177</f>
        <v>0002312-04.2023.4.01.8010</v>
      </c>
      <c r="C152" s="135" t="str">
        <f>CAC!B177</f>
        <v>Promover higiene pessoal, bem como a limpeza do prédio.</v>
      </c>
      <c r="D152" s="136">
        <f t="shared" ca="1" si="10"/>
        <v>17</v>
      </c>
      <c r="E152" s="137">
        <f>CAC!W177</f>
        <v>45205</v>
      </c>
      <c r="F152" s="137">
        <f>CAC!X177</f>
        <v>45230</v>
      </c>
      <c r="G152" s="138" t="str">
        <f>CAC!AB177</f>
        <v>---</v>
      </c>
      <c r="H152" s="137">
        <f>CAC!AC177</f>
        <v>45274</v>
      </c>
      <c r="I152" s="139"/>
      <c r="J152" s="139"/>
      <c r="K152" s="139"/>
      <c r="L152" s="139"/>
      <c r="M152" s="99" t="str">
        <f t="shared" ca="1" si="11"/>
        <v>Pendência</v>
      </c>
      <c r="N152" s="99" t="str">
        <f t="shared" ca="1" si="12"/>
        <v>Pendência</v>
      </c>
      <c r="O152" s="99" t="str">
        <f t="shared" ca="1" si="13"/>
        <v>N/A</v>
      </c>
      <c r="P152" s="137" t="str">
        <f t="shared" ca="1" si="14"/>
        <v>Em dia</v>
      </c>
    </row>
    <row r="153" spans="1:16" ht="22.5">
      <c r="A153" s="134" t="str">
        <f>CAC!A178</f>
        <v>SUBSEÇÃO JUDICIÁRIA DE PARAGOMINAS6</v>
      </c>
      <c r="B153" s="78" t="str">
        <f>CAC!C178</f>
        <v>0002312-04.2023.4.01.8010</v>
      </c>
      <c r="C153" s="135" t="str">
        <f>CAC!B178</f>
        <v>Proteção do imóvel, equipamentos e pessoas.</v>
      </c>
      <c r="D153" s="136">
        <f t="shared" ca="1" si="10"/>
        <v>352</v>
      </c>
      <c r="E153" s="137">
        <f>CAC!W178</f>
        <v>45540</v>
      </c>
      <c r="F153" s="137">
        <f>CAC!X178</f>
        <v>45565</v>
      </c>
      <c r="G153" s="138" t="str">
        <f>CAC!AB178</f>
        <v>---</v>
      </c>
      <c r="H153" s="137">
        <f>CAC!AC178</f>
        <v>45609</v>
      </c>
      <c r="I153" s="139"/>
      <c r="J153" s="139"/>
      <c r="K153" s="139"/>
      <c r="L153" s="139"/>
      <c r="M153" s="99" t="str">
        <f t="shared" ca="1" si="11"/>
        <v>Em dia</v>
      </c>
      <c r="N153" s="99" t="str">
        <f t="shared" ca="1" si="12"/>
        <v>Em dia</v>
      </c>
      <c r="O153" s="99" t="str">
        <f t="shared" ca="1" si="13"/>
        <v>N/A</v>
      </c>
      <c r="P153" s="137" t="str">
        <f t="shared" ca="1" si="14"/>
        <v>Em dia</v>
      </c>
    </row>
    <row r="154" spans="1:16" ht="22.5">
      <c r="A154" s="134" t="str">
        <f>CAC!A179</f>
        <v>SUBSEÇÃO JUDICIÁRIA DE PARAGOMINAS7</v>
      </c>
      <c r="B154" s="78" t="str">
        <f>CAC!C179</f>
        <v>0002312-04.2023.4.01.8010</v>
      </c>
      <c r="C154" s="135" t="str">
        <f>CAC!B179</f>
        <v>Proteção do imóvel, equipamentos e pessoas.</v>
      </c>
      <c r="D154" s="136">
        <f t="shared" ca="1" si="10"/>
        <v>352</v>
      </c>
      <c r="E154" s="137">
        <f>CAC!W179</f>
        <v>45540</v>
      </c>
      <c r="F154" s="137">
        <f>CAC!X179</f>
        <v>45565</v>
      </c>
      <c r="G154" s="138" t="str">
        <f>CAC!AB179</f>
        <v>---</v>
      </c>
      <c r="H154" s="137">
        <f>CAC!AC179</f>
        <v>45609</v>
      </c>
      <c r="I154" s="139"/>
      <c r="J154" s="139"/>
      <c r="K154" s="139"/>
      <c r="L154" s="139"/>
      <c r="M154" s="99" t="str">
        <f t="shared" ca="1" si="11"/>
        <v>Em dia</v>
      </c>
      <c r="N154" s="99" t="str">
        <f t="shared" ca="1" si="12"/>
        <v>Em dia</v>
      </c>
      <c r="O154" s="99" t="str">
        <f t="shared" ca="1" si="13"/>
        <v>N/A</v>
      </c>
      <c r="P154" s="137" t="str">
        <f t="shared" ca="1" si="14"/>
        <v>Em dia</v>
      </c>
    </row>
    <row r="155" spans="1:16" ht="22.5">
      <c r="A155" s="134" t="str">
        <f>CAC!A180</f>
        <v>SUBSEÇÃO JUDICIÁRIA DE PARAGOMINAS8</v>
      </c>
      <c r="B155" s="78" t="str">
        <f>CAC!C180</f>
        <v>0002312-04.2023.4.01.8010</v>
      </c>
      <c r="C155" s="135" t="str">
        <f>CAC!B180</f>
        <v>Proteção do imóvel, equipamentos e pessoas.</v>
      </c>
      <c r="D155" s="136">
        <f t="shared" ca="1" si="10"/>
        <v>352</v>
      </c>
      <c r="E155" s="137">
        <f>CAC!W180</f>
        <v>45538</v>
      </c>
      <c r="F155" s="137">
        <f>CAC!X180</f>
        <v>45563</v>
      </c>
      <c r="G155" s="138" t="str">
        <f>CAC!AB180</f>
        <v>---</v>
      </c>
      <c r="H155" s="137">
        <f>CAC!AC180</f>
        <v>45609</v>
      </c>
      <c r="I155" s="139"/>
      <c r="J155" s="139"/>
      <c r="K155" s="139"/>
      <c r="L155" s="139"/>
      <c r="M155" s="99" t="str">
        <f t="shared" ca="1" si="11"/>
        <v>Em dia</v>
      </c>
      <c r="N155" s="99" t="str">
        <f t="shared" ca="1" si="12"/>
        <v>Em dia</v>
      </c>
      <c r="O155" s="99" t="str">
        <f t="shared" ca="1" si="13"/>
        <v>N/A</v>
      </c>
      <c r="P155" s="137" t="str">
        <f t="shared" ca="1" si="14"/>
        <v>Em dia</v>
      </c>
    </row>
    <row r="156" spans="1:16" ht="33.75">
      <c r="A156" s="134" t="str">
        <f>CAC!A181</f>
        <v>SUBSEÇÃO JUDICIÁRIA DE PARAGOMINAS9</v>
      </c>
      <c r="B156" s="78" t="str">
        <f>CAC!C181</f>
        <v>0002312-04.2023.4.01.8010</v>
      </c>
      <c r="C156" s="135" t="str">
        <f>CAC!B181</f>
        <v>Promover ambiente salubre e confortável para a execução dos trabalhos e atendimento ao público.</v>
      </c>
      <c r="D156" s="136">
        <f t="shared" ca="1" si="10"/>
        <v>108</v>
      </c>
      <c r="E156" s="137">
        <f>CAC!W181</f>
        <v>45294</v>
      </c>
      <c r="F156" s="137">
        <f>CAC!X181</f>
        <v>45319</v>
      </c>
      <c r="G156" s="138" t="str">
        <f>CAC!AB181</f>
        <v>---</v>
      </c>
      <c r="H156" s="137">
        <f>CAC!AC181</f>
        <v>45365</v>
      </c>
      <c r="I156" s="139"/>
      <c r="J156" s="139"/>
      <c r="K156" s="139"/>
      <c r="L156" s="139"/>
      <c r="M156" s="99" t="str">
        <f t="shared" ca="1" si="11"/>
        <v>Em dia</v>
      </c>
      <c r="N156" s="99" t="str">
        <f t="shared" ca="1" si="12"/>
        <v>Em dia</v>
      </c>
      <c r="O156" s="99" t="str">
        <f t="shared" ca="1" si="13"/>
        <v>N/A</v>
      </c>
      <c r="P156" s="137" t="str">
        <f t="shared" ca="1" si="14"/>
        <v>Em dia</v>
      </c>
    </row>
    <row r="157" spans="1:16" ht="33.75">
      <c r="A157" s="134" t="str">
        <f>CAC!A182</f>
        <v>SUBSEÇÃO JUDICIÁRIA DE PARAGOMINAS10</v>
      </c>
      <c r="B157" s="78" t="str">
        <f>CAC!C182</f>
        <v>0002312-04.2023.4.01.8010</v>
      </c>
      <c r="C157" s="135" t="str">
        <f>CAC!B182</f>
        <v>Promover ambiente salubre e confortável para a execução dos trabalhos e atendimento ao público.</v>
      </c>
      <c r="D157" s="136">
        <f t="shared" ca="1" si="10"/>
        <v>108</v>
      </c>
      <c r="E157" s="137">
        <f>CAC!W182</f>
        <v>45294</v>
      </c>
      <c r="F157" s="137">
        <f>CAC!X182</f>
        <v>45319</v>
      </c>
      <c r="G157" s="138" t="str">
        <f>CAC!AB182</f>
        <v>---</v>
      </c>
      <c r="H157" s="137">
        <f>CAC!AC182</f>
        <v>45365</v>
      </c>
      <c r="I157" s="139"/>
      <c r="J157" s="139"/>
      <c r="K157" s="139"/>
      <c r="L157" s="139"/>
      <c r="M157" s="99" t="str">
        <f t="shared" ca="1" si="11"/>
        <v>Em dia</v>
      </c>
      <c r="N157" s="99" t="str">
        <f t="shared" ca="1" si="12"/>
        <v>Em dia</v>
      </c>
      <c r="O157" s="99" t="str">
        <f t="shared" ca="1" si="13"/>
        <v>N/A</v>
      </c>
      <c r="P157" s="137" t="str">
        <f t="shared" ca="1" si="14"/>
        <v>Em dia</v>
      </c>
    </row>
    <row r="158" spans="1:16" ht="33.75">
      <c r="A158" s="134" t="str">
        <f>CAC!A183</f>
        <v>SUBSEÇÃO JUDICIÁRIA DE PARAGOMINAS11</v>
      </c>
      <c r="B158" s="78" t="str">
        <f>CAC!C183</f>
        <v>0002312-04.2023.4.01.8010</v>
      </c>
      <c r="C158" s="135" t="str">
        <f>CAC!B183</f>
        <v>Proteger as pessoas e o meio ambiente da contaminação e doenças provenientes dos dejetos humanos</v>
      </c>
      <c r="D158" s="136">
        <f t="shared" ca="1" si="10"/>
        <v>108</v>
      </c>
      <c r="E158" s="137">
        <f>CAC!W183</f>
        <v>45294</v>
      </c>
      <c r="F158" s="137">
        <f>CAC!X183</f>
        <v>45319</v>
      </c>
      <c r="G158" s="138" t="str">
        <f>CAC!AB183</f>
        <v>---</v>
      </c>
      <c r="H158" s="137">
        <f>CAC!AC183</f>
        <v>45365</v>
      </c>
      <c r="I158" s="139"/>
      <c r="J158" s="139"/>
      <c r="K158" s="139"/>
      <c r="L158" s="139"/>
      <c r="M158" s="99" t="str">
        <f t="shared" ca="1" si="11"/>
        <v>Em dia</v>
      </c>
      <c r="N158" s="99" t="str">
        <f t="shared" ca="1" si="12"/>
        <v>Em dia</v>
      </c>
      <c r="O158" s="99" t="str">
        <f t="shared" ca="1" si="13"/>
        <v>N/A</v>
      </c>
      <c r="P158" s="137" t="str">
        <f t="shared" ca="1" si="14"/>
        <v>Em dia</v>
      </c>
    </row>
    <row r="159" spans="1:16" ht="33.75">
      <c r="A159" s="134" t="str">
        <f>CAC!A184</f>
        <v>SUBSEÇÃO JUDICIÁRIA DE PARAGOMINAS12</v>
      </c>
      <c r="B159" s="78" t="str">
        <f>CAC!C184</f>
        <v>0002312-04.2023.4.01.8010</v>
      </c>
      <c r="C159" s="135" t="str">
        <f>CAC!B184</f>
        <v>Promover ambiente salubre e confortável para a execução dos trabalhos e atendimento ao público.</v>
      </c>
      <c r="D159" s="136">
        <f t="shared" ca="1" si="10"/>
        <v>122</v>
      </c>
      <c r="E159" s="137">
        <f>CAC!W184</f>
        <v>45308</v>
      </c>
      <c r="F159" s="137">
        <f>CAC!X184</f>
        <v>45333</v>
      </c>
      <c r="G159" s="138" t="str">
        <f>CAC!AB184</f>
        <v>---</v>
      </c>
      <c r="H159" s="137">
        <f>CAC!AC184</f>
        <v>45379</v>
      </c>
      <c r="I159" s="139"/>
      <c r="J159" s="139"/>
      <c r="K159" s="139"/>
      <c r="L159" s="139"/>
      <c r="M159" s="99" t="str">
        <f t="shared" ca="1" si="11"/>
        <v>Em dia</v>
      </c>
      <c r="N159" s="99" t="str">
        <f t="shared" ca="1" si="12"/>
        <v>Em dia</v>
      </c>
      <c r="O159" s="99" t="str">
        <f t="shared" ca="1" si="13"/>
        <v>N/A</v>
      </c>
      <c r="P159" s="137" t="str">
        <f t="shared" ca="1" si="14"/>
        <v>Em dia</v>
      </c>
    </row>
    <row r="160" spans="1:16" ht="22.5">
      <c r="A160" s="134" t="str">
        <f>CAC!A185</f>
        <v>SUBSEÇÃO JUDICIÁRIA DE PARAGOMINAS13</v>
      </c>
      <c r="B160" s="78" t="str">
        <f>CAC!C185</f>
        <v>0002312-04.2023.4.01.8010</v>
      </c>
      <c r="C160" s="135" t="str">
        <f>CAC!B185</f>
        <v>Prover continuidade na execução dos serviços.</v>
      </c>
      <c r="D160" s="136">
        <f t="shared" ca="1" si="10"/>
        <v>77</v>
      </c>
      <c r="E160" s="137">
        <f>CAC!W185</f>
        <v>45263</v>
      </c>
      <c r="F160" s="137">
        <f>CAC!X185</f>
        <v>45288</v>
      </c>
      <c r="G160" s="138" t="str">
        <f>CAC!AB185</f>
        <v>---</v>
      </c>
      <c r="H160" s="137">
        <f>CAC!AC185</f>
        <v>45334</v>
      </c>
      <c r="I160" s="139"/>
      <c r="J160" s="139"/>
      <c r="K160" s="139"/>
      <c r="L160" s="139"/>
      <c r="M160" s="99" t="str">
        <f t="shared" ca="1" si="11"/>
        <v>Em dia</v>
      </c>
      <c r="N160" s="99" t="str">
        <f t="shared" ca="1" si="12"/>
        <v>Em dia</v>
      </c>
      <c r="O160" s="99" t="str">
        <f t="shared" ca="1" si="13"/>
        <v>N/A</v>
      </c>
      <c r="P160" s="137" t="str">
        <f t="shared" ca="1" si="14"/>
        <v>Em dia</v>
      </c>
    </row>
    <row r="161" spans="1:16" ht="33.75">
      <c r="A161" s="134" t="str">
        <f>CAC!A186</f>
        <v>SUBSEÇÃO JUDICIÁRIA DE PARAGOMINAS14</v>
      </c>
      <c r="B161" s="78" t="str">
        <f>CAC!C186</f>
        <v>0002312-04.2023.4.01.8010</v>
      </c>
      <c r="C161" s="135" t="str">
        <f>CAC!B186</f>
        <v>Prestar um serviço célere ao Jurisdicionado, uma vez que o veículo facilitará a execução dos mandados.</v>
      </c>
      <c r="D161" s="136">
        <f t="shared" ca="1" si="10"/>
        <v>322</v>
      </c>
      <c r="E161" s="137">
        <f>CAC!W186</f>
        <v>45459</v>
      </c>
      <c r="F161" s="137">
        <f>CAC!X186</f>
        <v>45484</v>
      </c>
      <c r="G161" s="138" t="str">
        <f>CAC!AB186</f>
        <v>---</v>
      </c>
      <c r="H161" s="137">
        <f>CAC!AC186</f>
        <v>45579</v>
      </c>
      <c r="I161" s="139"/>
      <c r="J161" s="139"/>
      <c r="K161" s="139"/>
      <c r="L161" s="139"/>
      <c r="M161" s="99" t="str">
        <f t="shared" ca="1" si="11"/>
        <v>Em dia</v>
      </c>
      <c r="N161" s="99" t="str">
        <f t="shared" ca="1" si="12"/>
        <v>Em dia</v>
      </c>
      <c r="O161" s="99" t="str">
        <f t="shared" ca="1" si="13"/>
        <v>N/A</v>
      </c>
      <c r="P161" s="137" t="str">
        <f t="shared" ca="1" si="14"/>
        <v>Em dia</v>
      </c>
    </row>
    <row r="162" spans="1:16" ht="22.5">
      <c r="A162" s="134" t="str">
        <f>CAC!A187</f>
        <v>SUBSEÇÃO JUDICIÁRIA DE PARAGOMINAS15</v>
      </c>
      <c r="B162" s="78" t="str">
        <f>CAC!C187</f>
        <v>0002312-04.2023.4.01.8010</v>
      </c>
      <c r="C162" s="135" t="str">
        <f>CAC!B187</f>
        <v>Desgaste de equipamento e poluição ambiental pelo uso do gerador</v>
      </c>
      <c r="D162" s="136">
        <f t="shared" ca="1" si="10"/>
        <v>169</v>
      </c>
      <c r="E162" s="137">
        <f>CAC!W187</f>
        <v>45355</v>
      </c>
      <c r="F162" s="137">
        <f>CAC!X187</f>
        <v>45380</v>
      </c>
      <c r="G162" s="138" t="str">
        <f>CAC!AB187</f>
        <v>---</v>
      </c>
      <c r="H162" s="137">
        <f>CAC!AC187</f>
        <v>45426</v>
      </c>
      <c r="I162" s="139"/>
      <c r="J162" s="139"/>
      <c r="K162" s="139"/>
      <c r="L162" s="139"/>
      <c r="M162" s="99" t="str">
        <f t="shared" ca="1" si="11"/>
        <v>Em dia</v>
      </c>
      <c r="N162" s="99" t="str">
        <f t="shared" ca="1" si="12"/>
        <v>Em dia</v>
      </c>
      <c r="O162" s="99" t="str">
        <f t="shared" ca="1" si="13"/>
        <v>N/A</v>
      </c>
      <c r="P162" s="137" t="str">
        <f t="shared" ca="1" si="14"/>
        <v>Em dia</v>
      </c>
    </row>
    <row r="163" spans="1:16" ht="33.75">
      <c r="A163" s="134" t="str">
        <f>CAC!A188</f>
        <v>SUBSEÇÃO JUDICIÁRIA DE PARAGOMINAS16</v>
      </c>
      <c r="B163" s="78" t="str">
        <f>CAC!C188</f>
        <v>0002312-04.2023.4.01.8010</v>
      </c>
      <c r="C163" s="135" t="str">
        <f>CAC!B188</f>
        <v>Prover ambiente saudável, eliminando os focos onde determinados insetos e ratos possam se desenvolver.</v>
      </c>
      <c r="D163" s="136">
        <f t="shared" ca="1" si="10"/>
        <v>108</v>
      </c>
      <c r="E163" s="137">
        <f>CAC!W188</f>
        <v>45294</v>
      </c>
      <c r="F163" s="137">
        <f>CAC!X188</f>
        <v>45319</v>
      </c>
      <c r="G163" s="138" t="str">
        <f>CAC!AB188</f>
        <v>---</v>
      </c>
      <c r="H163" s="137">
        <f>CAC!AC188</f>
        <v>45365</v>
      </c>
      <c r="I163" s="139"/>
      <c r="J163" s="139"/>
      <c r="K163" s="139"/>
      <c r="L163" s="139"/>
      <c r="M163" s="99" t="str">
        <f t="shared" ca="1" si="11"/>
        <v>Em dia</v>
      </c>
      <c r="N163" s="99" t="str">
        <f t="shared" ca="1" si="12"/>
        <v>Em dia</v>
      </c>
      <c r="O163" s="99" t="str">
        <f t="shared" ca="1" si="13"/>
        <v>N/A</v>
      </c>
      <c r="P163" s="137" t="str">
        <f t="shared" ca="1" si="14"/>
        <v>Em dia</v>
      </c>
    </row>
    <row r="164" spans="1:16" ht="45">
      <c r="A164" s="134" t="str">
        <f>CAC!A189</f>
        <v>SUBSEÇÃO JUDICIÁRIA DE PARAGOMINAS17</v>
      </c>
      <c r="B164" s="78" t="str">
        <f>CAC!C189</f>
        <v>0002312-04.2023.4.01.8010</v>
      </c>
      <c r="C164" s="135" t="str">
        <f>CAC!B189</f>
        <v>Facilitar o acesso de pessoas com deficiência entre os pavimentos do prédio da Subseção Judiciária de Paragominas. </v>
      </c>
      <c r="D164" s="136">
        <f t="shared" ca="1" si="10"/>
        <v>230</v>
      </c>
      <c r="E164" s="137">
        <f>CAC!W189</f>
        <v>45367</v>
      </c>
      <c r="F164" s="137">
        <f>CAC!X189</f>
        <v>45392</v>
      </c>
      <c r="G164" s="138" t="str">
        <f>CAC!AB189</f>
        <v>---</v>
      </c>
      <c r="H164" s="137">
        <f>CAC!AC189</f>
        <v>45487</v>
      </c>
      <c r="I164" s="139"/>
      <c r="J164" s="139"/>
      <c r="K164" s="139"/>
      <c r="L164" s="139"/>
      <c r="M164" s="99" t="str">
        <f t="shared" ca="1" si="11"/>
        <v>Em dia</v>
      </c>
      <c r="N164" s="99" t="str">
        <f t="shared" ca="1" si="12"/>
        <v>Em dia</v>
      </c>
      <c r="O164" s="99" t="str">
        <f t="shared" ca="1" si="13"/>
        <v>N/A</v>
      </c>
      <c r="P164" s="137" t="str">
        <f t="shared" ca="1" si="14"/>
        <v>Em dia</v>
      </c>
    </row>
    <row r="165" spans="1:16" ht="22.5">
      <c r="A165" s="134" t="str">
        <f>CAC!A190</f>
        <v>SUBSEÇÃO JUDICIÁRIA DE SANTARÉM1</v>
      </c>
      <c r="B165" s="78" t="str">
        <f>CAC!C192</f>
        <v>0002401-27.2023.4.01.8010</v>
      </c>
      <c r="C165" s="135" t="str">
        <f>CAC!B190</f>
        <v>Manutenção preventiva e corretiva em refrigeração</v>
      </c>
      <c r="D165" s="136">
        <f t="shared" ca="1" si="10"/>
        <v>17</v>
      </c>
      <c r="E165" s="137">
        <f>CAC!W190</f>
        <v>45154</v>
      </c>
      <c r="F165" s="137">
        <f>CAC!X190</f>
        <v>45179</v>
      </c>
      <c r="G165" s="138" t="str">
        <f>CAC!AB190</f>
        <v>---</v>
      </c>
      <c r="H165" s="137">
        <f>CAC!AC190</f>
        <v>45274</v>
      </c>
      <c r="I165" s="139"/>
      <c r="J165" s="139"/>
      <c r="K165" s="139"/>
      <c r="L165" s="139"/>
      <c r="M165" s="99" t="str">
        <f t="shared" ca="1" si="11"/>
        <v>Pendência</v>
      </c>
      <c r="N165" s="99" t="str">
        <f t="shared" ca="1" si="12"/>
        <v>Pendência</v>
      </c>
      <c r="O165" s="99" t="str">
        <f t="shared" ca="1" si="13"/>
        <v>N/A</v>
      </c>
      <c r="P165" s="137" t="str">
        <f t="shared" ca="1" si="14"/>
        <v>Em dia</v>
      </c>
    </row>
    <row r="166" spans="1:16" ht="22.5">
      <c r="A166" s="134" t="str">
        <f>CAC!A191</f>
        <v>SUBSEÇÃO JUDICIÁRIA DE SANTARÉM2</v>
      </c>
      <c r="B166" s="78" t="str">
        <f>CAC!C193</f>
        <v>0002401-27.2023.4.01.8010</v>
      </c>
      <c r="C166" s="135" t="str">
        <f>CAC!B191</f>
        <v>Manutenção preventiva e corretiva do grupo gerador</v>
      </c>
      <c r="D166" s="136">
        <f t="shared" ca="1" si="10"/>
        <v>198</v>
      </c>
      <c r="E166" s="137">
        <f>CAC!W191</f>
        <v>45384</v>
      </c>
      <c r="F166" s="137">
        <f>CAC!X191</f>
        <v>45409</v>
      </c>
      <c r="G166" s="138" t="str">
        <f>CAC!AB191</f>
        <v>---</v>
      </c>
      <c r="H166" s="137">
        <f>CAC!AC191</f>
        <v>45455</v>
      </c>
      <c r="I166" s="139"/>
      <c r="J166" s="139"/>
      <c r="K166" s="139"/>
      <c r="L166" s="139"/>
      <c r="M166" s="99" t="str">
        <f t="shared" ca="1" si="11"/>
        <v>Em dia</v>
      </c>
      <c r="N166" s="99" t="str">
        <f t="shared" ca="1" si="12"/>
        <v>Em dia</v>
      </c>
      <c r="O166" s="99" t="str">
        <f t="shared" ca="1" si="13"/>
        <v>N/A</v>
      </c>
      <c r="P166" s="137" t="str">
        <f t="shared" ca="1" si="14"/>
        <v>Em dia</v>
      </c>
    </row>
    <row r="167" spans="1:16" ht="33.75">
      <c r="A167" s="134" t="str">
        <f>CAC!A192</f>
        <v>SUBSEÇÃO JUDICIÁRIA DE SANTARÉM3</v>
      </c>
      <c r="B167" s="78" t="str">
        <f>CAC!C194</f>
        <v>0002401-27.2023.4.01.8010</v>
      </c>
      <c r="C167" s="135" t="str">
        <f>CAC!B192</f>
        <v>Manutenção preventiva e corretiva das instalações físicas da Subseção de Santarém</v>
      </c>
      <c r="D167" s="136">
        <f t="shared" ca="1" si="10"/>
        <v>-24</v>
      </c>
      <c r="E167" s="137">
        <f>CAC!W192</f>
        <v>45113</v>
      </c>
      <c r="F167" s="137">
        <f>CAC!X192</f>
        <v>45138</v>
      </c>
      <c r="G167" s="138" t="str">
        <f>CAC!AB192</f>
        <v>---</v>
      </c>
      <c r="H167" s="137">
        <f>CAC!AC192</f>
        <v>45233</v>
      </c>
      <c r="I167" s="139"/>
      <c r="J167" s="139"/>
      <c r="K167" s="139"/>
      <c r="L167" s="139"/>
      <c r="M167" s="99" t="str">
        <f t="shared" ca="1" si="11"/>
        <v>Pendência</v>
      </c>
      <c r="N167" s="99" t="str">
        <f t="shared" ca="1" si="12"/>
        <v>Pendência</v>
      </c>
      <c r="O167" s="99" t="str">
        <f t="shared" ca="1" si="13"/>
        <v>N/A</v>
      </c>
      <c r="P167" s="137" t="str">
        <f t="shared" ca="1" si="14"/>
        <v>Pendência</v>
      </c>
    </row>
    <row r="168" spans="1:16" ht="15">
      <c r="A168" s="134" t="str">
        <f>CAC!A193</f>
        <v>SUBSEÇÃO JUDICIÁRIA DE SANTARÉM4</v>
      </c>
      <c r="B168" s="78" t="str">
        <f>CAC!C195</f>
        <v>0002401-27.2023.4.01.8010</v>
      </c>
      <c r="C168" s="135" t="str">
        <f>CAC!B193</f>
        <v>Baterias para o grupo gerador</v>
      </c>
      <c r="D168" s="136">
        <f t="shared" ca="1" si="10"/>
        <v>198</v>
      </c>
      <c r="E168" s="137">
        <f>CAC!W193</f>
        <v>45386</v>
      </c>
      <c r="F168" s="137">
        <f>CAC!X193</f>
        <v>45411</v>
      </c>
      <c r="G168" s="138" t="str">
        <f>CAC!AB193</f>
        <v>---</v>
      </c>
      <c r="H168" s="137">
        <f>CAC!AC193</f>
        <v>45455</v>
      </c>
      <c r="I168" s="139"/>
      <c r="J168" s="139"/>
      <c r="K168" s="139"/>
      <c r="L168" s="139"/>
      <c r="M168" s="99" t="str">
        <f t="shared" ca="1" si="11"/>
        <v>Em dia</v>
      </c>
      <c r="N168" s="99" t="str">
        <f t="shared" ca="1" si="12"/>
        <v>Em dia</v>
      </c>
      <c r="O168" s="99" t="str">
        <f t="shared" ca="1" si="13"/>
        <v>N/A</v>
      </c>
      <c r="P168" s="137" t="str">
        <f t="shared" ca="1" si="14"/>
        <v>Em dia</v>
      </c>
    </row>
    <row r="169" spans="1:16" ht="15">
      <c r="A169" s="134" t="str">
        <f>CAC!A194</f>
        <v>SUBSEÇÃO JUDICIÁRIA DE SANTARÉM5</v>
      </c>
      <c r="B169" s="78" t="str">
        <f>CAC!C196</f>
        <v>0002401-27.2023.4.01.8010</v>
      </c>
      <c r="C169" s="135" t="str">
        <f>CAC!B194</f>
        <v>Baterias para nobreak de 10 kva</v>
      </c>
      <c r="D169" s="136">
        <f t="shared" ca="1" si="10"/>
        <v>107</v>
      </c>
      <c r="E169" s="137">
        <f>CAC!W194</f>
        <v>45293</v>
      </c>
      <c r="F169" s="137">
        <f>CAC!X194</f>
        <v>45318</v>
      </c>
      <c r="G169" s="138" t="str">
        <f>CAC!AB194</f>
        <v>---</v>
      </c>
      <c r="H169" s="137">
        <f>CAC!AC194</f>
        <v>45364</v>
      </c>
      <c r="I169" s="139"/>
      <c r="J169" s="139"/>
      <c r="K169" s="139"/>
      <c r="L169" s="139"/>
      <c r="M169" s="99" t="str">
        <f t="shared" ca="1" si="11"/>
        <v>Em dia</v>
      </c>
      <c r="N169" s="99" t="str">
        <f t="shared" ca="1" si="12"/>
        <v>Em dia</v>
      </c>
      <c r="O169" s="99" t="str">
        <f t="shared" ca="1" si="13"/>
        <v>N/A</v>
      </c>
      <c r="P169" s="137" t="str">
        <f t="shared" ca="1" si="14"/>
        <v>Em dia</v>
      </c>
    </row>
    <row r="170" spans="1:16" ht="33.75">
      <c r="A170" s="134" t="str">
        <f>CAC!A195</f>
        <v>SUBSEÇÃO JUDICIÁRIA DE SANTARÉM6</v>
      </c>
      <c r="B170" s="78" t="str">
        <f>CAC!C197</f>
        <v>0002401-27.2023.4.01.8010</v>
      </c>
      <c r="C170" s="135" t="str">
        <f>CAC!B195</f>
        <v>Conserto de 2 câmaras externas e da fibra óptica do sistema de Circuito Fechado de TV – CFTV</v>
      </c>
      <c r="D170" s="136">
        <f t="shared" ca="1" si="10"/>
        <v>17</v>
      </c>
      <c r="E170" s="137">
        <f>CAC!W195</f>
        <v>45203</v>
      </c>
      <c r="F170" s="137">
        <f>CAC!X195</f>
        <v>45228</v>
      </c>
      <c r="G170" s="138" t="str">
        <f>CAC!AB195</f>
        <v>---</v>
      </c>
      <c r="H170" s="137">
        <f>CAC!AC195</f>
        <v>45274</v>
      </c>
      <c r="I170" s="139"/>
      <c r="J170" s="139"/>
      <c r="K170" s="139"/>
      <c r="L170" s="139"/>
      <c r="M170" s="99" t="str">
        <f t="shared" ca="1" si="11"/>
        <v>Pendência</v>
      </c>
      <c r="N170" s="99" t="str">
        <f t="shared" ca="1" si="12"/>
        <v>Pendência</v>
      </c>
      <c r="O170" s="99" t="str">
        <f t="shared" ca="1" si="13"/>
        <v>N/A</v>
      </c>
      <c r="P170" s="137" t="str">
        <f t="shared" ca="1" si="14"/>
        <v>Em dia</v>
      </c>
    </row>
    <row r="171" spans="1:16" ht="22.5">
      <c r="A171" s="134" t="str">
        <f>CAC!A196</f>
        <v>SUBSEÇÃO JUDICIÁRIA DE SANTARÉM7</v>
      </c>
      <c r="B171" s="78" t="str">
        <f>CAC!C198</f>
        <v>0002401-27.2023.4.01.8010</v>
      </c>
      <c r="C171" s="135" t="str">
        <f>CAC!B196</f>
        <v>Cooler para nobreak SMS - Aquisição e troca</v>
      </c>
      <c r="D171" s="136">
        <f t="shared" ca="1" si="10"/>
        <v>168</v>
      </c>
      <c r="E171" s="137">
        <f>CAC!W196</f>
        <v>45356</v>
      </c>
      <c r="F171" s="137">
        <f>CAC!X196</f>
        <v>45381</v>
      </c>
      <c r="G171" s="138" t="str">
        <f>CAC!AB196</f>
        <v>---</v>
      </c>
      <c r="H171" s="137">
        <f>CAC!AC196</f>
        <v>45425</v>
      </c>
      <c r="I171" s="139"/>
      <c r="J171" s="139"/>
      <c r="K171" s="139"/>
      <c r="L171" s="139"/>
      <c r="M171" s="99" t="str">
        <f t="shared" ca="1" si="11"/>
        <v>Em dia</v>
      </c>
      <c r="N171" s="99" t="str">
        <f t="shared" ca="1" si="12"/>
        <v>Em dia</v>
      </c>
      <c r="O171" s="99" t="str">
        <f t="shared" ca="1" si="13"/>
        <v>N/A</v>
      </c>
      <c r="P171" s="137" t="str">
        <f t="shared" ca="1" si="14"/>
        <v>Em dia</v>
      </c>
    </row>
    <row r="172" spans="1:16" ht="22.5">
      <c r="A172" s="134" t="str">
        <f>CAC!A197</f>
        <v>SUBSEÇÃO JUDICIÁRIA DE SANTARÉM8</v>
      </c>
      <c r="B172" s="78" t="str">
        <f>CAC!C199</f>
        <v>0002401-27.2023.4.01.8010</v>
      </c>
      <c r="C172" s="135" t="str">
        <f>CAC!B197</f>
        <v>Reativação do Circuito Fechado de TV – CFTV</v>
      </c>
      <c r="D172" s="136">
        <f t="shared" ca="1" si="10"/>
        <v>75</v>
      </c>
      <c r="E172" s="137">
        <f>CAC!W197</f>
        <v>45261</v>
      </c>
      <c r="F172" s="137">
        <f>CAC!X197</f>
        <v>45286</v>
      </c>
      <c r="G172" s="138" t="str">
        <f>CAC!AB197</f>
        <v>---</v>
      </c>
      <c r="H172" s="137">
        <f>CAC!AC197</f>
        <v>45332</v>
      </c>
      <c r="I172" s="139"/>
      <c r="J172" s="139"/>
      <c r="K172" s="139"/>
      <c r="L172" s="139"/>
      <c r="M172" s="99" t="str">
        <f t="shared" ca="1" si="11"/>
        <v>Em dia</v>
      </c>
      <c r="N172" s="99" t="str">
        <f t="shared" ca="1" si="12"/>
        <v>Em dia</v>
      </c>
      <c r="O172" s="99" t="str">
        <f t="shared" ca="1" si="13"/>
        <v>N/A</v>
      </c>
      <c r="P172" s="137" t="str">
        <f t="shared" ca="1" si="14"/>
        <v>Em dia</v>
      </c>
    </row>
    <row r="173" spans="1:16" ht="15">
      <c r="A173" s="134" t="str">
        <f>CAC!A198</f>
        <v>SUBSEÇÃO JUDICIÁRIA DE SANTARÉM9</v>
      </c>
      <c r="B173" s="78" t="str">
        <f>CAC!C200</f>
        <v>0002401-27.2023.4.01.8010</v>
      </c>
      <c r="C173" s="135" t="str">
        <f>CAC!B198</f>
        <v>Fornecimento de energia elétrica</v>
      </c>
      <c r="D173" s="136">
        <f t="shared" ca="1" si="10"/>
        <v>17</v>
      </c>
      <c r="E173" s="137">
        <f>CAC!W198</f>
        <v>45203</v>
      </c>
      <c r="F173" s="137">
        <f>CAC!X198</f>
        <v>45228</v>
      </c>
      <c r="G173" s="138" t="str">
        <f>CAC!AB198</f>
        <v>---</v>
      </c>
      <c r="H173" s="137">
        <f>CAC!AC198</f>
        <v>45274</v>
      </c>
      <c r="I173" s="139"/>
      <c r="J173" s="139"/>
      <c r="K173" s="139"/>
      <c r="L173" s="139"/>
      <c r="M173" s="99" t="str">
        <f t="shared" ca="1" si="11"/>
        <v>Pendência</v>
      </c>
      <c r="N173" s="99" t="str">
        <f t="shared" ca="1" si="12"/>
        <v>Pendência</v>
      </c>
      <c r="O173" s="99" t="str">
        <f t="shared" ca="1" si="13"/>
        <v>N/A</v>
      </c>
      <c r="P173" s="137" t="str">
        <f t="shared" ca="1" si="14"/>
        <v>Em dia</v>
      </c>
    </row>
    <row r="174" spans="1:16" ht="15">
      <c r="A174" s="134" t="str">
        <f>CAC!A199</f>
        <v>SUBSEÇÃO JUDICIÁRIA DE SANTARÉM10</v>
      </c>
      <c r="B174" s="78" t="str">
        <f>CAC!C201</f>
        <v>0002401-27.2023.4.01.8010</v>
      </c>
      <c r="C174" s="135" t="str">
        <f>CAC!B199</f>
        <v>Modernização do sistema de refrigeração</v>
      </c>
      <c r="D174" s="136">
        <f t="shared" ca="1" si="10"/>
        <v>320</v>
      </c>
      <c r="E174" s="137">
        <f>CAC!W199</f>
        <v>45489</v>
      </c>
      <c r="F174" s="137">
        <f>CAC!X199</f>
        <v>45514</v>
      </c>
      <c r="G174" s="138" t="str">
        <f>CAC!AB199</f>
        <v>---</v>
      </c>
      <c r="H174" s="137">
        <f>CAC!AC199</f>
        <v>45577</v>
      </c>
      <c r="I174" s="139"/>
      <c r="J174" s="139"/>
      <c r="K174" s="139"/>
      <c r="L174" s="139"/>
      <c r="M174" s="99" t="str">
        <f t="shared" ca="1" si="11"/>
        <v>Em dia</v>
      </c>
      <c r="N174" s="99" t="str">
        <f t="shared" ca="1" si="12"/>
        <v>Em dia</v>
      </c>
      <c r="O174" s="99" t="str">
        <f t="shared" ca="1" si="13"/>
        <v>N/A</v>
      </c>
      <c r="P174" s="137" t="str">
        <f t="shared" ca="1" si="14"/>
        <v>Em dia</v>
      </c>
    </row>
    <row r="175" spans="1:16" ht="15">
      <c r="A175" s="134" t="str">
        <f>CAC!A200</f>
        <v>SUBSEÇÃO JUDICIÁRIA DE SANTARÉM11</v>
      </c>
      <c r="B175" s="78" t="str">
        <f>CAC!C201</f>
        <v>0002401-27.2023.4.01.8010</v>
      </c>
      <c r="C175" s="135" t="str">
        <f>CAC!B200</f>
        <v>Recarga de extintores</v>
      </c>
      <c r="D175" s="136">
        <f t="shared" ca="1" si="10"/>
        <v>229</v>
      </c>
      <c r="E175" s="137">
        <f>CAC!W200</f>
        <v>45417</v>
      </c>
      <c r="F175" s="137">
        <f>CAC!X200</f>
        <v>45442</v>
      </c>
      <c r="G175" s="138" t="str">
        <f>CAC!AB200</f>
        <v>---</v>
      </c>
      <c r="H175" s="137">
        <f>CAC!AC200</f>
        <v>45486</v>
      </c>
      <c r="I175" s="139"/>
      <c r="J175" s="139"/>
      <c r="K175" s="139"/>
      <c r="L175" s="139"/>
      <c r="M175" s="99" t="str">
        <f t="shared" ca="1" si="11"/>
        <v>Em dia</v>
      </c>
      <c r="N175" s="99" t="str">
        <f t="shared" ca="1" si="12"/>
        <v>Em dia</v>
      </c>
      <c r="O175" s="99" t="str">
        <f t="shared" ca="1" si="13"/>
        <v>N/A</v>
      </c>
      <c r="P175" s="137" t="str">
        <f t="shared" ca="1" si="14"/>
        <v>Em dia</v>
      </c>
    </row>
    <row r="176" spans="1:16" ht="15">
      <c r="A176" s="134" t="str">
        <f>CAC!A201</f>
        <v>SUBSEÇÃO JUDICIÁRIA DE SANTARÉM12</v>
      </c>
      <c r="B176" s="78" t="str">
        <f>CAC!C202</f>
        <v>0002401-27.2023.4.01.8010</v>
      </c>
      <c r="C176" s="135" t="str">
        <f>CAC!B201</f>
        <v>Recarga de extintores</v>
      </c>
      <c r="D176" s="136">
        <f t="shared" ca="1" si="10"/>
        <v>229</v>
      </c>
      <c r="E176" s="137">
        <f>CAC!W201</f>
        <v>45415</v>
      </c>
      <c r="F176" s="137">
        <f>CAC!X201</f>
        <v>45440</v>
      </c>
      <c r="G176" s="138" t="str">
        <f>CAC!AB201</f>
        <v>---</v>
      </c>
      <c r="H176" s="137">
        <f>CAC!AC201</f>
        <v>45486</v>
      </c>
      <c r="I176" s="139"/>
      <c r="J176" s="139"/>
      <c r="K176" s="139"/>
      <c r="L176" s="139"/>
      <c r="M176" s="99" t="str">
        <f t="shared" ca="1" si="11"/>
        <v>Em dia</v>
      </c>
      <c r="N176" s="99" t="str">
        <f t="shared" ca="1" si="12"/>
        <v>Em dia</v>
      </c>
      <c r="O176" s="99" t="str">
        <f t="shared" ca="1" si="13"/>
        <v>N/A</v>
      </c>
      <c r="P176" s="137" t="str">
        <f t="shared" ca="1" si="14"/>
        <v>Em dia</v>
      </c>
    </row>
    <row r="177" spans="1:16" ht="15">
      <c r="A177" s="134" t="str">
        <f>CAC!A202</f>
        <v>SUBSEÇÃO JUDICIÁRIA DE SANTARÉM13</v>
      </c>
      <c r="B177" s="78" t="str">
        <f>CAC!C204</f>
        <v>0002401-27.2023.4.01.8010</v>
      </c>
      <c r="C177" s="135" t="str">
        <f>CAC!B202</f>
        <v>Recarga de extintores</v>
      </c>
      <c r="D177" s="136">
        <f t="shared" ca="1" si="10"/>
        <v>229</v>
      </c>
      <c r="E177" s="137">
        <f>CAC!W202</f>
        <v>45415</v>
      </c>
      <c r="F177" s="137">
        <f>CAC!X202</f>
        <v>45440</v>
      </c>
      <c r="G177" s="138" t="str">
        <f>CAC!AB202</f>
        <v>---</v>
      </c>
      <c r="H177" s="137">
        <f>CAC!AC202</f>
        <v>45486</v>
      </c>
      <c r="I177" s="139"/>
      <c r="J177" s="139"/>
      <c r="K177" s="139"/>
      <c r="L177" s="139"/>
      <c r="M177" s="99" t="str">
        <f t="shared" ca="1" si="11"/>
        <v>Em dia</v>
      </c>
      <c r="N177" s="99" t="str">
        <f t="shared" ca="1" si="12"/>
        <v>Em dia</v>
      </c>
      <c r="O177" s="99" t="str">
        <f t="shared" ca="1" si="13"/>
        <v>N/A</v>
      </c>
      <c r="P177" s="137" t="str">
        <f t="shared" ca="1" si="14"/>
        <v>Em dia</v>
      </c>
    </row>
    <row r="178" spans="1:16" ht="15">
      <c r="A178" s="134" t="str">
        <f>CAC!A203</f>
        <v>SUBSEÇÃO JUDICIÁRIA DE SANTARÉM14</v>
      </c>
      <c r="B178" s="78" t="str">
        <f>CAC!C205</f>
        <v>0002401-27.2023.4.01.8010</v>
      </c>
      <c r="C178" s="135" t="str">
        <f>CAC!B203</f>
        <v>Recarga de extintores</v>
      </c>
      <c r="D178" s="136">
        <f t="shared" ca="1" si="10"/>
        <v>229</v>
      </c>
      <c r="E178" s="137">
        <f>CAC!W203</f>
        <v>45417</v>
      </c>
      <c r="F178" s="137">
        <f>CAC!X203</f>
        <v>45442</v>
      </c>
      <c r="G178" s="138" t="str">
        <f>CAC!AB203</f>
        <v>---</v>
      </c>
      <c r="H178" s="137">
        <f>CAC!AC203</f>
        <v>45486</v>
      </c>
      <c r="I178" s="139"/>
      <c r="J178" s="139"/>
      <c r="K178" s="139"/>
      <c r="L178" s="139"/>
      <c r="M178" s="99" t="str">
        <f t="shared" ca="1" si="11"/>
        <v>Em dia</v>
      </c>
      <c r="N178" s="99" t="str">
        <f t="shared" ca="1" si="12"/>
        <v>Em dia</v>
      </c>
      <c r="O178" s="99" t="str">
        <f t="shared" ca="1" si="13"/>
        <v>N/A</v>
      </c>
      <c r="P178" s="137" t="str">
        <f t="shared" ca="1" si="14"/>
        <v>Em dia</v>
      </c>
    </row>
    <row r="179" spans="1:16" ht="15">
      <c r="A179" s="134" t="str">
        <f>CAC!A204</f>
        <v>SUBSEÇÃO JUDICIÁRIA DE SANTARÉM15</v>
      </c>
      <c r="B179" s="78" t="str">
        <f>CAC!C206</f>
        <v>0002401-27.2023.4.01.8010</v>
      </c>
      <c r="C179" s="135" t="str">
        <f>CAC!B204</f>
        <v>Recarga de extintores</v>
      </c>
      <c r="D179" s="136">
        <f t="shared" ca="1" si="10"/>
        <v>229</v>
      </c>
      <c r="E179" s="137">
        <f>CAC!W204</f>
        <v>45417</v>
      </c>
      <c r="F179" s="137">
        <f>CAC!X204</f>
        <v>45442</v>
      </c>
      <c r="G179" s="138" t="str">
        <f>CAC!AB204</f>
        <v>---</v>
      </c>
      <c r="H179" s="137">
        <f>CAC!AC204</f>
        <v>45486</v>
      </c>
      <c r="I179" s="139"/>
      <c r="J179" s="139"/>
      <c r="K179" s="139"/>
      <c r="L179" s="139"/>
      <c r="M179" s="99" t="str">
        <f t="shared" ca="1" si="11"/>
        <v>Em dia</v>
      </c>
      <c r="N179" s="99" t="str">
        <f t="shared" ca="1" si="12"/>
        <v>Em dia</v>
      </c>
      <c r="O179" s="99" t="str">
        <f t="shared" ca="1" si="13"/>
        <v>N/A</v>
      </c>
      <c r="P179" s="137" t="str">
        <f t="shared" ca="1" si="14"/>
        <v>Em dia</v>
      </c>
    </row>
    <row r="180" spans="1:16" ht="33.75">
      <c r="A180" s="134" t="str">
        <f>CAC!A205</f>
        <v>SUBSEÇÃO JUDICIÁRIA DE SANTARÉM16</v>
      </c>
      <c r="B180" s="78" t="str">
        <f>CAC!C207</f>
        <v>0002401-27.2023.4.01.8010</v>
      </c>
      <c r="C180" s="135" t="str">
        <f>CAC!B205</f>
        <v>Limpeza / manutenção preventiva e corretiva da Estação de Tratamento de Efluentes – ETE</v>
      </c>
      <c r="D180" s="136">
        <f t="shared" ca="1" si="10"/>
        <v>229</v>
      </c>
      <c r="E180" s="137">
        <f>CAC!W205</f>
        <v>45417</v>
      </c>
      <c r="F180" s="137">
        <f>CAC!X205</f>
        <v>45442</v>
      </c>
      <c r="G180" s="138" t="str">
        <f>CAC!AB205</f>
        <v>---</v>
      </c>
      <c r="H180" s="137">
        <f>CAC!AC205</f>
        <v>45486</v>
      </c>
      <c r="I180" s="139"/>
      <c r="J180" s="139"/>
      <c r="K180" s="139"/>
      <c r="L180" s="139"/>
      <c r="M180" s="99" t="str">
        <f t="shared" ca="1" si="11"/>
        <v>Em dia</v>
      </c>
      <c r="N180" s="99" t="str">
        <f t="shared" ca="1" si="12"/>
        <v>Em dia</v>
      </c>
      <c r="O180" s="99" t="str">
        <f t="shared" ca="1" si="13"/>
        <v>N/A</v>
      </c>
      <c r="P180" s="137" t="str">
        <f t="shared" ca="1" si="14"/>
        <v>Em dia</v>
      </c>
    </row>
    <row r="181" spans="1:16" ht="33.75">
      <c r="A181" s="134" t="str">
        <f>CAC!A206</f>
        <v>SUBSEÇÃO JUDICIÁRIA DE SANTARÉM17</v>
      </c>
      <c r="B181" s="78" t="str">
        <f>CAC!C208</f>
        <v>0002401-27.2023.4.01.8010</v>
      </c>
      <c r="C181" s="135" t="str">
        <f>CAC!B206</f>
        <v>Limpeza periódica das placas solares e manutenção da mini usina solar fotovoltaica</v>
      </c>
      <c r="D181" s="136">
        <f t="shared" ca="1" si="10"/>
        <v>107</v>
      </c>
      <c r="E181" s="137">
        <f>CAC!W206</f>
        <v>45276</v>
      </c>
      <c r="F181" s="137">
        <f>CAC!X206</f>
        <v>45301</v>
      </c>
      <c r="G181" s="138" t="str">
        <f>CAC!AB206</f>
        <v>---</v>
      </c>
      <c r="H181" s="137">
        <f>CAC!AC206</f>
        <v>45364</v>
      </c>
      <c r="I181" s="139"/>
      <c r="J181" s="139"/>
      <c r="K181" s="139"/>
      <c r="L181" s="139"/>
      <c r="M181" s="99" t="str">
        <f t="shared" ca="1" si="11"/>
        <v>Em dia</v>
      </c>
      <c r="N181" s="99" t="str">
        <f t="shared" ca="1" si="12"/>
        <v>Em dia</v>
      </c>
      <c r="O181" s="99" t="str">
        <f t="shared" ca="1" si="13"/>
        <v>N/A</v>
      </c>
      <c r="P181" s="137" t="str">
        <f t="shared" ca="1" si="14"/>
        <v>Em dia</v>
      </c>
    </row>
    <row r="182" spans="1:16" ht="22.5">
      <c r="A182" s="134" t="str">
        <f>CAC!A207</f>
        <v>SUBSEÇÃO JUDICIÁRIA DE SANTARÉM18</v>
      </c>
      <c r="B182" s="78" t="str">
        <f>CAC!C209</f>
        <v>0002401-27.2023.4.01.8010</v>
      </c>
      <c r="C182" s="135" t="str">
        <f>CAC!B207</f>
        <v>Aquisição de veículo utilitário tipo pikcup e acessórios</v>
      </c>
      <c r="D182" s="136">
        <f t="shared" ca="1" si="10"/>
        <v>47</v>
      </c>
      <c r="E182" s="137">
        <f>CAC!W207</f>
        <v>45216</v>
      </c>
      <c r="F182" s="137">
        <f>CAC!X207</f>
        <v>45241</v>
      </c>
      <c r="G182" s="138" t="str">
        <f>CAC!AB207</f>
        <v>---</v>
      </c>
      <c r="H182" s="137">
        <f>CAC!AC207</f>
        <v>45304</v>
      </c>
      <c r="I182" s="139"/>
      <c r="J182" s="139"/>
      <c r="K182" s="139"/>
      <c r="L182" s="139"/>
      <c r="M182" s="99" t="str">
        <f t="shared" ca="1" si="11"/>
        <v>Pendência</v>
      </c>
      <c r="N182" s="99" t="str">
        <f t="shared" ca="1" si="12"/>
        <v>Pendência</v>
      </c>
      <c r="O182" s="99" t="str">
        <f t="shared" ca="1" si="13"/>
        <v>N/A</v>
      </c>
      <c r="P182" s="137" t="str">
        <f t="shared" ca="1" si="14"/>
        <v>Em dia</v>
      </c>
    </row>
    <row r="183" spans="1:16" ht="33.75">
      <c r="A183" s="134" t="str">
        <f>CAC!A208</f>
        <v>SUBSEÇÃO JUDICIÁRIA DE SANTARÉM19</v>
      </c>
      <c r="B183" s="78" t="str">
        <f>CAC!C210</f>
        <v>0002401-27.2023.4.01.8010</v>
      </c>
      <c r="C183" s="135" t="str">
        <f>CAC!B208</f>
        <v>Refrigeração da edícula da subestação de energia elétrica e adequação do ambiente</v>
      </c>
      <c r="D183" s="136">
        <f t="shared" ca="1" si="10"/>
        <v>96</v>
      </c>
      <c r="E183" s="137">
        <f>CAC!W208</f>
        <v>45284</v>
      </c>
      <c r="F183" s="137">
        <f>CAC!X208</f>
        <v>45309</v>
      </c>
      <c r="G183" s="138" t="str">
        <f>CAC!AB208</f>
        <v>---</v>
      </c>
      <c r="H183" s="137">
        <f>CAC!AC208</f>
        <v>45353</v>
      </c>
      <c r="I183" s="139"/>
      <c r="J183" s="139"/>
      <c r="K183" s="139"/>
      <c r="L183" s="139"/>
      <c r="M183" s="99" t="str">
        <f t="shared" ca="1" si="11"/>
        <v>Em dia</v>
      </c>
      <c r="N183" s="99" t="str">
        <f t="shared" ca="1" si="12"/>
        <v>Em dia</v>
      </c>
      <c r="O183" s="99" t="str">
        <f t="shared" ca="1" si="13"/>
        <v>N/A</v>
      </c>
      <c r="P183" s="137" t="str">
        <f t="shared" ca="1" si="14"/>
        <v>Em dia</v>
      </c>
    </row>
    <row r="184" spans="1:16" ht="15">
      <c r="A184" s="134" t="str">
        <f>CAC!A209</f>
        <v>SUBSEÇÃO JUDICIÁRIA DE SANTARÉM20</v>
      </c>
      <c r="B184" s="78" t="str">
        <f>CAC!C211</f>
        <v>0002401-27.2023.4.01.8010</v>
      </c>
      <c r="C184" s="135" t="str">
        <f>CAC!B209</f>
        <v>Troca da usca ou conserto</v>
      </c>
      <c r="D184" s="136">
        <f t="shared" ca="1" si="10"/>
        <v>168</v>
      </c>
      <c r="E184" s="137">
        <f>CAC!W209</f>
        <v>45337</v>
      </c>
      <c r="F184" s="137">
        <f>CAC!X209</f>
        <v>45362</v>
      </c>
      <c r="G184" s="138" t="str">
        <f>CAC!AB209</f>
        <v>---</v>
      </c>
      <c r="H184" s="137">
        <f>CAC!AC209</f>
        <v>45425</v>
      </c>
      <c r="I184" s="139"/>
      <c r="J184" s="139"/>
      <c r="K184" s="139"/>
      <c r="L184" s="139"/>
      <c r="M184" s="99" t="str">
        <f t="shared" ca="1" si="11"/>
        <v>Em dia</v>
      </c>
      <c r="N184" s="99" t="str">
        <f t="shared" ca="1" si="12"/>
        <v>Em dia</v>
      </c>
      <c r="O184" s="99" t="str">
        <f t="shared" ca="1" si="13"/>
        <v>N/A</v>
      </c>
      <c r="P184" s="137" t="str">
        <f t="shared" ca="1" si="14"/>
        <v>Em dia</v>
      </c>
    </row>
    <row r="185" spans="1:16" ht="15">
      <c r="A185" s="134" t="str">
        <f>CAC!A210</f>
        <v>SUBSEÇÃO JUDICIÁRIA DE SANTARÉM21</v>
      </c>
      <c r="B185" s="78" t="str">
        <f>CAC!C212</f>
        <v>0002401-27.2023.4.01.8010</v>
      </c>
      <c r="C185" s="135" t="str">
        <f>CAC!B210</f>
        <v>Câmaras externas – modernização</v>
      </c>
      <c r="D185" s="136">
        <f t="shared" ca="1" si="10"/>
        <v>168</v>
      </c>
      <c r="E185" s="137">
        <f>CAC!W210</f>
        <v>45356</v>
      </c>
      <c r="F185" s="137">
        <f>CAC!X210</f>
        <v>45381</v>
      </c>
      <c r="G185" s="138" t="str">
        <f>CAC!AB210</f>
        <v>---</v>
      </c>
      <c r="H185" s="137">
        <f>CAC!AC210</f>
        <v>45425</v>
      </c>
      <c r="I185" s="139"/>
      <c r="J185" s="139"/>
      <c r="K185" s="139"/>
      <c r="L185" s="139"/>
      <c r="M185" s="99" t="str">
        <f t="shared" ca="1" si="11"/>
        <v>Em dia</v>
      </c>
      <c r="N185" s="99" t="str">
        <f t="shared" ca="1" si="12"/>
        <v>Em dia</v>
      </c>
      <c r="O185" s="99" t="str">
        <f t="shared" ca="1" si="13"/>
        <v>N/A</v>
      </c>
      <c r="P185" s="137" t="str">
        <f t="shared" ca="1" si="14"/>
        <v>Em dia</v>
      </c>
    </row>
    <row r="186" spans="1:16" ht="33.75">
      <c r="A186" s="134" t="str">
        <f>CAC!A211</f>
        <v>SUBSEÇÃO JUDICIÁRIA DE SANTARÉM22</v>
      </c>
      <c r="B186" s="78" t="str">
        <f>CAC!C213</f>
        <v>0002401-27.2023.4.01.8010</v>
      </c>
      <c r="C186" s="135" t="str">
        <f>CAC!B211</f>
        <v>Diversas demandas relacionadas à reforma predial não contempladas na reforma (modernização) de 2022.</v>
      </c>
      <c r="D186" s="136">
        <f t="shared" ca="1" si="10"/>
        <v>137</v>
      </c>
      <c r="E186" s="137">
        <f>CAC!W211</f>
        <v>45306</v>
      </c>
      <c r="F186" s="137">
        <f>CAC!X211</f>
        <v>45331</v>
      </c>
      <c r="G186" s="138" t="str">
        <f>CAC!AB211</f>
        <v>---</v>
      </c>
      <c r="H186" s="137">
        <f>CAC!AC211</f>
        <v>45394</v>
      </c>
      <c r="I186" s="139"/>
      <c r="J186" s="139"/>
      <c r="K186" s="139"/>
      <c r="L186" s="139"/>
      <c r="M186" s="99" t="str">
        <f t="shared" ca="1" si="11"/>
        <v>Em dia</v>
      </c>
      <c r="N186" s="99" t="str">
        <f t="shared" ca="1" si="12"/>
        <v>Em dia</v>
      </c>
      <c r="O186" s="99" t="str">
        <f t="shared" ca="1" si="13"/>
        <v>N/A</v>
      </c>
      <c r="P186" s="137" t="str">
        <f t="shared" ca="1" si="14"/>
        <v>Em dia</v>
      </c>
    </row>
    <row r="187" spans="1:16" ht="15">
      <c r="A187" s="134" t="str">
        <f>CAC!A212</f>
        <v>SUBSEÇÃO JUDICIÁRIA DE SANTARÉM23</v>
      </c>
      <c r="B187" s="78" t="str">
        <f>CAC!C214</f>
        <v>0002401-27.2023.4.01.8010</v>
      </c>
      <c r="C187" s="135" t="str">
        <f>CAC!B212</f>
        <v>Conserto do portão de veículos</v>
      </c>
      <c r="D187" s="136">
        <f t="shared" ca="1" si="10"/>
        <v>47</v>
      </c>
      <c r="E187" s="137">
        <f>CAC!W212</f>
        <v>45235</v>
      </c>
      <c r="F187" s="137">
        <f>CAC!X212</f>
        <v>45260</v>
      </c>
      <c r="G187" s="138" t="str">
        <f>CAC!AB212</f>
        <v>---</v>
      </c>
      <c r="H187" s="137">
        <f>CAC!AC212</f>
        <v>45304</v>
      </c>
      <c r="I187" s="139"/>
      <c r="J187" s="139"/>
      <c r="K187" s="139"/>
      <c r="L187" s="139"/>
      <c r="M187" s="99" t="str">
        <f t="shared" ca="1" si="11"/>
        <v>Pendência</v>
      </c>
      <c r="N187" s="99" t="str">
        <f t="shared" ca="1" si="12"/>
        <v>Em dia</v>
      </c>
      <c r="O187" s="99" t="str">
        <f t="shared" ca="1" si="13"/>
        <v>N/A</v>
      </c>
      <c r="P187" s="137" t="str">
        <f t="shared" ca="1" si="14"/>
        <v>Em dia</v>
      </c>
    </row>
    <row r="188" spans="1:16" ht="22.5">
      <c r="A188" s="134" t="str">
        <f>CAC!A213</f>
        <v>SUBSEÇÃO JUDICIÁRIA DE SANTARÉM24</v>
      </c>
      <c r="B188" s="78" t="str">
        <f>CAC!C215</f>
        <v>0002401-27.2023.4.01.8010</v>
      </c>
      <c r="C188" s="135" t="str">
        <f>CAC!B213</f>
        <v>Banco de capacitores para a subestação de energia elétrica</v>
      </c>
      <c r="D188" s="136">
        <f t="shared" ca="1" si="10"/>
        <v>107</v>
      </c>
      <c r="E188" s="137">
        <f>CAC!W213</f>
        <v>45295</v>
      </c>
      <c r="F188" s="137">
        <f>CAC!X213</f>
        <v>45320</v>
      </c>
      <c r="G188" s="138" t="str">
        <f>CAC!AB213</f>
        <v>---</v>
      </c>
      <c r="H188" s="137">
        <f>CAC!AC213</f>
        <v>45364</v>
      </c>
      <c r="I188" s="139"/>
      <c r="J188" s="139"/>
      <c r="K188" s="139"/>
      <c r="L188" s="139"/>
      <c r="M188" s="99" t="str">
        <f t="shared" ca="1" si="11"/>
        <v>Em dia</v>
      </c>
      <c r="N188" s="99" t="str">
        <f t="shared" ca="1" si="12"/>
        <v>Em dia</v>
      </c>
      <c r="O188" s="99" t="str">
        <f t="shared" ca="1" si="13"/>
        <v>N/A</v>
      </c>
      <c r="P188" s="137" t="str">
        <f t="shared" ca="1" si="14"/>
        <v>Em dia</v>
      </c>
    </row>
    <row r="189" spans="1:16" ht="15">
      <c r="A189" s="134" t="str">
        <f>CAC!A214</f>
        <v>SUBSEÇÃO JUDICIÁRIA DE SANTARÉM25</v>
      </c>
      <c r="B189" s="78" t="str">
        <f>CAC!C216</f>
        <v>0002401-27.2023.4.01.8010</v>
      </c>
      <c r="C189" s="135" t="str">
        <f>CAC!B214</f>
        <v>Moldura para certificado</v>
      </c>
      <c r="D189" s="136">
        <f t="shared" ca="1" si="10"/>
        <v>168</v>
      </c>
      <c r="E189" s="137">
        <f>CAC!W214</f>
        <v>45356</v>
      </c>
      <c r="F189" s="137">
        <f>CAC!X214</f>
        <v>45381</v>
      </c>
      <c r="G189" s="138" t="str">
        <f>CAC!AB214</f>
        <v>---</v>
      </c>
      <c r="H189" s="137">
        <f>CAC!AC214</f>
        <v>45425</v>
      </c>
      <c r="I189" s="139"/>
      <c r="J189" s="139"/>
      <c r="K189" s="139"/>
      <c r="L189" s="139"/>
      <c r="M189" s="99" t="str">
        <f t="shared" ca="1" si="11"/>
        <v>Em dia</v>
      </c>
      <c r="N189" s="99" t="str">
        <f t="shared" ca="1" si="12"/>
        <v>Em dia</v>
      </c>
      <c r="O189" s="99" t="str">
        <f t="shared" ca="1" si="13"/>
        <v>N/A</v>
      </c>
      <c r="P189" s="137" t="str">
        <f t="shared" ca="1" si="14"/>
        <v>Em dia</v>
      </c>
    </row>
    <row r="190" spans="1:16" ht="15">
      <c r="A190" s="134" t="str">
        <f>CAC!A215</f>
        <v>SUBSEÇÃO JUDICIÁRIA DE SANTARÉM26</v>
      </c>
      <c r="B190" s="78" t="str">
        <f>CAC!C217</f>
        <v>0002401-27.2023.4.01.8010</v>
      </c>
      <c r="C190" s="135" t="str">
        <f>CAC!B215</f>
        <v>Dedetização e descupinização</v>
      </c>
      <c r="D190" s="136">
        <f t="shared" ca="1" si="10"/>
        <v>260</v>
      </c>
      <c r="E190" s="137">
        <f>CAC!W215</f>
        <v>45448</v>
      </c>
      <c r="F190" s="137">
        <f>CAC!X215</f>
        <v>45473</v>
      </c>
      <c r="G190" s="138" t="str">
        <f>CAC!AB215</f>
        <v>---</v>
      </c>
      <c r="H190" s="137">
        <f>CAC!AC215</f>
        <v>45517</v>
      </c>
      <c r="I190" s="139"/>
      <c r="J190" s="139"/>
      <c r="K190" s="139"/>
      <c r="L190" s="139"/>
      <c r="M190" s="99" t="str">
        <f t="shared" ca="1" si="11"/>
        <v>Em dia</v>
      </c>
      <c r="N190" s="99" t="str">
        <f t="shared" ca="1" si="12"/>
        <v>Em dia</v>
      </c>
      <c r="O190" s="99" t="str">
        <f t="shared" ca="1" si="13"/>
        <v>N/A</v>
      </c>
      <c r="P190" s="137" t="str">
        <f t="shared" ca="1" si="14"/>
        <v>Em dia</v>
      </c>
    </row>
    <row r="191" spans="1:16" ht="22.5">
      <c r="A191" s="134" t="str">
        <f>CAC!A216</f>
        <v>SUBSEÇÃO JUDICIÁRIA DE SANTARÉM27</v>
      </c>
      <c r="B191" s="78" t="str">
        <f>CAC!C218</f>
        <v>0002401-27.2023.4.01.8010</v>
      </c>
      <c r="C191" s="135" t="str">
        <f>CAC!B216</f>
        <v>Fornecimento de água da Concessionária Cosanpa</v>
      </c>
      <c r="D191" s="136">
        <f t="shared" ca="1" si="10"/>
        <v>17</v>
      </c>
      <c r="E191" s="137">
        <f>CAC!W216</f>
        <v>45205</v>
      </c>
      <c r="F191" s="137">
        <f>CAC!X216</f>
        <v>45230</v>
      </c>
      <c r="G191" s="138" t="str">
        <f>CAC!AB216</f>
        <v>---</v>
      </c>
      <c r="H191" s="137">
        <f>CAC!AC216</f>
        <v>45274</v>
      </c>
      <c r="I191" s="139"/>
      <c r="J191" s="139"/>
      <c r="K191" s="139"/>
      <c r="L191" s="139"/>
      <c r="M191" s="99" t="str">
        <f t="shared" ca="1" si="11"/>
        <v>Pendência</v>
      </c>
      <c r="N191" s="99" t="str">
        <f t="shared" ca="1" si="12"/>
        <v>Pendência</v>
      </c>
      <c r="O191" s="99" t="str">
        <f t="shared" ca="1" si="13"/>
        <v>N/A</v>
      </c>
      <c r="P191" s="137" t="str">
        <f t="shared" ca="1" si="14"/>
        <v>Em dia</v>
      </c>
    </row>
    <row r="192" spans="1:16" ht="22.5">
      <c r="A192" s="134" t="str">
        <f>CAC!A217</f>
        <v>SUBSEÇÃO JUDICIÁRIA DE SANTARÉM28</v>
      </c>
      <c r="B192" s="78" t="str">
        <f>CAC!C219</f>
        <v>0002401-27.2023.4.01.8010</v>
      </c>
      <c r="C192" s="135" t="str">
        <f>CAC!B217</f>
        <v>Aquisição de café, açúcar e copo descartável</v>
      </c>
      <c r="D192" s="136">
        <f t="shared" ca="1" si="10"/>
        <v>17</v>
      </c>
      <c r="E192" s="137">
        <f>CAC!W217</f>
        <v>45205</v>
      </c>
      <c r="F192" s="137">
        <f>CAC!X217</f>
        <v>45230</v>
      </c>
      <c r="G192" s="138" t="str">
        <f>CAC!AB217</f>
        <v>---</v>
      </c>
      <c r="H192" s="137">
        <f>CAC!AC217</f>
        <v>45274</v>
      </c>
      <c r="I192" s="139"/>
      <c r="J192" s="139"/>
      <c r="K192" s="139"/>
      <c r="L192" s="139"/>
      <c r="M192" s="99" t="str">
        <f t="shared" ca="1" si="11"/>
        <v>Pendência</v>
      </c>
      <c r="N192" s="99" t="str">
        <f t="shared" ca="1" si="12"/>
        <v>Pendência</v>
      </c>
      <c r="O192" s="99" t="str">
        <f t="shared" ca="1" si="13"/>
        <v>N/A</v>
      </c>
      <c r="P192" s="137" t="str">
        <f t="shared" ca="1" si="14"/>
        <v>Em dia</v>
      </c>
    </row>
    <row r="193" spans="1:16" ht="22.5">
      <c r="A193" s="134" t="str">
        <f>CAC!A218</f>
        <v>SUBSEÇÃO JUDICIÁRIA DE SANTARÉM29</v>
      </c>
      <c r="B193" s="78" t="str">
        <f>CAC!C220</f>
        <v>0002401-27.2023.4.01.8010</v>
      </c>
      <c r="C193" s="135" t="str">
        <f>CAC!B218</f>
        <v>Aquisição de café, açúcar e copo descartável</v>
      </c>
      <c r="D193" s="136">
        <f t="shared" ca="1" si="10"/>
        <v>17</v>
      </c>
      <c r="E193" s="137">
        <f>CAC!W218</f>
        <v>45205</v>
      </c>
      <c r="F193" s="137">
        <f>CAC!X218</f>
        <v>45230</v>
      </c>
      <c r="G193" s="138" t="str">
        <f>CAC!AB218</f>
        <v>---</v>
      </c>
      <c r="H193" s="137">
        <f>CAC!AC218</f>
        <v>45274</v>
      </c>
      <c r="I193" s="139"/>
      <c r="J193" s="139"/>
      <c r="K193" s="139"/>
      <c r="L193" s="139"/>
      <c r="M193" s="99" t="str">
        <f t="shared" ca="1" si="11"/>
        <v>Pendência</v>
      </c>
      <c r="N193" s="99" t="str">
        <f t="shared" ca="1" si="12"/>
        <v>Pendência</v>
      </c>
      <c r="O193" s="99" t="str">
        <f t="shared" ca="1" si="13"/>
        <v>N/A</v>
      </c>
      <c r="P193" s="137" t="str">
        <f t="shared" ca="1" si="14"/>
        <v>Em dia</v>
      </c>
    </row>
    <row r="194" spans="1:16" ht="22.5">
      <c r="A194" s="134" t="str">
        <f>CAC!A219</f>
        <v>SUBSEÇÃO JUDICIÁRIA DE SANTARÉM30</v>
      </c>
      <c r="B194" s="78" t="str">
        <f>CAC!C221</f>
        <v>0002401-27.2023.4.01.8010</v>
      </c>
      <c r="C194" s="135" t="str">
        <f>CAC!B219</f>
        <v>Aquisição de café, açúcar e copo descartável</v>
      </c>
      <c r="D194" s="136">
        <f t="shared" ref="D194:D226" ca="1" si="15">H194-TODAY()</f>
        <v>17</v>
      </c>
      <c r="E194" s="137">
        <f>CAC!W219</f>
        <v>45205</v>
      </c>
      <c r="F194" s="137">
        <f>CAC!X219</f>
        <v>45230</v>
      </c>
      <c r="G194" s="138" t="str">
        <f>CAC!AB219</f>
        <v>---</v>
      </c>
      <c r="H194" s="137">
        <f>CAC!AC219</f>
        <v>45274</v>
      </c>
      <c r="I194" s="139"/>
      <c r="J194" s="139"/>
      <c r="K194" s="139"/>
      <c r="L194" s="139"/>
      <c r="M194" s="99" t="str">
        <f t="shared" ref="M194:M226" ca="1" si="16">IF(E194="---","N/A",IF(AND(I194="",NOW()-E194&lt;0),"Em dia",IF(AND(I194="",NOW()-E194&gt;0),"Pendência",IF(I194&gt;E194,"Entregue com atraso","Entregue"))))</f>
        <v>Pendência</v>
      </c>
      <c r="N194" s="99" t="str">
        <f t="shared" ref="N194:N226" ca="1" si="17">IF(F194="---","N/A",IF(AND(J194="",NOW()-F194&lt;0),"Em dia",IF(AND(J194="",NOW()-F194&gt;0),"Pendência",IF(J194&gt;F194,"Entregue com atraso","Entregue"))))</f>
        <v>Pendência</v>
      </c>
      <c r="O194" s="99" t="str">
        <f t="shared" ref="O194:O226" ca="1" si="18">IF(G194="---","N/A",IF(AND(K194="",NOW()-G194&lt;0),"Em dia",IF(AND(K194="",NOW()-G194&gt;0),"Pendência",IF(K194&gt;G194,"Contratado com atraso","Contratado"))))</f>
        <v>N/A</v>
      </c>
      <c r="P194" s="137" t="str">
        <f t="shared" ref="P194:P226" ca="1" si="19">IF(AND(L194="",NOW()-H194&lt;0),"Em dia",IF(AND(L194="",NOW()-H194&gt;0),"Pendência",IF(L194&gt;H194,"Contratado com atraso","Contratado")))</f>
        <v>Em dia</v>
      </c>
    </row>
    <row r="195" spans="1:16" ht="15">
      <c r="A195" s="134" t="str">
        <f>CAC!A220</f>
        <v>SUBSEÇÃO JUDICIÁRIA DE SANTARÉM31</v>
      </c>
      <c r="B195" s="78" t="str">
        <f>CAC!C222</f>
        <v>0002401-27.2023.4.01.8010</v>
      </c>
      <c r="C195" s="135" t="str">
        <f>CAC!B220</f>
        <v>Equipamentos e materiais para copa</v>
      </c>
      <c r="D195" s="136">
        <f t="shared" ca="1" si="15"/>
        <v>168</v>
      </c>
      <c r="E195" s="137">
        <f>CAC!W220</f>
        <v>45356</v>
      </c>
      <c r="F195" s="137">
        <f>CAC!X220</f>
        <v>45381</v>
      </c>
      <c r="G195" s="138" t="str">
        <f>CAC!AB220</f>
        <v>---</v>
      </c>
      <c r="H195" s="137">
        <f>CAC!AC220</f>
        <v>45425</v>
      </c>
      <c r="I195" s="139"/>
      <c r="J195" s="139"/>
      <c r="K195" s="139"/>
      <c r="L195" s="139"/>
      <c r="M195" s="99" t="str">
        <f t="shared" ca="1" si="16"/>
        <v>Em dia</v>
      </c>
      <c r="N195" s="99" t="str">
        <f t="shared" ca="1" si="17"/>
        <v>Em dia</v>
      </c>
      <c r="O195" s="99" t="str">
        <f t="shared" ca="1" si="18"/>
        <v>N/A</v>
      </c>
      <c r="P195" s="137" t="str">
        <f t="shared" ca="1" si="19"/>
        <v>Em dia</v>
      </c>
    </row>
    <row r="196" spans="1:16" ht="15">
      <c r="A196" s="134" t="str">
        <f>CAC!A221</f>
        <v>SUBSEÇÃO JUDICIÁRIA DE SANTARÉM32</v>
      </c>
      <c r="B196" s="78" t="str">
        <f>CAC!C223</f>
        <v>0002401-27.2023.4.01.8010</v>
      </c>
      <c r="C196" s="135" t="str">
        <f>CAC!B221</f>
        <v>Equipamentos e materiais para copa</v>
      </c>
      <c r="D196" s="136">
        <f t="shared" ca="1" si="15"/>
        <v>168</v>
      </c>
      <c r="E196" s="137">
        <f>CAC!W221</f>
        <v>45356</v>
      </c>
      <c r="F196" s="137">
        <f>CAC!X221</f>
        <v>45381</v>
      </c>
      <c r="G196" s="138" t="str">
        <f>CAC!AB221</f>
        <v>---</v>
      </c>
      <c r="H196" s="137">
        <f>CAC!AC221</f>
        <v>45425</v>
      </c>
      <c r="I196" s="139"/>
      <c r="J196" s="139"/>
      <c r="K196" s="139"/>
      <c r="L196" s="139"/>
      <c r="M196" s="99" t="str">
        <f t="shared" ca="1" si="16"/>
        <v>Em dia</v>
      </c>
      <c r="N196" s="99" t="str">
        <f t="shared" ca="1" si="17"/>
        <v>Em dia</v>
      </c>
      <c r="O196" s="99" t="str">
        <f t="shared" ca="1" si="18"/>
        <v>N/A</v>
      </c>
      <c r="P196" s="137" t="str">
        <f t="shared" ca="1" si="19"/>
        <v>Em dia</v>
      </c>
    </row>
    <row r="197" spans="1:16" ht="15">
      <c r="A197" s="134" t="str">
        <f>CAC!A222</f>
        <v>SUBSEÇÃO JUDICIÁRIA DE SANTARÉM33</v>
      </c>
      <c r="B197" s="78" t="str">
        <f>CAC!C224</f>
        <v>0002401-27.2023.4.01.8010</v>
      </c>
      <c r="C197" s="135" t="str">
        <f>CAC!B222</f>
        <v>Equipamentos e materiais para copa</v>
      </c>
      <c r="D197" s="136">
        <f t="shared" ca="1" si="15"/>
        <v>168</v>
      </c>
      <c r="E197" s="137">
        <f>CAC!W222</f>
        <v>45356</v>
      </c>
      <c r="F197" s="137">
        <f>CAC!X222</f>
        <v>45381</v>
      </c>
      <c r="G197" s="138" t="str">
        <f>CAC!AB222</f>
        <v>---</v>
      </c>
      <c r="H197" s="137">
        <f>CAC!AC222</f>
        <v>45425</v>
      </c>
      <c r="I197" s="139"/>
      <c r="J197" s="139"/>
      <c r="K197" s="139"/>
      <c r="L197" s="139"/>
      <c r="M197" s="99" t="str">
        <f t="shared" ca="1" si="16"/>
        <v>Em dia</v>
      </c>
      <c r="N197" s="99" t="str">
        <f t="shared" ca="1" si="17"/>
        <v>Em dia</v>
      </c>
      <c r="O197" s="99" t="str">
        <f t="shared" ca="1" si="18"/>
        <v>N/A</v>
      </c>
      <c r="P197" s="137" t="str">
        <f t="shared" ca="1" si="19"/>
        <v>Em dia</v>
      </c>
    </row>
    <row r="198" spans="1:16" ht="15">
      <c r="A198" s="134" t="str">
        <f>CAC!A223</f>
        <v>SUBSEÇÃO JUDICIÁRIA DE SANTARÉM34</v>
      </c>
      <c r="B198" s="78" t="str">
        <f>CAC!C225</f>
        <v>0002401-27.2023.4.01.8010</v>
      </c>
      <c r="C198" s="135" t="str">
        <f>CAC!B223</f>
        <v>Equipamentos e materiais para copa</v>
      </c>
      <c r="D198" s="136">
        <f t="shared" ca="1" si="15"/>
        <v>168</v>
      </c>
      <c r="E198" s="137">
        <f>CAC!W223</f>
        <v>45356</v>
      </c>
      <c r="F198" s="137">
        <f>CAC!X223</f>
        <v>45381</v>
      </c>
      <c r="G198" s="138" t="str">
        <f>CAC!AB223</f>
        <v>---</v>
      </c>
      <c r="H198" s="137">
        <f>CAC!AC223</f>
        <v>45425</v>
      </c>
      <c r="I198" s="139"/>
      <c r="J198" s="139"/>
      <c r="K198" s="139"/>
      <c r="L198" s="139"/>
      <c r="M198" s="99" t="str">
        <f t="shared" ca="1" si="16"/>
        <v>Em dia</v>
      </c>
      <c r="N198" s="99" t="str">
        <f t="shared" ca="1" si="17"/>
        <v>Em dia</v>
      </c>
      <c r="O198" s="99" t="str">
        <f t="shared" ca="1" si="18"/>
        <v>N/A</v>
      </c>
      <c r="P198" s="137" t="str">
        <f t="shared" ca="1" si="19"/>
        <v>Em dia</v>
      </c>
    </row>
    <row r="199" spans="1:16" ht="15">
      <c r="A199" s="134" t="str">
        <f>CAC!A224</f>
        <v>SUBSEÇÃO JUDICIÁRIA DE SANTARÉM35</v>
      </c>
      <c r="B199" s="78" t="str">
        <f>CAC!C226</f>
        <v>0002401-27.2023.4.01.8010</v>
      </c>
      <c r="C199" s="135" t="str">
        <f>CAC!B224</f>
        <v>Equipamentos e materiais para copa</v>
      </c>
      <c r="D199" s="136">
        <f t="shared" ca="1" si="15"/>
        <v>168</v>
      </c>
      <c r="E199" s="137">
        <f>CAC!W224</f>
        <v>45356</v>
      </c>
      <c r="F199" s="137">
        <f>CAC!X224</f>
        <v>45381</v>
      </c>
      <c r="G199" s="138" t="str">
        <f>CAC!AB224</f>
        <v>---</v>
      </c>
      <c r="H199" s="137">
        <f>CAC!AC224</f>
        <v>45425</v>
      </c>
      <c r="I199" s="139"/>
      <c r="J199" s="139"/>
      <c r="K199" s="139"/>
      <c r="L199" s="139"/>
      <c r="M199" s="99" t="str">
        <f t="shared" ca="1" si="16"/>
        <v>Em dia</v>
      </c>
      <c r="N199" s="99" t="str">
        <f t="shared" ca="1" si="17"/>
        <v>Em dia</v>
      </c>
      <c r="O199" s="99" t="str">
        <f t="shared" ca="1" si="18"/>
        <v>N/A</v>
      </c>
      <c r="P199" s="137" t="str">
        <f t="shared" ca="1" si="19"/>
        <v>Em dia</v>
      </c>
    </row>
    <row r="200" spans="1:16" ht="15">
      <c r="A200" s="134" t="str">
        <f>CAC!A225</f>
        <v>SUBSEÇÃO JUDICIÁRIA DE SANTARÉM36</v>
      </c>
      <c r="B200" s="78" t="str">
        <f>CAC!C227</f>
        <v>0002401-27.2023.4.01.8010</v>
      </c>
      <c r="C200" s="135" t="str">
        <f>CAC!B225</f>
        <v>Equipamentos e materiais para copa</v>
      </c>
      <c r="D200" s="136">
        <f t="shared" ca="1" si="15"/>
        <v>168</v>
      </c>
      <c r="E200" s="137">
        <f>CAC!W225</f>
        <v>45356</v>
      </c>
      <c r="F200" s="137">
        <f>CAC!X225</f>
        <v>45381</v>
      </c>
      <c r="G200" s="138" t="str">
        <f>CAC!AB225</f>
        <v>---</v>
      </c>
      <c r="H200" s="137">
        <f>CAC!AC225</f>
        <v>45425</v>
      </c>
      <c r="I200" s="139"/>
      <c r="J200" s="139"/>
      <c r="K200" s="139"/>
      <c r="L200" s="139"/>
      <c r="M200" s="99" t="str">
        <f t="shared" ca="1" si="16"/>
        <v>Em dia</v>
      </c>
      <c r="N200" s="99" t="str">
        <f t="shared" ca="1" si="17"/>
        <v>Em dia</v>
      </c>
      <c r="O200" s="99" t="str">
        <f t="shared" ca="1" si="18"/>
        <v>N/A</v>
      </c>
      <c r="P200" s="137" t="str">
        <f t="shared" ca="1" si="19"/>
        <v>Em dia</v>
      </c>
    </row>
    <row r="201" spans="1:16" ht="15">
      <c r="A201" s="134" t="str">
        <f>CAC!A226</f>
        <v>SUBSEÇÃO JUDICIÁRIA DE SANTARÉM37</v>
      </c>
      <c r="B201" s="78" t="str">
        <f>CAC!C228</f>
        <v>0002401-27.2023.4.01.8010</v>
      </c>
      <c r="C201" s="135" t="str">
        <f>CAC!B226</f>
        <v>Posto de vigilância feminino diurno</v>
      </c>
      <c r="D201" s="136">
        <f t="shared" ca="1" si="15"/>
        <v>17</v>
      </c>
      <c r="E201" s="137">
        <f>CAC!W226</f>
        <v>45186</v>
      </c>
      <c r="F201" s="137">
        <f>CAC!X226</f>
        <v>45211</v>
      </c>
      <c r="G201" s="138" t="str">
        <f>CAC!AB226</f>
        <v>---</v>
      </c>
      <c r="H201" s="137">
        <f>CAC!AC226</f>
        <v>45274</v>
      </c>
      <c r="I201" s="139"/>
      <c r="J201" s="139"/>
      <c r="K201" s="139"/>
      <c r="L201" s="139"/>
      <c r="M201" s="99" t="str">
        <f t="shared" ca="1" si="16"/>
        <v>Pendência</v>
      </c>
      <c r="N201" s="99" t="str">
        <f t="shared" ca="1" si="17"/>
        <v>Pendência</v>
      </c>
      <c r="O201" s="99" t="str">
        <f t="shared" ca="1" si="18"/>
        <v>N/A</v>
      </c>
      <c r="P201" s="137" t="str">
        <f t="shared" ca="1" si="19"/>
        <v>Em dia</v>
      </c>
    </row>
    <row r="202" spans="1:16" ht="22.5">
      <c r="A202" s="134" t="str">
        <f>CAC!A227</f>
        <v>SUBSEÇÃO JUDICIÁRIA DE SANTARÉM38</v>
      </c>
      <c r="B202" s="78" t="e">
        <f>CAC!#REF!</f>
        <v>#REF!</v>
      </c>
      <c r="C202" s="135" t="str">
        <f>CAC!B227</f>
        <v>PQGVT - equipar sala de qualidade de vida</v>
      </c>
      <c r="D202" s="136">
        <f t="shared" ca="1" si="15"/>
        <v>248</v>
      </c>
      <c r="E202" s="137">
        <f>CAC!W227</f>
        <v>45417</v>
      </c>
      <c r="F202" s="137">
        <f>CAC!X227</f>
        <v>45442</v>
      </c>
      <c r="G202" s="138" t="str">
        <f>CAC!AB227</f>
        <v>---</v>
      </c>
      <c r="H202" s="137">
        <f>CAC!AC227</f>
        <v>45505</v>
      </c>
      <c r="I202" s="139"/>
      <c r="J202" s="139"/>
      <c r="K202" s="139"/>
      <c r="L202" s="139"/>
      <c r="M202" s="99" t="str">
        <f t="shared" ca="1" si="16"/>
        <v>Em dia</v>
      </c>
      <c r="N202" s="99" t="str">
        <f t="shared" ca="1" si="17"/>
        <v>Em dia</v>
      </c>
      <c r="O202" s="99" t="str">
        <f t="shared" ca="1" si="18"/>
        <v>N/A</v>
      </c>
      <c r="P202" s="137" t="str">
        <f t="shared" ca="1" si="19"/>
        <v>Em dia</v>
      </c>
    </row>
    <row r="203" spans="1:16" ht="15">
      <c r="A203" s="134" t="str">
        <f>CAC!A228</f>
        <v>SUBSEÇÃO JUDICIÁRIA DE SANTARÉM39</v>
      </c>
      <c r="B203" s="78" t="e">
        <f>CAC!#REF!</f>
        <v>#REF!</v>
      </c>
      <c r="C203" s="135" t="str">
        <f>CAC!B228</f>
        <v>Mesa para refeitório</v>
      </c>
      <c r="D203" s="136">
        <f t="shared" ca="1" si="15"/>
        <v>168</v>
      </c>
      <c r="E203" s="137">
        <f>CAC!W228</f>
        <v>45356</v>
      </c>
      <c r="F203" s="137">
        <f>CAC!X228</f>
        <v>45381</v>
      </c>
      <c r="G203" s="138" t="str">
        <f>CAC!AB228</f>
        <v>---</v>
      </c>
      <c r="H203" s="137">
        <f>CAC!AC228</f>
        <v>45425</v>
      </c>
      <c r="I203" s="139"/>
      <c r="J203" s="139"/>
      <c r="K203" s="139"/>
      <c r="L203" s="139"/>
      <c r="M203" s="99" t="str">
        <f t="shared" ca="1" si="16"/>
        <v>Em dia</v>
      </c>
      <c r="N203" s="99" t="str">
        <f t="shared" ca="1" si="17"/>
        <v>Em dia</v>
      </c>
      <c r="O203" s="99" t="str">
        <f t="shared" ca="1" si="18"/>
        <v>N/A</v>
      </c>
      <c r="P203" s="137" t="str">
        <f t="shared" ca="1" si="19"/>
        <v>Em dia</v>
      </c>
    </row>
    <row r="204" spans="1:16" ht="33.75">
      <c r="A204" s="134" t="str">
        <f>CAC!A229</f>
        <v>SUBSEÇÃO JUDICIÁRIA DE TUCURUÍ1</v>
      </c>
      <c r="B204" s="78" t="str">
        <f>CAC!C229</f>
        <v>0002421-18.2023.4.01.8010</v>
      </c>
      <c r="C204" s="135" t="str">
        <f>CAC!B229</f>
        <v>Aquisição de água mineral em garrafão de 20l e em garrafa de 500ml e copo descartável de 200ml</v>
      </c>
      <c r="D204" s="136">
        <f t="shared" ca="1" si="15"/>
        <v>17</v>
      </c>
      <c r="E204" s="137">
        <f>CAC!W229</f>
        <v>45203</v>
      </c>
      <c r="F204" s="137">
        <f>CAC!X229</f>
        <v>45228</v>
      </c>
      <c r="G204" s="138" t="str">
        <f>CAC!AB229</f>
        <v>---</v>
      </c>
      <c r="H204" s="137">
        <f>CAC!AC229</f>
        <v>45274</v>
      </c>
      <c r="I204" s="139"/>
      <c r="J204" s="139"/>
      <c r="K204" s="139"/>
      <c r="L204" s="139"/>
      <c r="M204" s="99" t="str">
        <f t="shared" ca="1" si="16"/>
        <v>Pendência</v>
      </c>
      <c r="N204" s="99" t="str">
        <f t="shared" ca="1" si="17"/>
        <v>Pendência</v>
      </c>
      <c r="O204" s="99" t="str">
        <f t="shared" ca="1" si="18"/>
        <v>N/A</v>
      </c>
      <c r="P204" s="137" t="str">
        <f t="shared" ca="1" si="19"/>
        <v>Em dia</v>
      </c>
    </row>
    <row r="205" spans="1:16" ht="33.75">
      <c r="A205" s="134" t="str">
        <f>CAC!A230</f>
        <v>SUBSEÇÃO JUDICIÁRIA DE TUCURUÍ2</v>
      </c>
      <c r="B205" s="78" t="str">
        <f>CAC!C230</f>
        <v>0002421-18.2023.4.01.8010</v>
      </c>
      <c r="C205" s="135" t="str">
        <f>CAC!B230</f>
        <v>Aquisição de água mineral em garrafão de 20l e em garrafa de 500ml e copo descartável de 200ml</v>
      </c>
      <c r="D205" s="136">
        <f t="shared" ca="1" si="15"/>
        <v>17</v>
      </c>
      <c r="E205" s="137">
        <f>CAC!W230</f>
        <v>45203</v>
      </c>
      <c r="F205" s="137">
        <f>CAC!X230</f>
        <v>45228</v>
      </c>
      <c r="G205" s="138" t="str">
        <f>CAC!AB230</f>
        <v>---</v>
      </c>
      <c r="H205" s="137">
        <f>CAC!AC230</f>
        <v>45274</v>
      </c>
      <c r="I205" s="139"/>
      <c r="J205" s="139"/>
      <c r="K205" s="139"/>
      <c r="L205" s="139"/>
      <c r="M205" s="99" t="str">
        <f t="shared" ca="1" si="16"/>
        <v>Pendência</v>
      </c>
      <c r="N205" s="99" t="str">
        <f t="shared" ca="1" si="17"/>
        <v>Pendência</v>
      </c>
      <c r="O205" s="99" t="str">
        <f t="shared" ca="1" si="18"/>
        <v>N/A</v>
      </c>
      <c r="P205" s="137" t="str">
        <f t="shared" ca="1" si="19"/>
        <v>Em dia</v>
      </c>
    </row>
    <row r="206" spans="1:16" ht="33.75">
      <c r="A206" s="134" t="str">
        <f>CAC!A231</f>
        <v>SUBSEÇÃO JUDICIÁRIA DE TUCURUÍ3</v>
      </c>
      <c r="B206" s="78" t="str">
        <f>CAC!C231</f>
        <v>0002421-18.2023.4.01.8010</v>
      </c>
      <c r="C206" s="135" t="str">
        <f>CAC!B231</f>
        <v>Aquisição de água mineral em garrafão de 20l e em garrafa de 500ml e copo descartável de 200ml</v>
      </c>
      <c r="D206" s="136">
        <f t="shared" ca="1" si="15"/>
        <v>17</v>
      </c>
      <c r="E206" s="137">
        <f>CAC!W231</f>
        <v>45203</v>
      </c>
      <c r="F206" s="137">
        <f>CAC!X231</f>
        <v>45228</v>
      </c>
      <c r="G206" s="138" t="str">
        <f>CAC!AB231</f>
        <v>---</v>
      </c>
      <c r="H206" s="137">
        <f>CAC!AC231</f>
        <v>45274</v>
      </c>
      <c r="I206" s="139"/>
      <c r="J206" s="139"/>
      <c r="K206" s="139"/>
      <c r="L206" s="139"/>
      <c r="M206" s="99" t="str">
        <f t="shared" ca="1" si="16"/>
        <v>Pendência</v>
      </c>
      <c r="N206" s="99" t="str">
        <f t="shared" ca="1" si="17"/>
        <v>Pendência</v>
      </c>
      <c r="O206" s="99" t="str">
        <f t="shared" ca="1" si="18"/>
        <v>N/A</v>
      </c>
      <c r="P206" s="137" t="str">
        <f t="shared" ca="1" si="19"/>
        <v>Em dia</v>
      </c>
    </row>
    <row r="207" spans="1:16" ht="15">
      <c r="A207" s="134" t="str">
        <f>CAC!A232</f>
        <v>SUBSEÇÃO JUDICIÁRIA DE TUCURUÍ4</v>
      </c>
      <c r="B207" s="78" t="str">
        <f>CAC!C232</f>
        <v>0002421-18.2023.4.01.8010</v>
      </c>
      <c r="C207" s="135" t="str">
        <f>CAC!B232</f>
        <v>Fornecimento de energia elétrica </v>
      </c>
      <c r="D207" s="136">
        <f t="shared" ca="1" si="15"/>
        <v>17</v>
      </c>
      <c r="E207" s="137">
        <f>CAC!W232</f>
        <v>45205</v>
      </c>
      <c r="F207" s="137">
        <f>CAC!X232</f>
        <v>45230</v>
      </c>
      <c r="G207" s="138" t="str">
        <f>CAC!AB232</f>
        <v>---</v>
      </c>
      <c r="H207" s="137">
        <f>CAC!AC232</f>
        <v>45274</v>
      </c>
      <c r="I207" s="139"/>
      <c r="J207" s="139"/>
      <c r="K207" s="139"/>
      <c r="L207" s="139"/>
      <c r="M207" s="99" t="str">
        <f t="shared" ca="1" si="16"/>
        <v>Pendência</v>
      </c>
      <c r="N207" s="99" t="str">
        <f t="shared" ca="1" si="17"/>
        <v>Pendência</v>
      </c>
      <c r="O207" s="99" t="str">
        <f t="shared" ca="1" si="18"/>
        <v>N/A</v>
      </c>
      <c r="P207" s="137" t="str">
        <f t="shared" ca="1" si="19"/>
        <v>Em dia</v>
      </c>
    </row>
    <row r="208" spans="1:16" ht="22.5">
      <c r="A208" s="134" t="str">
        <f>CAC!A233</f>
        <v>SUBSEÇÃO JUDICIÁRIA DE TUCURUÍ5</v>
      </c>
      <c r="B208" s="78" t="str">
        <f>CAC!C233</f>
        <v>0002421-18.2023.4.01.8010</v>
      </c>
      <c r="C208" s="135" t="str">
        <f>CAC!B233</f>
        <v>Manuteção preventiva e corretiva em equipamento de ar condicionado</v>
      </c>
      <c r="D208" s="136">
        <f t="shared" ca="1" si="15"/>
        <v>199</v>
      </c>
      <c r="E208" s="137">
        <f>CAC!W233</f>
        <v>45385</v>
      </c>
      <c r="F208" s="137">
        <f>CAC!X233</f>
        <v>45410</v>
      </c>
      <c r="G208" s="138" t="str">
        <f>CAC!AB233</f>
        <v>---</v>
      </c>
      <c r="H208" s="137">
        <f>CAC!AC233</f>
        <v>45456</v>
      </c>
      <c r="I208" s="139"/>
      <c r="J208" s="139"/>
      <c r="K208" s="139"/>
      <c r="L208" s="139"/>
      <c r="M208" s="99" t="str">
        <f t="shared" ca="1" si="16"/>
        <v>Em dia</v>
      </c>
      <c r="N208" s="99" t="str">
        <f t="shared" ca="1" si="17"/>
        <v>Em dia</v>
      </c>
      <c r="O208" s="99" t="str">
        <f t="shared" ca="1" si="18"/>
        <v>N/A</v>
      </c>
      <c r="P208" s="137" t="str">
        <f t="shared" ca="1" si="19"/>
        <v>Em dia</v>
      </c>
    </row>
    <row r="209" spans="1:16" ht="15">
      <c r="A209" s="134" t="str">
        <f>CAC!A234</f>
        <v>SUBSEÇÃO JUDICIÁRIA DE TUCURUÍ6</v>
      </c>
      <c r="B209" s="78" t="str">
        <f>CAC!C234</f>
        <v>0002421-18.2023.4.01.8010</v>
      </c>
      <c r="C209" s="135" t="str">
        <f>CAC!B234</f>
        <v>Recarga de extintores de incêndio</v>
      </c>
      <c r="D209" s="136">
        <f t="shared" ca="1" si="15"/>
        <v>198</v>
      </c>
      <c r="E209" s="137">
        <f>CAC!W234</f>
        <v>45384</v>
      </c>
      <c r="F209" s="137">
        <f>CAC!X234</f>
        <v>45409</v>
      </c>
      <c r="G209" s="138" t="str">
        <f>CAC!AB234</f>
        <v>---</v>
      </c>
      <c r="H209" s="137">
        <f>CAC!AC234</f>
        <v>45455</v>
      </c>
      <c r="I209" s="139"/>
      <c r="J209" s="139"/>
      <c r="K209" s="139"/>
      <c r="L209" s="139"/>
      <c r="M209" s="99" t="str">
        <f t="shared" ca="1" si="16"/>
        <v>Em dia</v>
      </c>
      <c r="N209" s="99" t="str">
        <f t="shared" ca="1" si="17"/>
        <v>Em dia</v>
      </c>
      <c r="O209" s="99" t="str">
        <f t="shared" ca="1" si="18"/>
        <v>N/A</v>
      </c>
      <c r="P209" s="137" t="str">
        <f t="shared" ca="1" si="19"/>
        <v>Em dia</v>
      </c>
    </row>
    <row r="210" spans="1:16" ht="15">
      <c r="A210" s="134" t="str">
        <f>CAC!A235</f>
        <v>SUBSEÇÃO JUDICIÁRIA DE TUCURUÍ7</v>
      </c>
      <c r="B210" s="78" t="str">
        <f>CAC!C235</f>
        <v>0002421-18.2023.4.01.8010</v>
      </c>
      <c r="C210" s="135" t="str">
        <f>CAC!B235</f>
        <v>Recarga de extintores de incêndio</v>
      </c>
      <c r="D210" s="136">
        <f t="shared" ca="1" si="15"/>
        <v>198</v>
      </c>
      <c r="E210" s="137">
        <f>CAC!W235</f>
        <v>45384</v>
      </c>
      <c r="F210" s="137">
        <f>CAC!X235</f>
        <v>45409</v>
      </c>
      <c r="G210" s="138" t="str">
        <f>CAC!AB235</f>
        <v>---</v>
      </c>
      <c r="H210" s="137">
        <f>CAC!AC235</f>
        <v>45455</v>
      </c>
      <c r="I210" s="139"/>
      <c r="J210" s="139"/>
      <c r="K210" s="139"/>
      <c r="L210" s="139"/>
      <c r="M210" s="99" t="str">
        <f t="shared" ca="1" si="16"/>
        <v>Em dia</v>
      </c>
      <c r="N210" s="99" t="str">
        <f t="shared" ca="1" si="17"/>
        <v>Em dia</v>
      </c>
      <c r="O210" s="99" t="str">
        <f t="shared" ca="1" si="18"/>
        <v>N/A</v>
      </c>
      <c r="P210" s="137" t="str">
        <f t="shared" ca="1" si="19"/>
        <v>Em dia</v>
      </c>
    </row>
    <row r="211" spans="1:16" ht="15">
      <c r="A211" s="134" t="str">
        <f>CAC!A236</f>
        <v>SUBSEÇÃO JUDICIÁRIA DE TUCURUÍ8</v>
      </c>
      <c r="B211" s="78" t="str">
        <f>CAC!C236</f>
        <v>0002421-18.2023.4.01.8010</v>
      </c>
      <c r="C211" s="135" t="str">
        <f>CAC!B236</f>
        <v>Recarga de extintores de incêndio</v>
      </c>
      <c r="D211" s="136">
        <f t="shared" ca="1" si="15"/>
        <v>198</v>
      </c>
      <c r="E211" s="137">
        <f>CAC!W236</f>
        <v>45386</v>
      </c>
      <c r="F211" s="137">
        <f>CAC!X236</f>
        <v>45411</v>
      </c>
      <c r="G211" s="138" t="str">
        <f>CAC!AB236</f>
        <v>---</v>
      </c>
      <c r="H211" s="137">
        <f>CAC!AC236</f>
        <v>45455</v>
      </c>
      <c r="I211" s="139"/>
      <c r="J211" s="139"/>
      <c r="K211" s="139"/>
      <c r="L211" s="139"/>
      <c r="M211" s="99" t="str">
        <f t="shared" ca="1" si="16"/>
        <v>Em dia</v>
      </c>
      <c r="N211" s="99" t="str">
        <f t="shared" ca="1" si="17"/>
        <v>Em dia</v>
      </c>
      <c r="O211" s="99" t="str">
        <f t="shared" ca="1" si="18"/>
        <v>N/A</v>
      </c>
      <c r="P211" s="137" t="str">
        <f t="shared" ca="1" si="19"/>
        <v>Em dia</v>
      </c>
    </row>
    <row r="212" spans="1:16" ht="22.5">
      <c r="A212" s="134" t="str">
        <f>CAC!A237</f>
        <v>SUBSEÇÃO JUDICIÁRIA DE TUCURUÍ9</v>
      </c>
      <c r="B212" s="78" t="str">
        <f>CAC!C237</f>
        <v>0002421-18.2023.4.01.8010</v>
      </c>
      <c r="C212" s="135" t="str">
        <f>CAC!B237</f>
        <v>Locação de imóvel que abriga a Subseção Judiciária de Tucuruí</v>
      </c>
      <c r="D212" s="136">
        <f t="shared" ca="1" si="15"/>
        <v>17</v>
      </c>
      <c r="E212" s="138" t="str">
        <f>CAC!W237</f>
        <v>---</v>
      </c>
      <c r="F212" s="138" t="str">
        <f>CAC!X237</f>
        <v>---</v>
      </c>
      <c r="G212" s="137">
        <f>CAC!AB237</f>
        <v>45214</v>
      </c>
      <c r="H212" s="137">
        <f>CAC!AC237</f>
        <v>45274</v>
      </c>
      <c r="I212" s="139"/>
      <c r="J212" s="139"/>
      <c r="K212" s="139"/>
      <c r="L212" s="139"/>
      <c r="M212" s="99" t="str">
        <f t="shared" ca="1" si="16"/>
        <v>N/A</v>
      </c>
      <c r="N212" s="99" t="str">
        <f t="shared" ca="1" si="17"/>
        <v>N/A</v>
      </c>
      <c r="O212" s="99" t="str">
        <f t="shared" ca="1" si="18"/>
        <v>Pendência</v>
      </c>
      <c r="P212" s="137" t="str">
        <f t="shared" ca="1" si="19"/>
        <v>Em dia</v>
      </c>
    </row>
    <row r="213" spans="1:16" ht="33.75">
      <c r="A213" s="134" t="str">
        <f>CAC!A238</f>
        <v>SUBSEÇÃO JUDICIÁRIA DE TUCURUÍ10</v>
      </c>
      <c r="B213" s="78" t="str">
        <f>CAC!C238</f>
        <v>0002421-18.2023.4.01.8010</v>
      </c>
      <c r="C213" s="135" t="str">
        <f>CAC!B238</f>
        <v>Contratação de empresa  para fazer adaptação do imóvel que abrigará a sede da Subseção Judiciária de Tucuruí</v>
      </c>
      <c r="D213" s="136">
        <f t="shared" ca="1" si="15"/>
        <v>371</v>
      </c>
      <c r="E213" s="137">
        <f>CAC!W238</f>
        <v>45540</v>
      </c>
      <c r="F213" s="137">
        <f>CAC!X238</f>
        <v>45565</v>
      </c>
      <c r="G213" s="138" t="str">
        <f>CAC!AB238</f>
        <v>---</v>
      </c>
      <c r="H213" s="137">
        <f>CAC!AC238</f>
        <v>45628</v>
      </c>
      <c r="I213" s="139"/>
      <c r="J213" s="139"/>
      <c r="K213" s="139"/>
      <c r="L213" s="139"/>
      <c r="M213" s="99" t="str">
        <f t="shared" ca="1" si="16"/>
        <v>Em dia</v>
      </c>
      <c r="N213" s="99" t="str">
        <f t="shared" ca="1" si="17"/>
        <v>Em dia</v>
      </c>
      <c r="O213" s="99" t="str">
        <f t="shared" ca="1" si="18"/>
        <v>N/A</v>
      </c>
      <c r="P213" s="137" t="str">
        <f t="shared" ca="1" si="19"/>
        <v>Em dia</v>
      </c>
    </row>
    <row r="214" spans="1:16" ht="56.25">
      <c r="A214" s="134" t="str">
        <f>CAC!A239</f>
        <v>SUBSEÇÃO JUDICIÁRIA DE TUCURUÍ11</v>
      </c>
      <c r="B214" s="78" t="str">
        <f>CAC!C239</f>
        <v>0002421-18.2023.4.01.8010</v>
      </c>
      <c r="C214" s="135" t="str">
        <f>CAC!B239</f>
        <v>Aparelho de ar condicionado, capacidade refrigeração: 18.000 e 22.000 btu, tensão: 220 v, tipo: split, características adicionais 1: controle remoto sem fio, inverter</v>
      </c>
      <c r="D214" s="136">
        <f t="shared" ca="1" si="15"/>
        <v>290</v>
      </c>
      <c r="E214" s="137">
        <f>CAC!W239</f>
        <v>45478</v>
      </c>
      <c r="F214" s="137">
        <f>CAC!X239</f>
        <v>45503</v>
      </c>
      <c r="G214" s="138" t="str">
        <f>CAC!AB239</f>
        <v>---</v>
      </c>
      <c r="H214" s="137">
        <f>CAC!AC239</f>
        <v>45547</v>
      </c>
      <c r="I214" s="139"/>
      <c r="J214" s="139"/>
      <c r="K214" s="139"/>
      <c r="L214" s="139"/>
      <c r="M214" s="99" t="str">
        <f t="shared" ca="1" si="16"/>
        <v>Em dia</v>
      </c>
      <c r="N214" s="99" t="str">
        <f t="shared" ca="1" si="17"/>
        <v>Em dia</v>
      </c>
      <c r="O214" s="99" t="str">
        <f t="shared" ca="1" si="18"/>
        <v>N/A</v>
      </c>
      <c r="P214" s="137" t="str">
        <f t="shared" ca="1" si="19"/>
        <v>Em dia</v>
      </c>
    </row>
    <row r="215" spans="1:16" ht="56.25">
      <c r="A215" s="134" t="str">
        <f>CAC!A240</f>
        <v>SUBSEÇÃO JUDICIÁRIA DE TUCURUÍ12</v>
      </c>
      <c r="B215" s="78" t="str">
        <f>CAC!C240</f>
        <v>0002421-18.2023.4.01.8010</v>
      </c>
      <c r="C215" s="135" t="str">
        <f>CAC!B240</f>
        <v>Aparelho de ar condicionado, capacidade refrigeração: 18.000 e 22.000 btu, tensão: 220 v, tipo: split, características adicionais 1: controle remoto sem fio, inverter</v>
      </c>
      <c r="D215" s="136">
        <f t="shared" ca="1" si="15"/>
        <v>290</v>
      </c>
      <c r="E215" s="137">
        <f>CAC!W240</f>
        <v>45478</v>
      </c>
      <c r="F215" s="137">
        <f>CAC!X240</f>
        <v>45503</v>
      </c>
      <c r="G215" s="138" t="str">
        <f>CAC!AB240</f>
        <v>---</v>
      </c>
      <c r="H215" s="137">
        <f>CAC!AC240</f>
        <v>45547</v>
      </c>
      <c r="I215" s="139"/>
      <c r="J215" s="139"/>
      <c r="K215" s="139"/>
      <c r="L215" s="139"/>
      <c r="M215" s="99" t="str">
        <f t="shared" ca="1" si="16"/>
        <v>Em dia</v>
      </c>
      <c r="N215" s="99" t="str">
        <f t="shared" ca="1" si="17"/>
        <v>Em dia</v>
      </c>
      <c r="O215" s="99" t="str">
        <f t="shared" ca="1" si="18"/>
        <v>N/A</v>
      </c>
      <c r="P215" s="137" t="str">
        <f t="shared" ca="1" si="19"/>
        <v>Em dia</v>
      </c>
    </row>
    <row r="216" spans="1:16" ht="22.5">
      <c r="A216" s="134" t="str">
        <f>CAC!A241</f>
        <v>SUBSEÇÃO JUDICIÁRIA DE TUCURUÍ13</v>
      </c>
      <c r="B216" s="78" t="str">
        <f>CAC!C241</f>
        <v>0002421-18.2023.4.01.8010</v>
      </c>
      <c r="C216" s="135" t="str">
        <f>CAC!B241</f>
        <v>Instalação de ar condicionados de 18.000 e 22.000 btu</v>
      </c>
      <c r="D216" s="136">
        <f t="shared" ca="1" si="15"/>
        <v>321</v>
      </c>
      <c r="E216" s="137">
        <f>CAC!W241</f>
        <v>45509</v>
      </c>
      <c r="F216" s="137">
        <f>CAC!X241</f>
        <v>45534</v>
      </c>
      <c r="G216" s="138" t="str">
        <f>CAC!AB241</f>
        <v>---</v>
      </c>
      <c r="H216" s="137">
        <f>CAC!AC241</f>
        <v>45578</v>
      </c>
      <c r="I216" s="139"/>
      <c r="J216" s="139"/>
      <c r="K216" s="139"/>
      <c r="L216" s="139"/>
      <c r="M216" s="99" t="str">
        <f t="shared" ca="1" si="16"/>
        <v>Em dia</v>
      </c>
      <c r="N216" s="99" t="str">
        <f t="shared" ca="1" si="17"/>
        <v>Em dia</v>
      </c>
      <c r="O216" s="99" t="str">
        <f t="shared" ca="1" si="18"/>
        <v>N/A</v>
      </c>
      <c r="P216" s="137" t="str">
        <f t="shared" ca="1" si="19"/>
        <v>Em dia</v>
      </c>
    </row>
    <row r="217" spans="1:16" ht="22.5">
      <c r="A217" s="134" t="str">
        <f>CAC!A242</f>
        <v>SUBSEÇÃO JUDICIÁRIA DE TUCURUÍ14</v>
      </c>
      <c r="B217" s="78" t="str">
        <f>CAC!C242</f>
        <v>0002421-18.2023.4.01.8010</v>
      </c>
      <c r="C217" s="135" t="str">
        <f>CAC!B242</f>
        <v>Gás Refrigerante R410A em cilindro de 11,3kg</v>
      </c>
      <c r="D217" s="136">
        <f t="shared" ca="1" si="15"/>
        <v>75</v>
      </c>
      <c r="E217" s="137">
        <f>CAC!W242</f>
        <v>45263</v>
      </c>
      <c r="F217" s="137">
        <f>CAC!X242</f>
        <v>45288</v>
      </c>
      <c r="G217" s="138" t="str">
        <f>CAC!AB242</f>
        <v>---</v>
      </c>
      <c r="H217" s="137">
        <f>CAC!AC242</f>
        <v>45332</v>
      </c>
      <c r="I217" s="139"/>
      <c r="J217" s="139"/>
      <c r="K217" s="139"/>
      <c r="L217" s="139"/>
      <c r="M217" s="99" t="str">
        <f t="shared" ca="1" si="16"/>
        <v>Em dia</v>
      </c>
      <c r="N217" s="99" t="str">
        <f t="shared" ca="1" si="17"/>
        <v>Em dia</v>
      </c>
      <c r="O217" s="99" t="str">
        <f t="shared" ca="1" si="18"/>
        <v>N/A</v>
      </c>
      <c r="P217" s="137" t="str">
        <f t="shared" ca="1" si="19"/>
        <v>Em dia</v>
      </c>
    </row>
    <row r="218" spans="1:16" ht="168.75">
      <c r="A218" s="134" t="str">
        <f>CAC!A243</f>
        <v>SUBSEÇÃO JUDICIÁRIA DE TUCURUÍ15</v>
      </c>
      <c r="B218" s="78" t="str">
        <f>CAC!C243</f>
        <v>0002421-18.2023.4.01.8010</v>
      </c>
      <c r="C218" s="135" t="str">
        <f>CAC!B243</f>
        <v>Cadeira giratória espaldar com encosto revestido em tela flexível, com apoio lombar independente regulável na altura. Com apoio de braços regulável em altura e ângulo(acabamento em resina plástica). Com assento em tela de alta performance. Com ajuste de altura do assento e inclinação do encosto em 3 pontos de parada. Base da cadeira injetada em resina termostática de alta resistência e alta qualidade, com rodinhas de 55mm de diâmetro, indicado para qualquer tipo de piso. Assento, encosto, apoio de braço e base na cor preta.</v>
      </c>
      <c r="D218" s="136">
        <f t="shared" ca="1" si="15"/>
        <v>169</v>
      </c>
      <c r="E218" s="137">
        <f>CAC!W243</f>
        <v>45338</v>
      </c>
      <c r="F218" s="137">
        <f>CAC!X243</f>
        <v>45363</v>
      </c>
      <c r="G218" s="138" t="str">
        <f>CAC!AB243</f>
        <v>---</v>
      </c>
      <c r="H218" s="137">
        <f>CAC!AC243</f>
        <v>45426</v>
      </c>
      <c r="I218" s="139"/>
      <c r="J218" s="139"/>
      <c r="K218" s="139"/>
      <c r="L218" s="139"/>
      <c r="M218" s="99" t="str">
        <f t="shared" ca="1" si="16"/>
        <v>Em dia</v>
      </c>
      <c r="N218" s="99" t="str">
        <f t="shared" ca="1" si="17"/>
        <v>Em dia</v>
      </c>
      <c r="O218" s="99" t="str">
        <f t="shared" ca="1" si="18"/>
        <v>N/A</v>
      </c>
      <c r="P218" s="137" t="str">
        <f t="shared" ca="1" si="19"/>
        <v>Em dia</v>
      </c>
    </row>
    <row r="219" spans="1:16" ht="22.5">
      <c r="A219" s="134" t="str">
        <f>CAC!A245</f>
        <v>SUBSEÇÃO JUDICIÁRIA DE REDENÇÃO1</v>
      </c>
      <c r="B219" s="78" t="str">
        <f>CAC!C245</f>
        <v>0003110-62.2023.4.01.8010</v>
      </c>
      <c r="C219" s="135" t="str">
        <f>CAC!B245</f>
        <v>Necessidade básica dos servidores e clientes do consumo de água potável.</v>
      </c>
      <c r="D219" s="136">
        <f t="shared" ca="1" si="15"/>
        <v>17</v>
      </c>
      <c r="E219" s="137">
        <f>CAC!W245</f>
        <v>45203</v>
      </c>
      <c r="F219" s="137">
        <f>CAC!X245</f>
        <v>45228</v>
      </c>
      <c r="G219" s="138" t="str">
        <f>CAC!AB245</f>
        <v>---</v>
      </c>
      <c r="H219" s="137">
        <f>CAC!AC245</f>
        <v>45274</v>
      </c>
      <c r="I219" s="139"/>
      <c r="J219" s="139"/>
      <c r="K219" s="139"/>
      <c r="L219" s="139"/>
      <c r="M219" s="99" t="str">
        <f t="shared" ca="1" si="16"/>
        <v>Pendência</v>
      </c>
      <c r="N219" s="99" t="str">
        <f t="shared" ca="1" si="17"/>
        <v>Pendência</v>
      </c>
      <c r="O219" s="99" t="str">
        <f t="shared" ca="1" si="18"/>
        <v>N/A</v>
      </c>
      <c r="P219" s="137" t="str">
        <f t="shared" ca="1" si="19"/>
        <v>Em dia</v>
      </c>
    </row>
    <row r="220" spans="1:16" ht="22.5">
      <c r="A220" s="134" t="str">
        <f>CAC!A246</f>
        <v>SUBSEÇÃO JUDICIÁRIA DE REDENÇÃO2</v>
      </c>
      <c r="B220" s="78" t="str">
        <f>CAC!C246</f>
        <v>0003110-62.2023.4.01.8010</v>
      </c>
      <c r="C220" s="135" t="str">
        <f>CAC!B246</f>
        <v>Necessidade básica dos servidores e clientes do consumo de água potável.</v>
      </c>
      <c r="D220" s="136">
        <f t="shared" ca="1" si="15"/>
        <v>17</v>
      </c>
      <c r="E220" s="137">
        <f>CAC!W246</f>
        <v>45203</v>
      </c>
      <c r="F220" s="137">
        <f>CAC!X246</f>
        <v>45228</v>
      </c>
      <c r="G220" s="138" t="str">
        <f>CAC!AB246</f>
        <v>---</v>
      </c>
      <c r="H220" s="137">
        <f>CAC!AC246</f>
        <v>45274</v>
      </c>
      <c r="I220" s="139"/>
      <c r="J220" s="139"/>
      <c r="K220" s="139"/>
      <c r="L220" s="139"/>
      <c r="M220" s="99" t="str">
        <f t="shared" ca="1" si="16"/>
        <v>Pendência</v>
      </c>
      <c r="N220" s="99" t="str">
        <f t="shared" ca="1" si="17"/>
        <v>Pendência</v>
      </c>
      <c r="O220" s="99" t="str">
        <f t="shared" ca="1" si="18"/>
        <v>N/A</v>
      </c>
      <c r="P220" s="137" t="str">
        <f t="shared" ca="1" si="19"/>
        <v>Em dia</v>
      </c>
    </row>
    <row r="221" spans="1:16" ht="22.5">
      <c r="A221" s="134" t="str">
        <f>CAC!A247</f>
        <v>SUBSEÇÃO JUDICIÁRIA DE REDENÇÃO3</v>
      </c>
      <c r="B221" s="78" t="str">
        <f>CAC!C247</f>
        <v>0003110-62.2023.4.01.8010</v>
      </c>
      <c r="C221" s="135" t="str">
        <f>CAC!B247</f>
        <v>Necessidade básica dos servidores e clientes do consumo de água potável.</v>
      </c>
      <c r="D221" s="136">
        <f t="shared" ca="1" si="15"/>
        <v>17</v>
      </c>
      <c r="E221" s="137">
        <f>CAC!W247</f>
        <v>45203</v>
      </c>
      <c r="F221" s="137">
        <f>CAC!X247</f>
        <v>45228</v>
      </c>
      <c r="G221" s="138" t="str">
        <f>CAC!AB247</f>
        <v>---</v>
      </c>
      <c r="H221" s="137">
        <f>CAC!AC247</f>
        <v>45274</v>
      </c>
      <c r="I221" s="139"/>
      <c r="J221" s="139"/>
      <c r="K221" s="139"/>
      <c r="L221" s="139"/>
      <c r="M221" s="99" t="str">
        <f t="shared" ca="1" si="16"/>
        <v>Pendência</v>
      </c>
      <c r="N221" s="99" t="str">
        <f t="shared" ca="1" si="17"/>
        <v>Pendência</v>
      </c>
      <c r="O221" s="99" t="str">
        <f t="shared" ca="1" si="18"/>
        <v>N/A</v>
      </c>
      <c r="P221" s="137" t="str">
        <f t="shared" ca="1" si="19"/>
        <v>Em dia</v>
      </c>
    </row>
    <row r="222" spans="1:16" ht="15">
      <c r="A222" s="134" t="str">
        <f>CAC!A248</f>
        <v>SUBSEÇÃO JUDICIÁRIA DE REDENÇÃO4</v>
      </c>
      <c r="B222" s="78" t="str">
        <f>CAC!C248</f>
        <v>0003110-62.2023.4.01.8010</v>
      </c>
      <c r="C222" s="135" t="str">
        <f>CAC!B248</f>
        <v>Fornecimento de energia elétrica.</v>
      </c>
      <c r="D222" s="136">
        <f t="shared" ca="1" si="15"/>
        <v>17</v>
      </c>
      <c r="E222" s="137">
        <f>CAC!W248</f>
        <v>45205</v>
      </c>
      <c r="F222" s="137">
        <f>CAC!X248</f>
        <v>45230</v>
      </c>
      <c r="G222" s="138" t="str">
        <f>CAC!AB248</f>
        <v>---</v>
      </c>
      <c r="H222" s="137">
        <f>CAC!AC248</f>
        <v>45274</v>
      </c>
      <c r="I222" s="139"/>
      <c r="J222" s="139"/>
      <c r="K222" s="139"/>
      <c r="L222" s="139"/>
      <c r="M222" s="99" t="str">
        <f t="shared" ca="1" si="16"/>
        <v>Pendência</v>
      </c>
      <c r="N222" s="99" t="str">
        <f t="shared" ca="1" si="17"/>
        <v>Pendência</v>
      </c>
      <c r="O222" s="99" t="str">
        <f t="shared" ca="1" si="18"/>
        <v>N/A</v>
      </c>
      <c r="P222" s="137" t="str">
        <f t="shared" ca="1" si="19"/>
        <v>Em dia</v>
      </c>
    </row>
    <row r="223" spans="1:16" ht="22.5">
      <c r="A223" s="134" t="str">
        <f>CAC!A249</f>
        <v>SUBSEÇÃO JUDICIÁRIA DE REDENÇÃO5</v>
      </c>
      <c r="B223" s="78" t="str">
        <f>CAC!C249</f>
        <v>0003110-62.2023.4.01.8010</v>
      </c>
      <c r="C223" s="135" t="str">
        <f>CAC!B249</f>
        <v>Manutenção preventiva e corretiva em equipamento de ar condicionado.</v>
      </c>
      <c r="D223" s="136">
        <f t="shared" ca="1" si="15"/>
        <v>17</v>
      </c>
      <c r="E223" s="137">
        <f>CAC!W249</f>
        <v>45203</v>
      </c>
      <c r="F223" s="137">
        <f>CAC!X249</f>
        <v>45228</v>
      </c>
      <c r="G223" s="138" t="str">
        <f>CAC!AB249</f>
        <v>---</v>
      </c>
      <c r="H223" s="137">
        <f>CAC!AC249</f>
        <v>45274</v>
      </c>
      <c r="I223" s="139"/>
      <c r="J223" s="139"/>
      <c r="K223" s="139"/>
      <c r="L223" s="139"/>
      <c r="M223" s="99" t="str">
        <f t="shared" ca="1" si="16"/>
        <v>Pendência</v>
      </c>
      <c r="N223" s="99" t="str">
        <f t="shared" ca="1" si="17"/>
        <v>Pendência</v>
      </c>
      <c r="O223" s="99" t="str">
        <f t="shared" ca="1" si="18"/>
        <v>N/A</v>
      </c>
      <c r="P223" s="137" t="str">
        <f t="shared" ca="1" si="19"/>
        <v>Em dia</v>
      </c>
    </row>
    <row r="224" spans="1:16" ht="22.5">
      <c r="A224" s="134" t="str">
        <f>CAC!A250</f>
        <v>SUBSEÇÃO JUDICIÁRIA DE REDENÇÃO6</v>
      </c>
      <c r="B224" s="78" t="str">
        <f>CAC!C250</f>
        <v>0003110-62.2023.4.01.8010</v>
      </c>
      <c r="C224" s="135" t="str">
        <f>CAC!B250</f>
        <v>Locação de imóvel que abriga a Subseção Judiciária de Redenção.</v>
      </c>
      <c r="D224" s="136">
        <f t="shared" ca="1" si="15"/>
        <v>17</v>
      </c>
      <c r="E224" s="137" t="str">
        <f>CAC!W250</f>
        <v>---</v>
      </c>
      <c r="F224" s="137" t="str">
        <f>CAC!X250</f>
        <v>---</v>
      </c>
      <c r="G224" s="138">
        <f>CAC!AB250</f>
        <v>45214</v>
      </c>
      <c r="H224" s="137">
        <f>CAC!AC250</f>
        <v>45274</v>
      </c>
      <c r="I224" s="139"/>
      <c r="J224" s="139"/>
      <c r="K224" s="139"/>
      <c r="L224" s="139"/>
      <c r="M224" s="99" t="str">
        <f t="shared" ca="1" si="16"/>
        <v>N/A</v>
      </c>
      <c r="N224" s="99" t="str">
        <f t="shared" ca="1" si="17"/>
        <v>N/A</v>
      </c>
      <c r="O224" s="99" t="str">
        <f t="shared" ca="1" si="18"/>
        <v>Pendência</v>
      </c>
      <c r="P224" s="137" t="str">
        <f t="shared" ca="1" si="19"/>
        <v>Em dia</v>
      </c>
    </row>
    <row r="225" spans="1:16" ht="15">
      <c r="A225" s="134" t="str">
        <f>CAC!A251</f>
        <v>SUBSEÇÃO JUDICIÁRIA DE REDENÇÃO7</v>
      </c>
      <c r="B225" s="78" t="str">
        <f>CAC!C251</f>
        <v>0003110-62.2023.4.01.8010</v>
      </c>
      <c r="C225" s="135" t="str">
        <f>CAC!B251</f>
        <v>Resmas de papel formato A-4.</v>
      </c>
      <c r="D225" s="136">
        <f t="shared" ca="1" si="15"/>
        <v>77</v>
      </c>
      <c r="E225" s="137">
        <f>CAC!W251</f>
        <v>45263</v>
      </c>
      <c r="F225" s="137">
        <f>CAC!X251</f>
        <v>45288</v>
      </c>
      <c r="G225" s="138" t="str">
        <f>CAC!AB251</f>
        <v>---</v>
      </c>
      <c r="H225" s="137">
        <f>CAC!AC251</f>
        <v>45334</v>
      </c>
      <c r="I225" s="139"/>
      <c r="J225" s="139"/>
      <c r="K225" s="139"/>
      <c r="L225" s="139"/>
      <c r="M225" s="99" t="str">
        <f t="shared" ca="1" si="16"/>
        <v>Em dia</v>
      </c>
      <c r="N225" s="99" t="str">
        <f t="shared" ca="1" si="17"/>
        <v>Em dia</v>
      </c>
      <c r="O225" s="99" t="str">
        <f t="shared" ca="1" si="18"/>
        <v>N/A</v>
      </c>
      <c r="P225" s="137" t="str">
        <f t="shared" ca="1" si="19"/>
        <v>Em dia</v>
      </c>
    </row>
    <row r="226" spans="1:16" ht="22.5">
      <c r="A226" s="134" t="str">
        <f>CAC!A252</f>
        <v>SUBSEÇÃO JUDICIÁRIA DE REDENÇÃO8</v>
      </c>
      <c r="B226" s="78" t="str">
        <f>CAC!C252</f>
        <v>0003110-62.2023.4.01.8010</v>
      </c>
      <c r="C226" s="135" t="str">
        <f>CAC!B252</f>
        <v>Desgaste de equipamento e poluição ambiental pelo uso do motor gerador</v>
      </c>
      <c r="D226" s="136">
        <f t="shared" ca="1" si="15"/>
        <v>17</v>
      </c>
      <c r="E226" s="137">
        <f>CAC!W252</f>
        <v>45205</v>
      </c>
      <c r="F226" s="137">
        <f>CAC!X252</f>
        <v>45230</v>
      </c>
      <c r="G226" s="138" t="str">
        <f>CAC!AB252</f>
        <v>---</v>
      </c>
      <c r="H226" s="137">
        <f>CAC!AC252</f>
        <v>45274</v>
      </c>
      <c r="I226" s="139"/>
      <c r="J226" s="139"/>
      <c r="K226" s="139"/>
      <c r="L226" s="139"/>
      <c r="M226" s="99" t="str">
        <f t="shared" ca="1" si="16"/>
        <v>Pendência</v>
      </c>
      <c r="N226" s="99" t="str">
        <f t="shared" ca="1" si="17"/>
        <v>Pendência</v>
      </c>
      <c r="O226" s="99" t="str">
        <f t="shared" ca="1" si="18"/>
        <v>N/A</v>
      </c>
      <c r="P226" s="137" t="str">
        <f t="shared" ca="1" si="19"/>
        <v>Em dia</v>
      </c>
    </row>
    <row r="227" spans="1:16" ht="15"/>
    <row r="228" spans="1:16" ht="15"/>
    <row r="229" spans="1:16" ht="15"/>
    <row r="230" spans="1:16" ht="15"/>
    <row r="231" spans="1:16" ht="15"/>
    <row r="232" spans="1:16" ht="15"/>
    <row r="233" spans="1:16" ht="15"/>
    <row r="234" spans="1:16" ht="15"/>
    <row r="235" spans="1:16" ht="15"/>
    <row r="236" spans="1:16" ht="15"/>
    <row r="237" spans="1:16" ht="15"/>
    <row r="238" spans="1:16" ht="15"/>
    <row r="239" spans="1:16" ht="15"/>
    <row r="240" spans="1:16" ht="15"/>
  </sheetData>
  <conditionalFormatting sqref="M2:P65461">
    <cfRule type="expression" dxfId="1" priority="47" stopIfTrue="1">
      <formula>NOT(ISERROR(SEARCH("Em dia",M2)))</formula>
    </cfRule>
  </conditionalFormatting>
  <conditionalFormatting sqref="M2:P65461">
    <cfRule type="expression" dxfId="0" priority="46" stopIfTrue="1">
      <formula>NOT(ISERROR(SEARCH("Pendência",M2)))</formula>
    </cfRule>
  </conditionalFormatting>
  <pageMargins left="0.511811023622047" right="0.511811023622047" top="1.181102362204725" bottom="1.181102362204725" header="0.78740157480314998" footer="0.78740157480314998"/>
  <pageSetup paperSize="0" fitToWidth="0" fitToHeight="0" orientation="portrait"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
  <sheetViews>
    <sheetView workbookViewId="0"/>
  </sheetViews>
  <sheetFormatPr defaultRowHeight="14.1"/>
  <cols>
    <col min="1" max="1" width="43" style="144" customWidth="1"/>
    <col min="2" max="1023" width="8.125" style="144" customWidth="1"/>
    <col min="1024" max="1024" width="9" style="144" customWidth="1"/>
    <col min="1025" max="1025" width="9" customWidth="1"/>
  </cols>
  <sheetData>
    <row r="1" spans="1:13" ht="15">
      <c r="A1" s="143" t="s">
        <v>1233</v>
      </c>
    </row>
    <row r="2" spans="1:13" ht="15" customHeight="1">
      <c r="A2" s="145" t="s">
        <v>1234</v>
      </c>
      <c r="B2" s="147" t="s">
        <v>1235</v>
      </c>
      <c r="C2" s="147"/>
      <c r="D2" s="147"/>
      <c r="E2" s="147"/>
      <c r="F2" s="147"/>
      <c r="G2" s="147"/>
      <c r="H2" s="147"/>
      <c r="I2" s="147"/>
      <c r="J2" s="147"/>
      <c r="K2" s="147"/>
      <c r="L2" s="147"/>
      <c r="M2" s="147"/>
    </row>
    <row r="3" spans="1:13" ht="15" customHeight="1">
      <c r="A3" s="148" t="s">
        <v>1236</v>
      </c>
      <c r="B3" s="147" t="s">
        <v>1237</v>
      </c>
      <c r="C3" s="147"/>
      <c r="D3" s="147"/>
      <c r="E3" s="147"/>
      <c r="F3" s="147"/>
      <c r="G3" s="147"/>
      <c r="H3" s="147"/>
      <c r="I3" s="147"/>
      <c r="J3" s="147"/>
      <c r="K3" s="147"/>
      <c r="L3" s="147"/>
      <c r="M3" s="147"/>
    </row>
    <row r="4" spans="1:13" ht="28.15" customHeight="1">
      <c r="A4" s="148"/>
      <c r="B4" s="147" t="s">
        <v>1238</v>
      </c>
      <c r="C4" s="147"/>
      <c r="D4" s="147"/>
      <c r="E4" s="147"/>
      <c r="F4" s="147"/>
      <c r="G4" s="147"/>
      <c r="H4" s="147"/>
      <c r="I4" s="147"/>
      <c r="J4" s="147"/>
      <c r="K4" s="147"/>
      <c r="L4" s="147"/>
      <c r="M4" s="147"/>
    </row>
    <row r="5" spans="1:13" s="146" customFormat="1" ht="28.9" customHeight="1">
      <c r="A5" s="145" t="s">
        <v>1239</v>
      </c>
      <c r="B5" s="147" t="s">
        <v>1240</v>
      </c>
      <c r="C5" s="147"/>
      <c r="D5" s="147"/>
      <c r="E5" s="147"/>
      <c r="F5" s="147"/>
      <c r="G5" s="147"/>
      <c r="H5" s="147"/>
      <c r="I5" s="147"/>
      <c r="J5" s="147"/>
      <c r="K5" s="147"/>
      <c r="L5" s="147"/>
      <c r="M5" s="147"/>
    </row>
    <row r="6" spans="1:13" s="146" customFormat="1" ht="28.9" customHeight="1">
      <c r="A6" s="145" t="s">
        <v>1241</v>
      </c>
      <c r="B6" s="147" t="s">
        <v>1242</v>
      </c>
      <c r="C6" s="147"/>
      <c r="D6" s="147"/>
      <c r="E6" s="147"/>
      <c r="F6" s="147"/>
      <c r="G6" s="147"/>
      <c r="H6" s="147"/>
      <c r="I6" s="147"/>
      <c r="J6" s="147"/>
      <c r="K6" s="147"/>
      <c r="L6" s="147"/>
      <c r="M6" s="147"/>
    </row>
    <row r="7" spans="1:13" s="146" customFormat="1" ht="28.15" customHeight="1">
      <c r="A7" s="145" t="s">
        <v>1243</v>
      </c>
      <c r="B7" s="147" t="s">
        <v>1244</v>
      </c>
      <c r="C7" s="147"/>
      <c r="D7" s="147"/>
      <c r="E7" s="147"/>
      <c r="F7" s="147"/>
      <c r="G7" s="147"/>
      <c r="H7" s="147"/>
      <c r="I7" s="147"/>
      <c r="J7" s="147"/>
      <c r="K7" s="147"/>
      <c r="L7" s="147"/>
      <c r="M7" s="147"/>
    </row>
    <row r="8" spans="1:13" ht="15"/>
    <row r="9" spans="1:13" ht="15">
      <c r="A9" s="143" t="s">
        <v>1245</v>
      </c>
    </row>
    <row r="10" spans="1:13" ht="30" customHeight="1">
      <c r="A10" s="145" t="s">
        <v>1234</v>
      </c>
      <c r="B10" s="147" t="s">
        <v>1246</v>
      </c>
      <c r="C10" s="147"/>
      <c r="D10" s="147"/>
      <c r="E10" s="147"/>
      <c r="F10" s="147"/>
      <c r="G10" s="147"/>
      <c r="H10" s="147"/>
      <c r="I10" s="147"/>
      <c r="J10" s="147"/>
      <c r="K10" s="147"/>
      <c r="L10" s="147"/>
      <c r="M10" s="147"/>
    </row>
    <row r="11" spans="1:13" ht="40.15" customHeight="1">
      <c r="A11" s="145" t="s">
        <v>1239</v>
      </c>
      <c r="B11" s="147" t="s">
        <v>1247</v>
      </c>
      <c r="C11" s="147"/>
      <c r="D11" s="147"/>
      <c r="E11" s="147"/>
      <c r="F11" s="147"/>
      <c r="G11" s="147"/>
      <c r="H11" s="147"/>
      <c r="I11" s="147"/>
      <c r="J11" s="147"/>
      <c r="K11" s="147"/>
      <c r="L11" s="147"/>
      <c r="M11" s="147"/>
    </row>
    <row r="12" spans="1:13" ht="15"/>
    <row r="13" spans="1:13" ht="15">
      <c r="A13" s="143" t="s">
        <v>1248</v>
      </c>
    </row>
    <row r="14" spans="1:13" ht="29.45" customHeight="1">
      <c r="A14" s="145" t="s">
        <v>1234</v>
      </c>
      <c r="B14" s="147" t="s">
        <v>1249</v>
      </c>
      <c r="C14" s="147"/>
      <c r="D14" s="147"/>
      <c r="E14" s="147"/>
      <c r="F14" s="147"/>
      <c r="G14" s="147"/>
      <c r="H14" s="147"/>
      <c r="I14" s="147"/>
      <c r="J14" s="147"/>
      <c r="K14" s="147"/>
      <c r="L14" s="147"/>
      <c r="M14" s="147"/>
    </row>
  </sheetData>
  <mergeCells count="10">
    <mergeCell ref="B7:M7"/>
    <mergeCell ref="B10:M10"/>
    <mergeCell ref="B11:M11"/>
    <mergeCell ref="B14:M14"/>
    <mergeCell ref="B2:M2"/>
    <mergeCell ref="A3:A4"/>
    <mergeCell ref="B3:M3"/>
    <mergeCell ref="B4:M4"/>
    <mergeCell ref="B5:M5"/>
    <mergeCell ref="B6:M6"/>
  </mergeCells>
  <pageMargins left="0.511811023622047" right="0.511811023622047" top="1.181102362204725" bottom="1.181102362204725" header="0.78740157480314998" footer="0.78740157480314998"/>
  <pageSetup paperSize="0" fitToWidth="0" fitToHeight="0" orientation="portrait"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8"/>
  <sheetViews>
    <sheetView workbookViewId="0"/>
  </sheetViews>
  <sheetFormatPr defaultRowHeight="14.1"/>
  <cols>
    <col min="1" max="1" width="12" style="144" customWidth="1"/>
    <col min="2" max="2" width="24.5" style="144" customWidth="1"/>
    <col min="3" max="3" width="10.5" style="144" customWidth="1"/>
    <col min="4" max="4" width="11.125" style="144" customWidth="1"/>
    <col min="5" max="5" width="4.75" style="144" customWidth="1"/>
    <col min="6" max="6" width="22.625" style="144" customWidth="1"/>
    <col min="7" max="7" width="23.5" style="144" customWidth="1"/>
    <col min="8" max="8" width="10.5" style="144" customWidth="1"/>
    <col min="9" max="9" width="11.125" style="144" customWidth="1"/>
    <col min="10" max="1023" width="8.125" style="144" customWidth="1"/>
    <col min="1024" max="1024" width="9" style="144" customWidth="1"/>
    <col min="1025" max="1025" width="9" customWidth="1"/>
  </cols>
  <sheetData>
    <row r="1" spans="1:10" ht="15">
      <c r="A1" s="170" t="s">
        <v>310</v>
      </c>
      <c r="B1" s="170"/>
      <c r="C1" s="170"/>
      <c r="D1" s="170"/>
      <c r="F1" s="170" t="s">
        <v>1250</v>
      </c>
      <c r="G1" s="170"/>
      <c r="H1" s="170"/>
      <c r="I1" s="170"/>
    </row>
    <row r="2" spans="1:10" ht="15">
      <c r="A2" s="149" t="s">
        <v>1251</v>
      </c>
      <c r="B2" s="171" t="s">
        <v>1252</v>
      </c>
      <c r="C2" s="171"/>
      <c r="D2" s="149" t="s">
        <v>1253</v>
      </c>
      <c r="F2" s="149" t="s">
        <v>1251</v>
      </c>
      <c r="G2" s="171" t="s">
        <v>1252</v>
      </c>
      <c r="H2" s="171"/>
      <c r="I2" s="149" t="s">
        <v>1253</v>
      </c>
    </row>
    <row r="3" spans="1:10" ht="15">
      <c r="A3" s="150" t="s">
        <v>1254</v>
      </c>
      <c r="B3" s="151" t="s">
        <v>1232</v>
      </c>
      <c r="C3" s="151" t="s">
        <v>1232</v>
      </c>
      <c r="D3" s="152">
        <v>15</v>
      </c>
      <c r="F3" s="150" t="s">
        <v>1254</v>
      </c>
      <c r="G3" s="151" t="s">
        <v>1232</v>
      </c>
      <c r="H3" s="151" t="s">
        <v>1232</v>
      </c>
      <c r="I3" s="152">
        <v>15</v>
      </c>
    </row>
    <row r="4" spans="1:10" ht="15">
      <c r="A4" s="150" t="s">
        <v>1255</v>
      </c>
      <c r="B4" s="151" t="s">
        <v>1232</v>
      </c>
      <c r="C4" s="151" t="s">
        <v>1232</v>
      </c>
      <c r="D4" s="152">
        <v>10</v>
      </c>
      <c r="F4" s="150" t="s">
        <v>1255</v>
      </c>
      <c r="G4" s="151" t="s">
        <v>1232</v>
      </c>
      <c r="H4" s="151" t="s">
        <v>1232</v>
      </c>
      <c r="I4" s="152">
        <v>10</v>
      </c>
    </row>
    <row r="5" spans="1:10" ht="15">
      <c r="A5" s="153" t="s">
        <v>1256</v>
      </c>
      <c r="B5" s="154" t="s">
        <v>1257</v>
      </c>
      <c r="C5" s="154" t="s">
        <v>1258</v>
      </c>
      <c r="D5" s="154">
        <v>20</v>
      </c>
      <c r="F5" s="153" t="s">
        <v>1259</v>
      </c>
      <c r="G5" s="154" t="s">
        <v>1260</v>
      </c>
      <c r="H5" s="154" t="s">
        <v>1261</v>
      </c>
      <c r="I5" s="154">
        <v>35</v>
      </c>
    </row>
    <row r="6" spans="1:10" ht="15">
      <c r="A6" s="153" t="s">
        <v>1256</v>
      </c>
      <c r="B6" s="154" t="s">
        <v>1257</v>
      </c>
      <c r="C6" s="154" t="s">
        <v>1262</v>
      </c>
      <c r="D6" s="154">
        <v>30</v>
      </c>
      <c r="F6" s="153" t="s">
        <v>1259</v>
      </c>
      <c r="G6" s="154" t="s">
        <v>1260</v>
      </c>
      <c r="H6" s="154" t="s">
        <v>1263</v>
      </c>
      <c r="I6" s="154">
        <v>45</v>
      </c>
    </row>
    <row r="7" spans="1:10" ht="15">
      <c r="A7" s="153" t="s">
        <v>1256</v>
      </c>
      <c r="B7" s="154" t="s">
        <v>1257</v>
      </c>
      <c r="C7" s="154" t="s">
        <v>1264</v>
      </c>
      <c r="D7" s="154">
        <v>45</v>
      </c>
      <c r="F7" s="153" t="s">
        <v>1259</v>
      </c>
      <c r="G7" s="154" t="s">
        <v>1260</v>
      </c>
      <c r="H7" s="154" t="s">
        <v>1265</v>
      </c>
      <c r="I7" s="154">
        <v>60</v>
      </c>
    </row>
    <row r="8" spans="1:10" ht="15">
      <c r="A8" s="153" t="s">
        <v>1256</v>
      </c>
      <c r="B8" s="154" t="s">
        <v>1257</v>
      </c>
      <c r="C8" s="154" t="s">
        <v>1266</v>
      </c>
      <c r="D8" s="154">
        <v>70</v>
      </c>
      <c r="F8" s="155" t="s">
        <v>1173</v>
      </c>
      <c r="G8" s="156" t="s">
        <v>1232</v>
      </c>
      <c r="H8" s="156" t="s">
        <v>1232</v>
      </c>
      <c r="I8" s="157">
        <v>3</v>
      </c>
    </row>
    <row r="9" spans="1:10" ht="15">
      <c r="A9" s="153" t="s">
        <v>1256</v>
      </c>
      <c r="B9" s="154" t="s">
        <v>1267</v>
      </c>
      <c r="C9" s="154" t="s">
        <v>1258</v>
      </c>
      <c r="D9" s="154">
        <v>40</v>
      </c>
      <c r="F9" s="158" t="s">
        <v>1174</v>
      </c>
      <c r="G9" s="159" t="s">
        <v>1232</v>
      </c>
      <c r="H9" s="159" t="s">
        <v>1232</v>
      </c>
      <c r="I9" s="160">
        <v>3</v>
      </c>
    </row>
    <row r="10" spans="1:10" ht="15">
      <c r="A10" s="153" t="s">
        <v>1256</v>
      </c>
      <c r="B10" s="154" t="s">
        <v>1267</v>
      </c>
      <c r="C10" s="154" t="s">
        <v>1262</v>
      </c>
      <c r="D10" s="154">
        <v>50</v>
      </c>
      <c r="F10" s="161" t="s">
        <v>1268</v>
      </c>
      <c r="G10" s="162" t="s">
        <v>1269</v>
      </c>
      <c r="H10" s="163" t="s">
        <v>1232</v>
      </c>
      <c r="I10" s="164">
        <v>5</v>
      </c>
    </row>
    <row r="11" spans="1:10" ht="15">
      <c r="A11" s="153" t="s">
        <v>1256</v>
      </c>
      <c r="B11" s="154" t="s">
        <v>1267</v>
      </c>
      <c r="C11" s="154" t="s">
        <v>1264</v>
      </c>
      <c r="D11" s="154">
        <v>75</v>
      </c>
    </row>
    <row r="12" spans="1:10" ht="15">
      <c r="A12" s="153" t="s">
        <v>1256</v>
      </c>
      <c r="B12" s="154" t="s">
        <v>1267</v>
      </c>
      <c r="C12" s="154" t="s">
        <v>1266</v>
      </c>
      <c r="D12" s="154">
        <v>100</v>
      </c>
    </row>
    <row r="13" spans="1:10" ht="15">
      <c r="A13" s="155" t="s">
        <v>1270</v>
      </c>
      <c r="B13" s="157" t="s">
        <v>1257</v>
      </c>
      <c r="C13" s="157" t="s">
        <v>1271</v>
      </c>
      <c r="D13" s="157">
        <v>15</v>
      </c>
      <c r="G13" s="165" t="s">
        <v>1272</v>
      </c>
      <c r="H13" s="165"/>
      <c r="I13" s="165"/>
      <c r="J13" s="165"/>
    </row>
    <row r="14" spans="1:10" ht="15">
      <c r="A14" s="155" t="s">
        <v>1270</v>
      </c>
      <c r="B14" s="157" t="s">
        <v>1267</v>
      </c>
      <c r="C14" s="157" t="s">
        <v>1271</v>
      </c>
      <c r="D14" s="157">
        <v>25</v>
      </c>
      <c r="F14" s="166"/>
      <c r="G14" s="166"/>
      <c r="H14" s="166"/>
      <c r="I14" s="166"/>
    </row>
    <row r="15" spans="1:10" ht="15">
      <c r="A15" s="158" t="s">
        <v>1273</v>
      </c>
      <c r="B15" s="160" t="s">
        <v>1274</v>
      </c>
      <c r="C15" s="160" t="s">
        <v>1271</v>
      </c>
      <c r="D15" s="160">
        <v>25</v>
      </c>
      <c r="F15" s="166"/>
      <c r="G15" s="166"/>
      <c r="H15" s="166"/>
      <c r="I15" s="166"/>
    </row>
    <row r="16" spans="1:10" ht="15">
      <c r="A16" s="158" t="s">
        <v>1273</v>
      </c>
      <c r="B16" s="160" t="s">
        <v>1275</v>
      </c>
      <c r="C16" s="160" t="s">
        <v>1271</v>
      </c>
      <c r="D16" s="160">
        <v>40</v>
      </c>
      <c r="F16" s="166"/>
      <c r="G16" s="166"/>
      <c r="H16" s="166"/>
      <c r="I16" s="166"/>
    </row>
    <row r="17" spans="1:12" ht="15">
      <c r="A17" s="161" t="s">
        <v>1268</v>
      </c>
      <c r="B17" s="162" t="s">
        <v>1276</v>
      </c>
      <c r="C17" s="163" t="s">
        <v>1232</v>
      </c>
      <c r="D17" s="164">
        <v>5</v>
      </c>
      <c r="F17" s="166"/>
      <c r="G17" s="166"/>
      <c r="H17" s="166"/>
      <c r="I17" s="166"/>
    </row>
    <row r="18" spans="1:12" ht="15">
      <c r="F18" s="166"/>
      <c r="G18" s="166"/>
      <c r="H18" s="166"/>
      <c r="I18" s="166"/>
    </row>
    <row r="19" spans="1:12" ht="15">
      <c r="A19" s="167" t="s">
        <v>1277</v>
      </c>
      <c r="B19" s="167"/>
      <c r="C19" s="166"/>
      <c r="D19" s="166"/>
      <c r="E19" s="166"/>
      <c r="F19" s="166"/>
      <c r="G19" s="166"/>
      <c r="H19" s="166"/>
      <c r="I19" s="166"/>
      <c r="J19" s="166"/>
      <c r="K19" s="166"/>
      <c r="L19" s="166"/>
    </row>
    <row r="20" spans="1:12" ht="15">
      <c r="A20" s="167" t="s">
        <v>1254</v>
      </c>
      <c r="B20" s="172" t="s">
        <v>1278</v>
      </c>
      <c r="C20" s="172"/>
      <c r="D20" s="172"/>
      <c r="E20" s="172"/>
      <c r="F20" s="172"/>
      <c r="G20" s="172"/>
      <c r="H20" s="166"/>
      <c r="I20" s="166"/>
      <c r="J20" s="166"/>
      <c r="K20" s="166"/>
      <c r="L20" s="166"/>
    </row>
    <row r="21" spans="1:12" ht="15">
      <c r="A21" s="167" t="s">
        <v>1255</v>
      </c>
      <c r="B21" s="172" t="s">
        <v>1279</v>
      </c>
      <c r="C21" s="172"/>
      <c r="D21" s="172"/>
      <c r="E21" s="172"/>
      <c r="F21" s="172"/>
      <c r="G21" s="172"/>
      <c r="J21" s="166"/>
      <c r="K21" s="166"/>
      <c r="L21" s="166"/>
    </row>
    <row r="22" spans="1:12" ht="15">
      <c r="A22" s="167" t="s">
        <v>1256</v>
      </c>
      <c r="B22" s="172" t="s">
        <v>1280</v>
      </c>
      <c r="C22" s="172"/>
      <c r="D22" s="172"/>
      <c r="E22" s="172"/>
      <c r="F22" s="172"/>
      <c r="G22" s="172"/>
      <c r="J22" s="166"/>
      <c r="K22" s="166"/>
      <c r="L22" s="166"/>
    </row>
    <row r="23" spans="1:12" ht="15">
      <c r="A23" s="167" t="s">
        <v>1270</v>
      </c>
      <c r="B23" s="172" t="s">
        <v>1281</v>
      </c>
      <c r="C23" s="172"/>
      <c r="D23" s="172"/>
      <c r="E23" s="172"/>
      <c r="F23" s="172"/>
      <c r="G23" s="172"/>
      <c r="J23" s="167"/>
      <c r="K23" s="166"/>
      <c r="L23" s="166"/>
    </row>
    <row r="24" spans="1:12" ht="15">
      <c r="A24" s="167" t="s">
        <v>1273</v>
      </c>
      <c r="B24" s="172" t="s">
        <v>1282</v>
      </c>
      <c r="C24" s="172"/>
      <c r="D24" s="172"/>
      <c r="E24" s="172"/>
      <c r="F24" s="172"/>
      <c r="G24" s="172"/>
      <c r="J24" s="167"/>
      <c r="K24" s="166"/>
      <c r="L24" s="166"/>
    </row>
    <row r="25" spans="1:12" ht="15">
      <c r="A25" s="167" t="s">
        <v>1268</v>
      </c>
      <c r="B25" s="172" t="s">
        <v>1283</v>
      </c>
      <c r="C25" s="172"/>
      <c r="D25" s="172"/>
      <c r="E25" s="172"/>
      <c r="F25" s="172"/>
      <c r="G25" s="172"/>
      <c r="J25" s="166"/>
      <c r="K25" s="166"/>
      <c r="L25" s="166"/>
    </row>
    <row r="26" spans="1:12" ht="42" customHeight="1">
      <c r="A26" s="168" t="s">
        <v>1259</v>
      </c>
      <c r="B26" s="173" t="s">
        <v>1284</v>
      </c>
      <c r="C26" s="173"/>
      <c r="D26" s="173"/>
      <c r="E26" s="173"/>
      <c r="F26" s="173"/>
      <c r="G26" s="173"/>
    </row>
    <row r="27" spans="1:12" ht="15">
      <c r="A27" s="169"/>
    </row>
    <row r="28" spans="1:12" ht="15">
      <c r="B28" s="167"/>
    </row>
  </sheetData>
  <mergeCells count="11">
    <mergeCell ref="B22:G22"/>
    <mergeCell ref="B23:G23"/>
    <mergeCell ref="B24:G24"/>
    <mergeCell ref="B25:G25"/>
    <mergeCell ref="B26:G26"/>
    <mergeCell ref="A1:D1"/>
    <mergeCell ref="F1:I1"/>
    <mergeCell ref="B2:C2"/>
    <mergeCell ref="G2:H2"/>
    <mergeCell ref="B20:G20"/>
    <mergeCell ref="B21:G21"/>
  </mergeCells>
  <pageMargins left="0.511811023622047" right="0.511811023622047" top="1.181102362204725" bottom="1.181102362204725" header="0.78740157480314998" footer="0.78740157480314998"/>
  <pageSetup paperSize="0" fitToWidth="0" fitToHeight="0" orientation="portrait"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
  <sheetViews>
    <sheetView workbookViewId="0"/>
  </sheetViews>
  <sheetFormatPr defaultRowHeight="14.1"/>
  <cols>
    <col min="1" max="1023" width="8.125" style="144" customWidth="1"/>
    <col min="1024" max="1024" width="9" style="144" customWidth="1"/>
    <col min="1025" max="1025" width="9" customWidth="1"/>
  </cols>
  <sheetData/>
  <pageMargins left="0.511811023622047" right="0.511811023622047" top="1.181102362204725" bottom="1.181102362204725" header="0.78740157480314998" footer="0.78740157480314998"/>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26</TotalTime>
  <Application>Microsoft Excel</Application>
  <DocSecurity>0</DocSecurity>
  <ScaleCrop>false</ScaleCrop>
  <HeadingPairs>
    <vt:vector size="2" baseType="variant">
      <vt:variant>
        <vt:lpstr>Planilhas</vt:lpstr>
      </vt:variant>
      <vt:variant>
        <vt:i4>6</vt:i4>
      </vt:variant>
    </vt:vector>
  </HeadingPairs>
  <TitlesOfParts>
    <vt:vector size="6" baseType="lpstr">
      <vt:lpstr>PAC</vt:lpstr>
      <vt:lpstr>CAC</vt:lpstr>
      <vt:lpstr>CAC_-_Acompanhamento</vt:lpstr>
      <vt:lpstr>Orientações_-_uso_das_planilhas</vt:lpstr>
      <vt:lpstr>Tabela_temporalidade</vt:lpstr>
      <vt:lpstr>Planilha1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Heron</dc:creator>
  <cp:lastModifiedBy>Maria Clara Teixeira de Assis</cp:lastModifiedBy>
  <cp:revision>10</cp:revision>
  <dcterms:created xsi:type="dcterms:W3CDTF">2023-06-15T14:22:30Z</dcterms:created>
  <dcterms:modified xsi:type="dcterms:W3CDTF">2023-11-27T23:01:09Z</dcterms:modified>
</cp:coreProperties>
</file>