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rf3jusbr-my.sharepoint.com/personal/rfilho_trf3_jus_br/Documents/Compras Compartilhadas/"/>
    </mc:Choice>
  </mc:AlternateContent>
  <bookViews>
    <workbookView xWindow="0" yWindow="0" windowWidth="28800" windowHeight="12450" firstSheet="1" activeTab="1"/>
  </bookViews>
  <sheets>
    <sheet name="Planilha1" sheetId="2" state="hidden" r:id="rId1"/>
    <sheet name="PAC 2024" sheetId="1" r:id="rId2"/>
  </sheets>
  <externalReferences>
    <externalReference r:id="rId3"/>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1" i="1" l="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alcChain>
</file>

<file path=xl/sharedStrings.xml><?xml version="1.0" encoding="utf-8"?>
<sst xmlns="http://schemas.openxmlformats.org/spreadsheetml/2006/main" count="2226" uniqueCount="420">
  <si>
    <t>Área Gestora</t>
  </si>
  <si>
    <t>Código do Item</t>
  </si>
  <si>
    <t>Unidade Requisitante</t>
  </si>
  <si>
    <t>Quantidade Estimada</t>
  </si>
  <si>
    <t>Descrição Sucinta do Objeto</t>
  </si>
  <si>
    <t xml:space="preserve">Justificativa da Contratação </t>
  </si>
  <si>
    <t>Estimativa Preliminar de Valor</t>
  </si>
  <si>
    <t>Grau de Prioridade</t>
  </si>
  <si>
    <t>Data Estimada p/ a Compra ou Contratação</t>
  </si>
  <si>
    <t>Objetivo Estratégico</t>
  </si>
  <si>
    <t>Licitação</t>
  </si>
  <si>
    <t>Despesa Continuada</t>
  </si>
  <si>
    <t>Tipo da Contratação</t>
  </si>
  <si>
    <t>Compartilhável?</t>
  </si>
  <si>
    <t>-</t>
  </si>
  <si>
    <t>N/A</t>
  </si>
  <si>
    <t>Passagens aéreas e taxas</t>
  </si>
  <si>
    <t>1 - Alto</t>
  </si>
  <si>
    <t>0005 - Manutenção das atividades institucionais</t>
  </si>
  <si>
    <t>Sim</t>
  </si>
  <si>
    <t>Contrato existente com vigência posterior ao exercício de referência</t>
  </si>
  <si>
    <t>EMAG</t>
  </si>
  <si>
    <t>AMAG</t>
  </si>
  <si>
    <t>Deslocamento de magistrados, docentes e servidores.</t>
  </si>
  <si>
    <t>4013 - Índice de capacitação de magistrados</t>
  </si>
  <si>
    <t>Não</t>
  </si>
  <si>
    <t>não</t>
  </si>
  <si>
    <t>Pagamento a palestrante</t>
  </si>
  <si>
    <t>Retribuição financeira pela atividade docente.</t>
  </si>
  <si>
    <t>Não se aplica</t>
  </si>
  <si>
    <t>Despesas relativas à conferência</t>
  </si>
  <si>
    <t>Participação de magistrados em eventos formativos externos.</t>
  </si>
  <si>
    <t>Despesas relativas à emissão de ordem bancária</t>
  </si>
  <si>
    <t>Reembolso programa de aperfeiçoamento</t>
  </si>
  <si>
    <t>Programa de Estímulo ao Aperfeiçoamento de Desembargadores.</t>
  </si>
  <si>
    <t>Contribuição patronal</t>
  </si>
  <si>
    <t>Recolhimentos tributários devidos.</t>
  </si>
  <si>
    <t>NUBI</t>
  </si>
  <si>
    <t>NUBI e RBIB</t>
  </si>
  <si>
    <t>Renovação de assinatura Fórum Digital</t>
  </si>
  <si>
    <t>Promover a  atualização sistematizada do conjunto informacional do acervo das Bibliotecas da JF3R</t>
  </si>
  <si>
    <t>Nova contratação para continuidade de serviço/compra</t>
  </si>
  <si>
    <t>SIM</t>
  </si>
  <si>
    <t>Renovação de assinatura Proview e Periódicos RT</t>
  </si>
  <si>
    <t>ACOM</t>
  </si>
  <si>
    <t>Renovação de assinatura Banco de Imagens</t>
  </si>
  <si>
    <t>Promover o acesso  da ACOM a imagens para utilização em peças e campanhas</t>
  </si>
  <si>
    <t>Renovação de assinatura Minha Biblioteca</t>
  </si>
  <si>
    <t>Garantir a atualização do acervo da Biblioteca JF3R, bem como de Gabinetes e unidades administrativas, para atendimento a todas as necessidades informacionais de Magistrados e servidores com livros digitais.</t>
  </si>
  <si>
    <t>Renovação de assinatura Biblioteca Virtual Pearson</t>
  </si>
  <si>
    <t>DLIT</t>
  </si>
  <si>
    <t>Renovação de assinatura SW Gestão Tributária</t>
  </si>
  <si>
    <t>Subsidiar a DLIT na realização do processamento da liquidação da despesa e a análise  da tributação.</t>
  </si>
  <si>
    <t>ALIC, SULI, NUAT</t>
  </si>
  <si>
    <t>Renovação de assinatura Zênite Digital</t>
  </si>
  <si>
    <t xml:space="preserve">Auxiliar as áreas que atuam em licitações e contratos, proporcionando atualização e acréscimo de conhecimentos necessários à elaboração de informações jurídicas e pareceres e ao atendimento às consultas formuladas pelas áreas envolvidas em matérias contratuais no âmbito da JF3R. </t>
  </si>
  <si>
    <t>ALIC</t>
  </si>
  <si>
    <t>Renovação de assinatura Plataforma Sollicita</t>
  </si>
  <si>
    <t xml:space="preserve">Proporcionar capacitação e pesquisa, de conteúdo informacional na área das Contratações Públicas, promovendo atualização e acréscimo de conhecimentos necessários à elaboração de informações jurídicas e pareceres e ao atendimento às consultas formuladas pelas áreas envolvidas em matérias contratuais no âmbito da JF3R. </t>
  </si>
  <si>
    <t>DAEG e SUOS</t>
  </si>
  <si>
    <t>Renovação de assinatura Sistema GEDWeb</t>
  </si>
  <si>
    <t>Auxiliar a  DAEG no exercício das atividades técnicas de engenharia e arquitetura, estudos, projetos, reformas, obras e emissão de pareceres, e ao TRF3- NUBI, como suporte na administração e atualização das suas atividades e no serviço de atendimento às demais áreas técnicas no âmbito deste Tribunal, em todos os procedimentos que adotam a padronização das normas técnicas ABNT NBR e Mercosul NM.</t>
  </si>
  <si>
    <t>Renovação de assinatura Valor Econômico</t>
  </si>
  <si>
    <t>Promover o acesso a veículos de comunicação e a portal de notícias a ser diariamente consultados pela Assessoria de Comunicação Social -ACOM, com o objetivo de monitorar a imagem da Justiça Federal da 3ª Região, gerenciar riscos de processos e questões sensíveis afetas à JF3R.</t>
  </si>
  <si>
    <t>Renovação de assinatura O Estado de São Paulo</t>
  </si>
  <si>
    <t>NUBI, RBIB e Biblioteca de Campinas</t>
  </si>
  <si>
    <t>Aquisição de Livros</t>
  </si>
  <si>
    <t>Garantir a atualização do acervo da Biblioteca JF3R, bem como de Gabinetes e unidades administrativas, para atendimento a todas as necessidades informacionais de Magistrados e servidores.</t>
  </si>
  <si>
    <t>NÃO</t>
  </si>
  <si>
    <t>SADI</t>
  </si>
  <si>
    <t>n/a</t>
  </si>
  <si>
    <t>Suprimento de fundos - material de consumo</t>
  </si>
  <si>
    <t>Realização de pequenas despesas que não se subordinam ao processo ordinário de contratação</t>
  </si>
  <si>
    <t>3 - Baixo</t>
  </si>
  <si>
    <t>Suprimento de fundos - serviços Pessoa Jurídica</t>
  </si>
  <si>
    <t>Suprimento de fundos - obrigações tributárias e contributivas</t>
  </si>
  <si>
    <t>Reserva, emissão e remarcação de passagens aéreas</t>
  </si>
  <si>
    <t>Suprir a necessidade de deslocamento de magistrados e servidores em razão do serviço</t>
  </si>
  <si>
    <t>Serviço de transporte de bens móveis e materiais, entrega de correspondências, processos e afins</t>
  </si>
  <si>
    <t>Suprir a necessidade de fornecer apoio operacional às atividades da instituição</t>
  </si>
  <si>
    <t>2 - Médio</t>
  </si>
  <si>
    <t>Renovação de contrato</t>
  </si>
  <si>
    <t>Manutenção predial e de utilidades</t>
  </si>
  <si>
    <t>Suprir a necessidade de pagamento de contrato firmado para a contratação de manutenção predial dos edifícios do Tribunal</t>
  </si>
  <si>
    <t>Serviço de limpeza e conservação</t>
  </si>
  <si>
    <t>Suprir a necessidade de limpeza e conservação dos edifícios do Tribunal</t>
  </si>
  <si>
    <t>Serviço de copeiragem com fornecimento de materiais de limpeza de uso nas copas</t>
  </si>
  <si>
    <t>Suprir a necessidade de fornecimento do serviço de copeiragem, incluindo-se os insumos correlatos água, café, açúcar, etc</t>
  </si>
  <si>
    <t>Serviço de telefonista com 4 postos de trabalho</t>
  </si>
  <si>
    <t>Suprir a necessidade de fornecimento do serviço de telefonistas para operar o PABX do Tribunal</t>
  </si>
  <si>
    <t>Serviço de agenciamento de passagens aéreas</t>
  </si>
  <si>
    <t>Água e esgoto</t>
  </si>
  <si>
    <t>Suprir a necessidade de fornecimento do água e escoamento do esgoto dos edifícios do Tribunal</t>
  </si>
  <si>
    <t>Coleta de lixo não reciclável</t>
  </si>
  <si>
    <t>Suprir a necessidade de retirada do lixo não reciclável dos Edifícios do Tribunal</t>
  </si>
  <si>
    <t>Condomínio Cetenco Plaza</t>
  </si>
  <si>
    <t>Suprir a necessidade de pagamento do condomínio dos imóveis do Tribunal no Edifício Cetenco Plaza - Torre Norte</t>
  </si>
  <si>
    <t>Condomínio e IPTU das garagens Edif. Funcef Center</t>
  </si>
  <si>
    <t>Suprir a necessidade de pagamento do condomínio dos imóveis cedidos ao Tribunal e IPTU das vagas de garagens correspondentes no Edifício FUNCEF</t>
  </si>
  <si>
    <t>Gás</t>
  </si>
  <si>
    <t>Suprir a necessidade do fornecimento de gás</t>
  </si>
  <si>
    <t>Serviços de Lavanderia</t>
  </si>
  <si>
    <t>Suprir a necessidade do fornecimento de serviços de lavanderia para lavagem de togas, toalhas, aventais e vestuários médicos, uniformes, entre outros.</t>
  </si>
  <si>
    <t>Publicação de avisos de editais de licitação e matérias afins</t>
  </si>
  <si>
    <t>Suprir a necessidade de pagamento de contrato firmado para a contratação de empresa especializada na publicação de editais de licitação, conforme exigência legal de contratação</t>
  </si>
  <si>
    <t>Seguro Predial</t>
  </si>
  <si>
    <t>Suprir a necessidade do fornecimento de seguro predial aos edifícios do Tribunal</t>
  </si>
  <si>
    <t>Manutenção e treinamento de operadores de Gôndola automática Gomyl para limpeza e manutenção de fachada</t>
  </si>
  <si>
    <t>Suprir a necessidade de manutenção e treinamento para uso da gôndola automática</t>
  </si>
  <si>
    <t>Avaliação de imóveis urbanos</t>
  </si>
  <si>
    <t>Suprir a necessidade de avaliação de imóveis no interesse do Tribunal</t>
  </si>
  <si>
    <t>Manutenção do sistema de detecção precoce, alarme e supressão de incêndio com gás HFC-125</t>
  </si>
  <si>
    <t>Suprir a necessidade de pagamento de contrato firmado para a contratação de manutenção dos sistema de extinção de incêndio.</t>
  </si>
  <si>
    <t xml:space="preserve">4A41 - </t>
  </si>
  <si>
    <t>Energia elétrica</t>
  </si>
  <si>
    <t>Suprir a necessidade do fornecimento de energia elétrica aos Edifícios do Tribunal</t>
  </si>
  <si>
    <t>Manutenção nas centrais telefônicas</t>
  </si>
  <si>
    <t>Suprir a necessidade de manutenção nas centrais telefônicas do Tribunal</t>
  </si>
  <si>
    <t>Manutenção de elevadores (em geral)</t>
  </si>
  <si>
    <t>Suprir a necessidade de manutenção dos elevadores do Edifício Sede</t>
  </si>
  <si>
    <t>Manutenção de ar condicionado</t>
  </si>
  <si>
    <t>Suprir a necessidade de manutenção do sistema de ar condicionado do Edifício Sede</t>
  </si>
  <si>
    <t>Manutenção dos sistemas de som dos plenários e auditório</t>
  </si>
  <si>
    <t>Suprir a necessidade de manutenção no sistema de som dos plenários e auditório</t>
  </si>
  <si>
    <t>Manutenção de 2 sistemas UPS (no-break) de 80 KVA</t>
  </si>
  <si>
    <t>Suprir a necessidade de manutenção nos nobreaks do Edifício Sede</t>
  </si>
  <si>
    <t xml:space="preserve">Manutenção de equipamentos de gerador de energia elétrica </t>
  </si>
  <si>
    <t>Suprir a necessidade de manutenção no gerador do Edifício Sede</t>
  </si>
  <si>
    <t>Pagamento IPTU espaços locados pelo TRF 3ª Região Torre Norte, Funcef</t>
  </si>
  <si>
    <t>Suprir a necessidade de pagamento do IPTU dos imóveis ocupados pelo Tribunal no Edifício Funcef e Torre Norte</t>
  </si>
  <si>
    <t>Higienização, desinfecção e análise bacteriológica dos reservatórios de água</t>
  </si>
  <si>
    <t>Suprir a necessidade de manutenção nas caixas d'água do Edifício Sede</t>
  </si>
  <si>
    <t>Desinsetização e desratização</t>
  </si>
  <si>
    <t>Suprir a necessidade de desinsetização e desratização nas dependências do Tribunal</t>
  </si>
  <si>
    <t>Serviço dos Correios</t>
  </si>
  <si>
    <t>Suprir a necessidade de envio de correspondências, malotes, sedex, entre outros, por meio de contrato firmado com essa finalidade</t>
  </si>
  <si>
    <t xml:space="preserve">Prestação de Serviço Telefônico Fixo Comutado </t>
  </si>
  <si>
    <t>Suprir a necessidade de fornecimento de telefonia fixa</t>
  </si>
  <si>
    <t>Serviço de impressão c/ fornecimento de mão de obra, equipamentos, insumos e assistência técnica</t>
  </si>
  <si>
    <t>Suprir a necessidade de locação de equipamentos de impressão</t>
  </si>
  <si>
    <t>Serviço de digitalização c/ fornecimento de equipamentos</t>
  </si>
  <si>
    <t>Suprir a necessidade de digitalização e indexação de documentos e processos, por meio de contrato firmado com essa finalidade</t>
  </si>
  <si>
    <t xml:space="preserve">Serviço de telecomunicação SMP, fornecimento de SIM cards estações móveis </t>
  </si>
  <si>
    <t>Suprir a necessidade de fornecimento de telefonia móvel</t>
  </si>
  <si>
    <t>Contribuição sobre Iluminação Pública - COSIP</t>
  </si>
  <si>
    <t>Suprir a necessidade de pagamento de tributo</t>
  </si>
  <si>
    <t>Taxa de licença para elevadores</t>
  </si>
  <si>
    <t>Taxa de regulação, controle e fiscalização de água e esgoto</t>
  </si>
  <si>
    <t>Taxa ART/RRT</t>
  </si>
  <si>
    <t>Nova contratação para novo serviço/compra</t>
  </si>
  <si>
    <t>Comunicação via painel de LED</t>
  </si>
  <si>
    <t>Amplificar a abrangência comunicativa dos conteúdos informativos.</t>
  </si>
  <si>
    <t>Limpeza e higienização dos dutos de ar</t>
  </si>
  <si>
    <t>Atender à legislação de regência do assunto, especificamente a Lei 13.589, de 4 de janeiro de 2018, visando minimizar o risco potencial à saúde dos ocupantes da edificação, em face da permanência prolongada em ambientes climatizados no Edifício-Sede do TRF.</t>
  </si>
  <si>
    <t>DICS</t>
  </si>
  <si>
    <t>Aquisição de chaves e cópias</t>
  </si>
  <si>
    <t>Aquisição de chaves e cópias para o Tribunal Regional Federal da 3ª Região.</t>
  </si>
  <si>
    <t>Água mineral</t>
  </si>
  <si>
    <t>Suprir a necessidade de água mineral para as pessoas que trabalham e transitam nas dependências do TRF3</t>
  </si>
  <si>
    <t>Outros materiais de consumo</t>
  </si>
  <si>
    <t>Atendimento a demandas diversas de material de consumo.</t>
  </si>
  <si>
    <t>Serviços de chaveiro</t>
  </si>
  <si>
    <t>Contratação de empresa para a prestação de serviços de chaveiro</t>
  </si>
  <si>
    <t>UCOT</t>
  </si>
  <si>
    <t>Coffee break</t>
  </si>
  <si>
    <t>Fornecer alimentos e bebidas para consumo dos participantes de cursos, eventos, reuniões, etc, no âmbito do E. TRF, durante as pausas de coffee break</t>
  </si>
  <si>
    <t>ADEG</t>
  </si>
  <si>
    <t>Audiodescrição e legendagem para surdos</t>
  </si>
  <si>
    <t>Eliminação de barreiras nas comunicações e na informação, na forma do artigo 2.º da Resolução CNJ n.º 401/2021</t>
  </si>
  <si>
    <t>1011 - Indicador de acesso à justiça (IAJ)</t>
  </si>
  <si>
    <t>Tradução / interpretação em libras</t>
  </si>
  <si>
    <t>Assinatura do Banco de Preços</t>
  </si>
  <si>
    <t>A inexistência de ferramenta adequada para a precificação acarreta morosidade e eventual imprecisão na pesquisa de preços a ser realizada com observância dos parâmetros estabelecidos na IN 73/20 do Ministério da Economia.</t>
  </si>
  <si>
    <t>Outros serviços</t>
  </si>
  <si>
    <t>Atendimento a demandas diversas de serviços.</t>
  </si>
  <si>
    <t>DICA</t>
  </si>
  <si>
    <t>Mobiliário em geral</t>
  </si>
  <si>
    <t>Suprir o Tribunal de mobiliários que se encontram em falta no estoque.</t>
  </si>
  <si>
    <t>Outros equipamentos e materiais permanentes</t>
  </si>
  <si>
    <t>Atendimento a demandas diversas de materiais permanentes</t>
  </si>
  <si>
    <t>DAEG</t>
  </si>
  <si>
    <t>Restauração dos caixilhos da fachada (2ª etapa)</t>
  </si>
  <si>
    <t>Recuperação dos caixilhos da fachada, que apresentam infiltrações e vazamentos. Inclui a revisão de todas as vedações e elementos de fixação.</t>
  </si>
  <si>
    <t>3011 - Índice de desempenho de sustentabilidade (IDS)</t>
  </si>
  <si>
    <t>Reforma das instalações hidráulicas e sanitário - 3ª etapa</t>
  </si>
  <si>
    <t>Padrão estético adequado dos sanitários e qualidade satisfatória das instalações hidráulicas e sanitárias. Economia de recursos naturais (água e energia).</t>
  </si>
  <si>
    <t>Infraestrutura das instalações dos purificadores de água</t>
  </si>
  <si>
    <t>Substituição dos bebedouros com sistema de galão de água mineral, que demandam local para armazenamento e alto custo para higienização, por purificadores de água.</t>
  </si>
  <si>
    <t>Instalação do banco de capacitores de 900 MVA</t>
  </si>
  <si>
    <t>Substituição do atual banco de capacitores, que possui elementos queimados, por um novo de 900 MVA, pois as cargas alimentadas demandam alto consumo de potência reativa, sendo as mesmas passíveis de compensação adequada com a otimização do sistema.</t>
  </si>
  <si>
    <t>3011 - Índice de Desempenho de Sustentabilidade (IDS)</t>
  </si>
  <si>
    <t>Modernização dos elevadores - 2ª etapa</t>
  </si>
  <si>
    <t>Substituição do conjunto de tração, inversor, operador de porta e porta de cabine, diminuindo as interrupções por falhas, proporcionando melhor aproveitamento e economia de energia, além de maior conforto aos usuários.</t>
  </si>
  <si>
    <t>Implantação do novo Datacenter da 3ª Região</t>
  </si>
  <si>
    <t>O Data Center da 3ª Região, localizado no Edifício-sede do TRF3, não atende às necessidades atuais do órgão, além de não ter certificação. A inclusão da presente Ação Orçamentária alinha-se ao programa de necessidades e planejamento estratégico da Justiça Federal da 3ª Região. O novo Data Center deixará de ocupar um dos conjuntos comerciais, passando a ocupar um espaço no subsolo do edifício.</t>
  </si>
  <si>
    <t>SEGE</t>
  </si>
  <si>
    <t>DIAF</t>
  </si>
  <si>
    <t>Programa de estágio (Bolsa auxílio)</t>
  </si>
  <si>
    <t>Realização de processo seletivo e administração do Programa de Estágio deste TRF3</t>
  </si>
  <si>
    <t>0003 - Aperfeiçoamento dos recursos humanos</t>
  </si>
  <si>
    <t>Programa de estágio (Auxílio transporte)</t>
  </si>
  <si>
    <t>UDEP</t>
  </si>
  <si>
    <t>Durante o exercício</t>
  </si>
  <si>
    <t>4014 - Índice de capacitação de servidores</t>
  </si>
  <si>
    <t>Pagamento por Gratificação por Encargo de Curso ou Concurso</t>
  </si>
  <si>
    <t>Pagamento a servidores e magistrados que atuam como instrutores em cursos destinados a servidores ou participam da realização das fases de concurso público para provimento de cargos de Juiz Federal e servidores</t>
  </si>
  <si>
    <t>Reembolso de pós-graduação pagas pelos servidores e magistrados do Programa de incentivo a especialização</t>
  </si>
  <si>
    <t>Atendimento à Resolução PRES n.º 176, de 18 de julho de 2008, que institui o Programa de Incentivo à Especialização dos servidores da 3.ª Região</t>
  </si>
  <si>
    <t>Contribuição Patronal</t>
  </si>
  <si>
    <t>Recolhimento de contribuição patronal relativa ao pagamento de especialistas contratados para ministrar cursos e palestras</t>
  </si>
  <si>
    <t>DECO</t>
  </si>
  <si>
    <t xml:space="preserve"> UDEP</t>
  </si>
  <si>
    <t xml:space="preserve">Compra de material para exame psicotécnico </t>
  </si>
  <si>
    <t>Realização das avaliações psicológicas para ingresso de servidores concursados</t>
  </si>
  <si>
    <t>Cursos realizados por palestrantes convidados de outros órgãos: temas diversos: Retribuição com base nas Resoluções nº 01/2017-ENFAM, nº 274/2013 - CJF (magistrado), nº 294/2014 - CJF (servidor) e legislações vigentes</t>
  </si>
  <si>
    <t>Capacitação de servidores do Tribunal e Seções Judiciárias em temas de interesse da administração, mediante a contratação de servidores e magistrados de outros órgãos públicos com notória especialidade</t>
  </si>
  <si>
    <t xml:space="preserve">Aperfeiçoamento da Governança Judiciária - comunicação da Estratégia,  Valores Organizacionais, gestão documental, da informação, de processos de trabalho e projetos </t>
  </si>
  <si>
    <t>Capacitação de servidores em temáticas relacionadas ao Planejamento Estratégico do Poder Judiciário 2021-2026 - Macrodesafio: Instituição da Govenança Judiciária</t>
  </si>
  <si>
    <t xml:space="preserve">Programa Anual de Capacitação dos Servidores da Subsecretaria do Controle Interno </t>
  </si>
  <si>
    <t>Capacitação da equipe de auditoria nas tematicas definidas no Plano Anual de Capacitaçao de Auditoria, em cumprimento à Resolução CNJ n.º 309/2020 e à Resolução CJF n.º 677/2020</t>
  </si>
  <si>
    <t xml:space="preserve">Desenvolvimento de competências específicas (formação continuada): capacitações técnicas para qualificação e atualização dos servidores da área judiciária e administrativa  </t>
  </si>
  <si>
    <t>Capacitação de servidores em temáticas de interesse do órgão e determinadas em normativos, de acordo com Planejamento Estratégico do Poder Judiciário 2021-2026 - Macrodesafio: Melhoria da Gestão de Pessoas e Plano Estratégico de Gestão de Pessoas da Justiça Federal</t>
  </si>
  <si>
    <t xml:space="preserve">Eventos de Governança Pública -  Gestão de Compras e Contratos, Riscos e Orçamento  do Poder Judiciário </t>
  </si>
  <si>
    <t>Capacitação de servidores em temáticas de interesse do órgão e determinadas em normativos, de acordo com Planejamento Estratégico do Poder Judiciário 2021-2026 - Macrodesafio: Aperfeiçoamento na Gestão de Custos e Plano Estratégico de Gestão de Pessoas da Justiça Federal</t>
  </si>
  <si>
    <t>Eventos de Educação Corporativa, Programas de Desenvolvimento Gerencial, Cidadania, Acessibilidade, Sustentabilidade e Qualidade de vida</t>
  </si>
  <si>
    <t xml:space="preserve">Programa Anual de Capacitação e Desenvolvimento dos Servidores de TI - Governança de TIC </t>
  </si>
  <si>
    <t>Capacitação da equipe de TI nas temáticas definidas no Plano Anual de Capacitaçao de TI, em conformidade com Planejamento Estratégico do Poder Judiciário 2021- 2026- Macrodesafio: Melhoria de Infraestrutura e Governança de TIC</t>
  </si>
  <si>
    <t>SETI</t>
  </si>
  <si>
    <t>DRED</t>
  </si>
  <si>
    <t>Prestação de serviços de telecomunicações, referentes aos serviços de acesso dedicado, permanente e exclusivo do TRF da 3ª R com a Rede Mundial de Computadores - INTERNET de 750 Mbps – SEI 0012330-02.2019 – ALGAR/VOGEL</t>
  </si>
  <si>
    <t xml:space="preserve">Contratação da prestação de serviço de acesso dedicado à Internet se faz necessária, pois visa à alta disponibilidade, uma vez que provê redundância aos clientes externos dos sistemas mantidos por este Tribunal e a clientes internos, que necessitam desta conexão para executar os trabalhos de competência deste Tribunal. </t>
  </si>
  <si>
    <t>4A34 - Índice de satisfação dos clientes externos com os serviços de TI</t>
  </si>
  <si>
    <t>Execução de contratação realizada em exercício anterior</t>
  </si>
  <si>
    <t>Prestação de Serviço de Acesso dedicado à Internet por meio de link de 1Gbps, incluso serviço de mitigação de DdoS – SEI 0139482-62.2021 – FORTEL</t>
  </si>
  <si>
    <t>Contratação de link de internet para que não exista comprometimento nos acessos à INTERNET na situação de indisponibilidade de um dos links contratados, faz-se preciso dimensioná-los de forma que um único canal de comunicação tenha throughput suficiente para suportar toda a demanda de acesso aos dados da JF3R</t>
  </si>
  <si>
    <t>DIAD</t>
  </si>
  <si>
    <t>Atualização e assistência técnica do software Caché 4.1 Entree Plus e Caché 2007 Enterprise - SEI 0033381-06.2018 – INTERSYSTEMS 07</t>
  </si>
  <si>
    <t>O software Caché é o sistema gerenciador de banco de dados de bases corporativas da JF da 3ª Região. Essas bases corporativas são utilizadas pelo Sistema de Acompanhamento Processual de Primeiro Grau – SP e MS e por Sistemas Administrativos, os quais se encontram em operação pelos gestores e acessíveis aos usuários dos respectivos sistemas. A indisponibilidade desses sistemas tem impacto direto sobre o desempenho Institucional, portanto é fundamental manter o serviço de banco de dados disponível. A contratação permitirá que o corpo técnico identifique dificuldades e proponha melhorias no ambiente, atue em manutenções preventivas a fim de reduzir ocorrências de indisponibilidades não planejadas e, consequentemente, eleve a excelência na qualidade dos serviços prestados pela JF3R</t>
  </si>
  <si>
    <t>4A33 - Índice de satisfação dos clientes internos com os serviços de TI</t>
  </si>
  <si>
    <t>DSAP/DEJU</t>
  </si>
  <si>
    <t>Prestação de serviço de sustentação aos sistemas MPS de Folha de Pagamento e Controle Processual - SEI 0051817-08.2021 – MPS 07</t>
  </si>
  <si>
    <t>A necessidade de continuidade da alocação de analistas Mumps /Caché e Dephi é em razão do volume de atividades realizadas, que compreendem atendimento a chamados, desenvolvimento e manutenção de rotinas em sistemas existentes e em novas aplicações
- Manutenção do Sistema Folha de Pagamento (Delphi/Sql).
- Integração do Sistema Folha de Pagamento com os Sistemas de Recursos Humanos e Pró-Social em plataforma Caché.
- Integração do Sistema Folha de Pagamento com o Sistema de Recursos Humanos de magistrados em plataforma Caché,
- Integração do Sistema Folha de Pagamento com os Sistemas de Recursos Humanos SISRH e eGP em plataforma Delphi – C# /Sql.</t>
  </si>
  <si>
    <t>Prestação de serviço de implementação, manutenção e administração de banco de dados SQL server 2014 ou superior - SEI 0041727-43.2018 - NTL 11</t>
  </si>
  <si>
    <t>Estas bases corporativas são utilizadas pelos sistemas AGPUB – Agendamento de Publicações, BNMP3R; Certidão de Andamento Processual; Certidão de Distribuição; Certidão Judicial; Certidão Eleitoral; Sistema de Pedido de Inscrição em Concurso; Contas Públicas (Compras e Contratos); Sistema do Diário Eletrônico; DIGPRO; EAD; EstCore; Controle de Documentos Fiscais; Folha de Pagamento; GEDPRO ; JURIS3R; MapaVara; Notícias (Via Legal, Clipping Online e Notícias); Sistema de Peticionamento de Juizados; PRECWEB; Sistema Push; SEI; SICOM; ETL-s. A indisponibilidade desses sistemas tem impacto direto sobre o desempenho institucional, portanto, é fundamental manter o serviço de banco de dados disponível. A contratação permitirá que o corpo técnico identifique dificuldades e proponha melhorias no ambiente, atue em manutenções preventivas a fim de reduzir ocorrências de indisponibilidades não planejadas e, consequentemente, eleve a excelência na qualidade dos serviços prestados pela JF3R</t>
  </si>
  <si>
    <t>Prestação de serviço de enlace dedicado de acesso ponto a ponto em camada 2, via fibra, full duplex banda 100% - SEI 0040053-30.2018 – WIRELESS</t>
  </si>
  <si>
    <t>Viabilizar a conexão direta entre as entidades que compõem a Internet brasileira, os Sistemas Autônomos (AS).</t>
  </si>
  <si>
    <t>Suporte e manutenção, incluindo software e hardware, dos equipamentos de comunicação de dados denominados de switches Cisco Nexus 5K - SEI 0284431-82.2021 – TELTEC 12</t>
  </si>
  <si>
    <t>A solução é responsável por ser o centro da atividade de rede de transmissão de dados.
O ambiente de rede trata-se de solução de missão crítica uma vez que uma indisponibilidade interrompe todos os sistemas de informação e seus respectivos dados, colocando em risco a continuidade das atividades da Instituição. Onde a razão da regra está baseada na inconveniência da paralisação das atividades que interessam à coletividade e sua continuidade e na permanência da necessidade pública a ser satisfeita. Diz respeito, portanto, às necessidades públicas permanentes atendendo as atividades de sustentação e continuidade dos serviços de TI e jurisdicionais da JF da 3ª Região.</t>
  </si>
  <si>
    <t>UDEM/UARI</t>
  </si>
  <si>
    <t>Prestação de serviços de solução de alta disponibilidade e proteção dos ativos de negócio da Justiça Federal da 3ª Região – JF3R, incluindo suporte técnico e tráfego de 35TB mensais - SEI 0271671-04.2021 - CPD 19</t>
  </si>
  <si>
    <t>No âmbito da JF da 3ª Região, as crescentes demandas na área de Tecnologia da Informação e Comunicação - TIC, principalmente dos sistemas processuais eletrônicos, requerem cada vez mais ferramentas e soluções que proporcionem segurança, alta disponibilidade, eficiência, escalabilidade e ganho de desempenho.
 O ciberataque tem crescimento ascendente em todo mundo,
 A JF3R é o maior órgão do Poder Judiciário brasileiro em volume de processos e tem como objetivo principal garantir o princípio constitucional do acesso à justiça, adotando medidas que visam à alta disponibilidade e a proteção dos dados que estão sob a sua custódia.
A necessidade de uma solução de segurança em TIC que promova o cumprimento deste princípio constitucional, solução esta que deve estar adequada as atuais e melhores práticas de mercado, tanto em suas características técnicas quanto na forma de prestação dos serviços.</t>
  </si>
  <si>
    <t>10 Subscrição Red Hat Enterprise Linux with Smart Management (Physical or Virtual Nodes) Premium - SEI 0306017-78.2021 – SYSTEM MANAGER 07</t>
  </si>
  <si>
    <t>O sistema PJe na JF3R alcançou a marca de 1.243.000 processos em 1º grau e 425.000 em 2º grau e encontra-se implantado em todas as unidades judiciais e competências. Está integrado via Modelo Nacional de Interoperabilidade com diversos órgãos e entidades como a AGU, MPF, PF, CEF, PGFN, prefeituras, entre outros e conta com algumas dezenas de milhares de usuários cadastrados.
Além deste crescimento, existem demandas evolutivas que resultarão em aumento de carga de uso do sistema, tais como, a expansão do sistema para todas as varas de competência criminal (Resolução PRES Nº 265/2019), o projeto 100% PJe, que prevê a digitalização de todo o acervo físico, a previsão de implantação do sistema nos Juizados Especiais Federais e Turmas Recursais, que ampliará significativamente o número de processos no sistema, o aumento da quantidade de usuários simultâneos do sistema e a expansão das integrações com órgãos e entidades via MNI.
Assim, a expansão da capacidade de processamento dos recursos computacionais que suportam o ambiente PJe e seus sistemas relacionados é, além de recomendável, extremamente necessária para a contínua evolução do ambiente e manutenção da experiência de usabilidade.</t>
  </si>
  <si>
    <t xml:space="preserve">05 Subscrições Red Hat Enterprise Linux for Virtual Datacenters with Smart Management (2 CPUs) Premium (cotas principal e reservada) - SEI 0313170-65.2021 - SYSTEM MANAGER 07 </t>
  </si>
  <si>
    <t>SEJU</t>
  </si>
  <si>
    <t xml:space="preserve">Prestação de serviços de manutenção e suporte técnico para a solução de armazenamento e disponibilização de áudio – Software DRS Plenário Limited - SEI 0282377-46.2021 – KENTA 07 </t>
  </si>
  <si>
    <t xml:space="preserve"> O TRF-3ª Região utiliza desde 2005 o sistema de gravação de áudio em software, denominado PSS, Process &amp; Storage Sound, desenvolvido pela Kenta Informática onde houve uma atualização do software  pelo software DRS Plenário Limited.
O arquivamento das gravações de áudio obedece ao disposto no PCTT – guarda permanente. Diante das inovações tem sido comum a solicitação de ordem operacional e até de layout, bem como, a pronta solução para alguns problemas que surgem à medida da utilização do sistema. Dessa forma, torna-se imprescindível a contratação de serviços de manutenção do sistema, sob pena de ocorrer a interrupção parcial ou integral, temporária ou definitivamente, das atividades relacionadas a gravação e degravação de arquivos de áudio, bem como do não arquivamento e, consequentemente o não atendimento às solicitações dos Gabinetes, das Subsecretarias e demais setores do Tribunal.</t>
  </si>
  <si>
    <t>Transcrição automática do software DRS Plenário Limited - SEI 0282377-46.2021 - KENTA  07</t>
  </si>
  <si>
    <t xml:space="preserve">Prestação de serviço móvel pessoal– SMP, para comunicação de dados via rede móvel com acesso banda larga à Internet, com fornecimento de 62 mini modem com tecnologia 4G em regime de comodato - SEI 0305551-84.2021 - TELEFONICA </t>
  </si>
  <si>
    <t>Com o fim do atual contrato de prestação de serviço móvel de transmissão de dados,  fez-se necessária a realização de um novo certame licitatório para a continuidade do atendimento da referida demanda. O público alvo deste serviço são os desembargadores, assessores e áreas especificas do TRF3.</t>
  </si>
  <si>
    <t>DSPE</t>
  </si>
  <si>
    <t>Prestação de serviços de desenvolvimento, manutenção e otimização de códigos de sistema em linguagem Java - SEI 0007647-14.2022 - NUAGEIT 11</t>
  </si>
  <si>
    <t>O PJe é o sistema de processo eletrônico utilizado na JF3R. Esse sistema está inserido dentro do contexto da PDPJ-Br, a Plataforma Digital do Poder Judiciário, conforme estabelecida pelo CNJ (Conselho Nacional de Justiça), em sua resolução CNJ nº 335 de 2020. Esse sistema tem impacto direto sobre o desempenho institucional, portanto é fundamental mantê-lo em funcionamento correto e performático, e de acordo com as necessidades dos usuários do mesmo. A contratação permitirá que o corpo técnico identifique dificuldades e proponha melhorias no PJe e em outros serviços necessários ao mesmo e à PDPJ-Br, atue em manutenções preventivas e corretivas e, consequentemente, eleve a excelência na qualidade dos serviços prestados pela JF3R. A contratação de uma empresa com atuação em mercados diversos propicia a transferência de experiência e informações técnicas referentes ao desenvolvimento nas tecnologias adotadas na PDPJ-Br. O Gestor da DSPE supervisionará continuamente as atividades desenvolvidas por esta prestação de serviços durante a vigência do contrato.</t>
  </si>
  <si>
    <t>Prestação de serviço de acesso IP permanente, dedicado e exclusivo, em fibra óptica, para conexão do TRF 3ªR - Serviço de acesso banda larga à INTERNET por meio de link de 300 Mbps, no site TRF3 - SEI 0004485-11.2022 – TELEFONICA</t>
  </si>
  <si>
    <t>O objetivo desta contratação é prover um serviço de melhor qualidade no acesso à rede de 9 (nove) localidades da JFSP ( JEF de SP , Fórum Criminal e Previdenciário , Fórum de Execuções Fiscais , Turmas Recursais, Administração Central, Anexo Republica do Administrativo, JEF de Santo André, JEF de São Bernardo, JEF de Botucatu criando caminhos redundantes para interligá-los ao TRF3 através da tecnologia SD-WAN. Essa tecnologia permitirá definir diversos critérios que propiciarão um uso mais eficiente da rede, de forma dinâmica e automatizada. Dessa forma, será possível balancear o tráfego nessas localidades remotas com base em parâmetros de QoS (Quality of Service - Qualidade de Serviço), endereços IP e qualidade do link de dados, priorizar tipos de tráfego definidos, sempre assegurando uma transmissão segura das informações entre as unidades da SJSP e o TRF3, tendo como resultado maior eficiência, confiabilidade, escalabilidade, conformidade, economicidade e a alta disponibilidade dos serviços de TI. Portanto, levando em consideração todas essas vantagens em relação à infraestrutura atual, tal contratação é de grande importância para a melhoria na qualidade e na disponibilidade dos serviços de TI da Justiça Federal da 3ª R nessas localidades.</t>
  </si>
  <si>
    <t>Serviço em Execução</t>
  </si>
  <si>
    <t>Prestação de serviço de acesso IP permanente, dedicado e exclusivo, em fibra óptica, para conexão do TRF 3ªR - link de 300 Mbps, incluso serviço de SD-WAN - SEI 0004505-02.2022 – ALGAR/VOGEL</t>
  </si>
  <si>
    <t>O objetivo desta contratação é prover um serviço de melhor qualidade no acesso à rede de 9 (nove) localidades da JFSP (JEF de SP , Fórum Criminal e Previdenciário , Fórum de Execuções Fiscais , Turmas Recursais, Administração Central, Anexo Republica do Administrativo, JEF de Santo André, JEF de São Bernardo, JEF de Botucatu criando caminhos redundantes para interligá-los ao TRF3 através da tecnologia SD-WAN. Essa tecnologia permitirá definir diversos critérios que propiciarão um uso mais eficiente da rede, de forma dinâmica e automatizada. Dessa forma, será possível balancear o tráfego nessas localidades remotas com base em parâmetros de QoS (Quality of Service - Qualidade de Serviço), endereços IP e qualidade do link de dados, priorizar tipos de tráfego definidos, sempre assegurando uma transmissão segura das informações entre as unidades da SJSP e o TRF3, tendo como resultado maior eficiência, confiabilidade, escalabilidade, conformidade, economicidade e a alta disponibilidade dos serviços de TI. Portanto, levando em consideração todas essas vantagens em relação à infraestrutura atual, tal contratação é de grande importância para a melhoria na qualidade e na disponibilidade dos serviços de TI da Justiça Federal da 3ª R nessas localidades.</t>
  </si>
  <si>
    <t>Serviço e suporte técnico especializado da solução de Controle de Acesso de Usuários Privilegiados (PAM) – Item 23 -  SEI 0032582-21.2022 - JAMC CONSULTORIA – 21</t>
  </si>
  <si>
    <t>Monitorar os ativos e serviços de TIC, visando melhorar o desempenho das aplicações no ambiente computacional, bem como atuar de forma preventiva e reativa em eventos de segurança cibernética, seguindo as diretrizes do Plano Estratégico de TI – PETI que busca garantir soluções tecnológicas efetivas para o cumprimento da função institucional da Justiça Federal da 3ª Região.
A expansão da justiça no meio virtual requer investimentos crescentes em infraestrutura de rede que visem suportar, prover segurança e melhorar o acesso aos serviços judiciais disponibilizados aos clientes internos.</t>
  </si>
  <si>
    <t>Serviços Gerenciados de Monitoramento de Ambiente Tecnológico e Segurança da Informação – NOC/SOC – Item 5 - SEI 0048355-09.2022 - S3CURITY TECNOLOGIA – 11</t>
  </si>
  <si>
    <t>Diante do crítico cenário atual de SI, do crescente volume de dados operacionalizados em sistema processuais, da amplitude e diversidade do parque tecnológico da JF3R e da grande dependência do negócio a disponibilidade e qualidade dos serviços de TIC, faz-se necessário proteger as atividades jurisdicionais da JF3R por meio da continuidade dos serviços de SOC já implantados na JF3R, bem como ampliar do gerenciamento do parque tecnológico através de serviços de NOC.</t>
  </si>
  <si>
    <t>Solução de backup do ambiente de backup da JF3R – Itens 1, 2, 11, 12 e 13 - SEI 0047512-44.2022 – ADISTEC BRASIL – 19</t>
  </si>
  <si>
    <t>Esta aquisição visa adquirir a expansão das áreas de armazenamento em disco destinas ao backup dos ambientes informatizados desta 3ª Região, gerando maior poder de processamento e sobretudo maior capacidade de armazenamento, permitindo que as cópias de segurança estejam protegidas por mais tempo com elevados níveis de segurança e disponibilidade.</t>
  </si>
  <si>
    <t>Solução de backup do ambiente de backup da JF3R – Itens 2 e 12 - SEI 0047810-36.2022 – ADISTEC BRASIL 19</t>
  </si>
  <si>
    <t>Prestação de Serviço de subscrições de licenças da plataforma Zoom – Itens 1 e 6 - SEI 0046610-91.2022 - XP ON CONSULTORIA 6</t>
  </si>
  <si>
    <t>A Escola Nacional de Formação e Aperfeiçoamento de Magistrados estabelece, entre suas Diretrizes pedagógicas, a necessidade de adoção de Metodologias Ativas nos cursos sob seu credenciamento com a necessidade de se contar com o recurso de "sala de tradução/interpretação", visando a realização dos eventos que contam com palestrantes/debatedores estrangeiros. Esse recurso não é atendido pelo Microsoft Teams.</t>
  </si>
  <si>
    <t>DATE</t>
  </si>
  <si>
    <t>Aquisição de certificados digitais e visita técnica – SEI 0009204-36.2022 - VALID CERTIFICADOR 23</t>
  </si>
  <si>
    <t xml:space="preserve">Atualmente, o uso de certificado digital se torna necessário para usuários do Processo Judicial Eletrônico - PJe que executam a prática de ato processual, conforme dispõe o artigo 195 do novo CPC e para demandas de Magistrados e Servidores que atuam em sistemas que façam uso obrigatório de certificação digital como método de autenticação, como por exemplo o e-CAC. </t>
  </si>
  <si>
    <t>Acesso dedicado à INTERNET por meio de link de 10Gbps, incluso serviço de mitigação de DDoS na Torre Sul – SEI 0029556-15.2022 – MOB SERVIÇOS</t>
  </si>
  <si>
    <t>A presente contratação objetiva sanar a crescente demanda por largura de banda causada pela retomada parcial ao trabalho presencial uma vez que muitos serviços foram migrados para computação em nuvem (cloud).</t>
  </si>
  <si>
    <t>Acesso dedicado à INTERNET por meio de link de 10Gbps, incluso serviço de mitigação de DDoS na Torre Sul – SEI 0029556-15.2022 – VOGEL SOLUÇÕES</t>
  </si>
  <si>
    <t>Prestação de serviço de suporte e manutenção, incluindo software e hardware, dos equipamentos de comunicação de dados denominados de switches Cisco Nexus 9K e roteadores Cisco ASR 1001-X – SEI 0044186-76.2022 12</t>
  </si>
  <si>
    <t xml:space="preserve">O ambiente de rede trata-se de solução de missão crítica uma vez que uma indisponibilidade interrompe todos os sistemas de informação e seus respectivos dados, colocando em risco a continuidade das atividades da Instituição.        </t>
  </si>
  <si>
    <t>Prestação de serviços de manutenção preventiva programada e corretiva, com fornecimento de peças e assistência técnica para Sala Cofre (Marca: Aceco, Fabricante: Lampertz) – SEI 0010354-52.2022 – ORION 13</t>
  </si>
  <si>
    <t>O ambiente que hospeda os equipamentos corporativos responsáveis pelos principais serviços e sistemas de Tecnologia da Informação (TI) disponibilizados aos jurisdicionados, magistrados e servidores da Justiça federal da 3ª R está protegido atualmente por solução de segurança denominada Sala-Cofre.garantir a continuidade do negócio e integridade dos equipamentos corporativos de tecnologia da informação que armazenam os dados e sistemas desta Região.</t>
  </si>
  <si>
    <t>Prestação de serviços de implementação, manutenção e administração de produtos e serviços do fabricante Cisco Systems – SEI 0006750-49.2023 11</t>
  </si>
  <si>
    <t xml:space="preserve">A atual arquitetura de redes de computadores da JF da 3ª Região é composta por diversos equipamentos intermediários, compostos por dois grandes grupos de equipamentos: switches e roteadores. Equipamentos intermediários são dispositivos responsáveis por encaminhar tráfego entre uma origem e um destino, possibilitando a comunicação entre dois dispositivos finais (hosts). O intuito é contratar empresa especializada prestação de serviços de implementação, manutenção e administração de produtos e serviços da Cisco Systems, com a presença de 2 (dois) profissionais. Estes profissionais serão uma extensão da operação da equipe de conectividade do TRF3, atuando em demandas do TRF3, SJSP e SJMS, tendo em vista que os dispositivos intermediários Cisco estão presentes nessas três unidades. </t>
  </si>
  <si>
    <t>Prestação de serviços de implementação, manutenção e administração do Sistema de Gerenciamento de Banco de Dados Oracle 19c, ou superior – SEI 0004765-45.2023 11</t>
  </si>
  <si>
    <t xml:space="preserve">Possuir contratação vigente que provenha a prestação de
serviços de implementação, manutenção e administração do Sistema de Gerenciamento de Banco de Dados Oracle 19c, ou superior </t>
  </si>
  <si>
    <t>ETIR</t>
  </si>
  <si>
    <t>Prestação serviços técnicos especializados em Segurança da Informação (SI), para ferramentas de segurança das estações de trabalho e servidores de rede, abrangendo atualização, manutenção, suporte e administração – SEI 0006907-22.2023 11</t>
  </si>
  <si>
    <t>O surgimento de novas soluções tecnológicas vem obrigando as organizações públicas e privadas a uma transformação digital em seus processos e sistemas internos. Esta transformação exige a adoção de tecnologias na automação e virtualização de tarefas e ferramentas para aumentar a eficiência do negócio, porém, em contrapartida surgem efeitos colaterais que aumentam a preocupação com a segurança da informação, tornando necessário um bom planejamento com a finalidade de proteger hardwares e softwares. Logo, a busca por parcerias de gestão é imprescindível para auxiliar na continuidade dos serviços prestados aos jurisdicionados da Justiça Federal da 3ª Região</t>
  </si>
  <si>
    <t>Prestação de serviço de suporte técnico de FIREWALL 12</t>
  </si>
  <si>
    <t>Prestação de Serviço de suporte técnico para manter os ativos de rede atualizados e controle contra sites indevidos.</t>
  </si>
  <si>
    <t>05/2024</t>
  </si>
  <si>
    <t>UDEM/USPE</t>
  </si>
  <si>
    <t>Contratação de Fábrica de Software 21</t>
  </si>
  <si>
    <t>Contratação de empresa para prestação de serviço de desenvolvimento e manutenção dos sistemas em utilização na JF 3ªR.</t>
  </si>
  <si>
    <t>03/2024</t>
  </si>
  <si>
    <t>Contratação de OFFICE 365 – MICROSOFT 19</t>
  </si>
  <si>
    <t xml:space="preserve">Contratação de prestação de serviço de OFFICE 365 com serviços em nuvem trazendo funcionalidades e facilidades ao seu dia a dia, aos usuários compartilhando tarefas e atividades e mantendo todas as ferramentas sempre atualizadas. </t>
  </si>
  <si>
    <t>Prestação de serviço de Filtro de Conteúdo – PROXY 7</t>
  </si>
  <si>
    <t>Prestação de serviço de filtro de conteúdo e Proxy para manter a segurança e proteger a identificação de computadores, servidores e ativos de rede em utilização na JF da 3ªR.</t>
  </si>
  <si>
    <t>06/2024</t>
  </si>
  <si>
    <t>Aquisição de licenças e suporte técnico ORACLE 21</t>
  </si>
  <si>
    <t>Aquisição de Software e suporte técnico ORACLE para atender as necessidades de se manter os sistemas com base ORACLE atualizados e com suporte técnico.</t>
  </si>
  <si>
    <t>Prestação de serviço especializado para atendimento de 1 e 2 nivel, incluindo apoio a videoconferências e plenários e Pje – Service Desk 10</t>
  </si>
  <si>
    <t xml:space="preserve">Contratação de empresa para prestação de serviço para atendimento ao público interno e externo na solução de problemas. </t>
  </si>
  <si>
    <t>10/2024</t>
  </si>
  <si>
    <t>Prestação de serviço licenças de uso perpétuo do software AltoQi Eberick</t>
  </si>
  <si>
    <t>As contratações permitirão a padronização da apresentação dos projetos de arquitetura, estrutura e instalações, utilizando a simbologia de desenho técnico arquitetônico previsto na ABNT no TRF 3ª Região. A presente contratação visa prover os profissionais especializados destas ferramentas.</t>
  </si>
  <si>
    <t>09/2024</t>
  </si>
  <si>
    <t>Prestação de serviço de licenças de uso, por subscrição, do software: Architecture Engineering &amp; Construction Collection IC New Single-user ELD 3-Year Subscription WIN, e de 7 licenças do software denominado: AUTOCAD – Including specialized toolsets AD Commercial Nq Single-user ELD 3 Year Subscription Win</t>
  </si>
  <si>
    <t xml:space="preserve">As contratações permitirão a padronização da apresentação dos projetos de arquitetura, estrutura e instalações, utilizando a simbologia de desenho técnico arquitetônico previsto na ABNT no TRF 3ª Região. A presente contratação visa prover os profissionais especializados destas ferramentas. </t>
  </si>
  <si>
    <t>Prestação de serviço de licenças de uso, por subscrição, do software: AUTOCAD – Including specialized toolsets AD Commercial Nq Single-user ELD 3 Year Subscription Win</t>
  </si>
  <si>
    <t>Aquisição de Microcomputador</t>
  </si>
  <si>
    <t>A utilização de microcomputador é uma importante ferramenta para otimização das atividades judiciárias e administrativas dos magistrados e servidores, possibilitando a modernização da prestação jurisdicional e tornando os procedimentos mais ágeis, seguros, integrados e acessíveis. Assim a aquisição de microcomputadores é necessária para substituir parte dos computadores (mini PC) sem garantia e obsoletos da Justiça Federal da 3ª Região a necessidade de substituição advém dos constantes defeitos apresentados, principalmente com relação a HD e placa-mãe.</t>
  </si>
  <si>
    <t>Aquisição de Microcomputador de Alto Desempenho</t>
  </si>
  <si>
    <t>A necessidade tecnológica está diretamente relacionada às atividades desempenhadas em algumas áreas da Justiça Federal da 3ª Região que demandam equipamentos de acordo com a relevância dos trabalhos desenvolvidos.
Com o avanço da tecnologia, e a necessidade cada vez maior de obter informação de forma rápida e eficiente, a procura por equipamentos que proporcionem maior desempenho se mostra cada vez mais necessária, essencial e estratégica.</t>
  </si>
  <si>
    <t>Aquisição de Solução de WI-FI</t>
  </si>
  <si>
    <t>Fornecimento de pontos de acesso (Access Points -
AP), appliance e/ou Controladora Wireless de gestão e controle, instalação, configuração e treinamento.</t>
  </si>
  <si>
    <t>Aquisição de Software Microsoft para Desenvolvedores (Visual Studio etc…)</t>
  </si>
  <si>
    <t>Softwares necessários para a área de Desenvolvimento para manter os sistemas utilizados e para novas sistemas.</t>
  </si>
  <si>
    <t>07/2024</t>
  </si>
  <si>
    <t xml:space="preserve">Aquisição de Solução de Rede (Firewall, switch core e controle de acesso NAC) </t>
  </si>
  <si>
    <t>Fornece os recursos e funcionalidades de segurança cibernética mais essenciais para manter os ativos de rede seguros e protegidos. Garantir vigilância total da rede para todos os dispositivos habilitados para rede e fornece controle de acesso dinâmico para conformidade com as políticas de segurança em TI.</t>
  </si>
  <si>
    <t>Solução de Sala Cofre (Datacenter)</t>
  </si>
  <si>
    <t>Contratação de empresa para aquisição de salas-cofre com a finalidade de proteger os equipamentos e dados críticos de um Data Center contra danos causados por fogo, calor, gases e impactos.</t>
  </si>
  <si>
    <t>SSEG</t>
  </si>
  <si>
    <t>DASI</t>
  </si>
  <si>
    <t>Abastecimento de veículos (combustíveis e lubrificantes)</t>
  </si>
  <si>
    <t>Efetivação da Segurança Institucional</t>
  </si>
  <si>
    <t>Manutenção de veículos (peças)</t>
  </si>
  <si>
    <t>Pagto. Eletrônico de tarifa de pedágio (Sem Parar)</t>
  </si>
  <si>
    <t>Serviço de bombeiro Civil</t>
  </si>
  <si>
    <t>8729 13439</t>
  </si>
  <si>
    <t xml:space="preserve">Serviço de supervisor, recepcionista, ascensorista </t>
  </si>
  <si>
    <t>Serviço de vigilância patrimonial e pessoal privada armada e desarmada</t>
  </si>
  <si>
    <t>Serviço de Condução de Veículos</t>
  </si>
  <si>
    <t>Manutenção de veículos (mão de obra e conservação)</t>
  </si>
  <si>
    <t>Seguro da frota de veículos</t>
  </si>
  <si>
    <t>Endosso apólice de seguro da frota de veículos</t>
  </si>
  <si>
    <t>UPOE</t>
  </si>
  <si>
    <t>Serviço de manutenção RX, com peças</t>
  </si>
  <si>
    <t>Manutenção preventiva e corretiva dos Sistemas de Controle de Acesso (SCA)</t>
  </si>
  <si>
    <t>Seguro obrigatório de veículos - DPVAT</t>
  </si>
  <si>
    <t>Taxa Anatel/licença de rádios digitais</t>
  </si>
  <si>
    <t>Taxa de registro de armas</t>
  </si>
  <si>
    <t>Contratação para recarga+teste hidrostático dos extintores/mangueiras prediais</t>
  </si>
  <si>
    <t>Pagamento de multas de trânsito</t>
  </si>
  <si>
    <t>Expansão do sistema de controle de acesso (materiais)</t>
  </si>
  <si>
    <t>4A41 - Aprimorar os equipamentos de vigilância e proteção institucional</t>
  </si>
  <si>
    <t>Aquisição de materiais, peças, partes e componentes decorrentes de manutenção corretiva no Sistema Eletrônico de Segurança</t>
  </si>
  <si>
    <t>Aquisição de munições 9mm para treinamento</t>
  </si>
  <si>
    <t>Aquisição de munições calibre 9mm</t>
  </si>
  <si>
    <t>Aquisição de munições 5,56 para treinamento</t>
  </si>
  <si>
    <t>Aquisição de munições calibre 12</t>
  </si>
  <si>
    <t>Aquisição de granadas para treinamento</t>
  </si>
  <si>
    <t>Aquisição de refis para granadas de treinamento</t>
  </si>
  <si>
    <t>Aquisição de cartuchos de lançamento de dardos para treinamento</t>
  </si>
  <si>
    <t>Aquisição de projéteis de borracha (menos letais)</t>
  </si>
  <si>
    <t>Aquisição de granadas de efeito moral (menos letal)</t>
  </si>
  <si>
    <t>Aquisição de granadas luz e som</t>
  </si>
  <si>
    <t>Aquisição de espagidores de pimenta 125g</t>
  </si>
  <si>
    <t>Aquisição de espagidores de pimenta 450g</t>
  </si>
  <si>
    <t>603835 603836</t>
  </si>
  <si>
    <t>Aquisição de coldres ostensivos e velados para pistolas Glock G19</t>
  </si>
  <si>
    <t>Aquisição de porta carregadores ostensivos e velados para pistolas Glock G19</t>
  </si>
  <si>
    <t>Aquisição de algemas</t>
  </si>
  <si>
    <t>Aquisição de luvas táticas</t>
  </si>
  <si>
    <t>Aquisição de escudos balísticos</t>
  </si>
  <si>
    <t>469182 469183 483028</t>
  </si>
  <si>
    <t>Aquisição de capacetes balísticos</t>
  </si>
  <si>
    <t>Aquisição de capacetes antitumulto</t>
  </si>
  <si>
    <t>Aquisição de bastões retráteis</t>
  </si>
  <si>
    <t>Aquisição de óculos de proteção para uso tático</t>
  </si>
  <si>
    <t xml:space="preserve">Aquisição de lanternas táticas </t>
  </si>
  <si>
    <t>Aquisição de mochilas de uso operacional</t>
  </si>
  <si>
    <t>Aquisição de cintos táticos modulares de sobrepor</t>
  </si>
  <si>
    <t>Aquisição de capas táticas para coletes balísiticos</t>
  </si>
  <si>
    <t>Aquisição de porta algemas</t>
  </si>
  <si>
    <t>Aquisição de porta lanternas</t>
  </si>
  <si>
    <t>Contratação de expansão do sistema de controle de acesso (serviços)</t>
  </si>
  <si>
    <t>Contratação de serviço de instalação de sonorização e luminosos em viatura oficial</t>
  </si>
  <si>
    <t>Aquisição de veículo do Grupo B</t>
  </si>
  <si>
    <t>Aquisição de veículo do Grupo D</t>
  </si>
  <si>
    <t>Aquisição de veículo do Grupo E</t>
  </si>
  <si>
    <t>Aquisição de baú de alumínio para veículo do Grupo E</t>
  </si>
  <si>
    <t>Aquisição de gravadores digitais para o sistema de CFTV</t>
  </si>
  <si>
    <t>469865 469866</t>
  </si>
  <si>
    <t>Aquisição de câmeras para o sistema de CFTV</t>
  </si>
  <si>
    <t>Aquisição de equipamentos de filmagem</t>
  </si>
  <si>
    <t>Aquisição de equipamentos de inteligência e contra-inteligência</t>
  </si>
  <si>
    <t>4A41 - Aperfeiçoar o Setor de Inteligência do TRF3</t>
  </si>
  <si>
    <t>Aquisição de armas de fogo curtas pistolas 9mm</t>
  </si>
  <si>
    <t>Armas de fogo longas fuzis</t>
  </si>
  <si>
    <t>Aquisição de telêmetros</t>
  </si>
  <si>
    <t>Aquisição de licenças de software de gerenciamento de sistema de CFTV com inteligência artificial</t>
  </si>
  <si>
    <t>UBAS</t>
  </si>
  <si>
    <t>DSAU</t>
  </si>
  <si>
    <t>Serviços continuados de PS móvel de urgências e emergências (UTI)</t>
  </si>
  <si>
    <t>Dispor de veículo para remoção de pacientes em urgências e emergências, o qual contemple Suporte Avançado de Vida (tipo D), conforme definido pela Portaria nº 2048, de 05.11.2002, do Ministério da Saúde.</t>
  </si>
  <si>
    <t>4011 - Índice de absenteísmo-doença</t>
  </si>
  <si>
    <t>Serviços continuados de prestação de serviço de pessoa jurídica - Operadora de Plano de Saúde.</t>
  </si>
  <si>
    <t>Oferecer assistência médico-hospitalar a magistrados, servidores, seus dependentes e pensionistas.</t>
  </si>
  <si>
    <t>Serviços de PS móvel para atendimentro durante a realização de eventos</t>
  </si>
  <si>
    <t>Contratação de empresa para prestação de serviços de remoção de pacientes com UTILIZAÇÃO PROGRAMADA E HORA EXCEDENTE por ambulância de suporte avançado (UTI móvel) com equipamento e tripulação, durante a realização de eventos fora das dependências do Tribunal.</t>
  </si>
  <si>
    <t>Compra de medicamentos</t>
  </si>
  <si>
    <t>Atendimento médico-ambulatorial ao público interno do TRF3</t>
  </si>
  <si>
    <t>Compra de material odontológico</t>
  </si>
  <si>
    <t>Compra de material de consumo médico hospitalar</t>
  </si>
  <si>
    <t>Carro maca hospitalar para obesos</t>
  </si>
  <si>
    <t xml:space="preserve">Divãs clínicos </t>
  </si>
  <si>
    <t>Cadeira de rodas</t>
  </si>
  <si>
    <t>TRIBUNAL REGIONAL FEDERAL DA 3ª REGIÃO</t>
  </si>
  <si>
    <t>ID</t>
  </si>
  <si>
    <t>sim</t>
  </si>
  <si>
    <t>Plano Anual de Contratações - 2024 (Resolução PRES nº 350, de 18/05/2020, alterada pela Resolução PRES nº 464, de 14/10/2021)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</si>
</sst>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R$&quot;\ * #,##0.00_-;\-&quot;R$&quot;\ * #,##0.00_-;_-&quot;R$&quot;\ * &quot;-&quot;??_-;_-@_-"/>
    <numFmt numFmtId="164" formatCode="&quot;R$&quot;\ #,##0.00"/>
    <numFmt numFmtId="165" formatCode="d/m/yyyy"/>
  </numFmts>
  <fonts count="13" x14ac:knownFonts="1">
    <font>
      <sz val="11"/>
      <color theme="1"/>
      <name val="Calibri"/>
      <family val="2"/>
      <scheme val="minor"/>
    </font>
    <font>
      <sz val="11"/>
      <color theme="1"/>
      <name val="Calibri"/>
      <family val="2"/>
      <scheme val="minor"/>
    </font>
    <font>
      <b/>
      <sz val="10"/>
      <color theme="0"/>
      <name val="Calibri"/>
      <family val="2"/>
      <scheme val="minor"/>
    </font>
    <font>
      <sz val="11"/>
      <color rgb="FF000000"/>
      <name val="Calibri"/>
      <family val="2"/>
      <scheme val="minor"/>
    </font>
    <font>
      <sz val="11"/>
      <color rgb="FF000000"/>
      <name val="Calibri"/>
      <family val="2"/>
    </font>
    <font>
      <sz val="10"/>
      <color rgb="FF000000"/>
      <name val="Calibri"/>
      <family val="2"/>
    </font>
    <font>
      <sz val="11"/>
      <color rgb="FF000000"/>
      <name val="Segoe UI"/>
      <family val="2"/>
    </font>
    <font>
      <sz val="11"/>
      <name val="Calibri"/>
      <family val="2"/>
      <scheme val="minor"/>
    </font>
    <font>
      <sz val="10"/>
      <name val="Arial"/>
      <family val="2"/>
    </font>
    <font>
      <sz val="10"/>
      <color rgb="FF000000"/>
      <name val="Calibri"/>
      <family val="2"/>
      <scheme val="minor"/>
    </font>
    <font>
      <sz val="9"/>
      <color rgb="FF000000"/>
      <name val="Calibri"/>
      <family val="2"/>
      <scheme val="minor"/>
    </font>
    <font>
      <b/>
      <sz val="14"/>
      <color rgb="FF002F6C"/>
      <name val="Calibri"/>
      <family val="2"/>
      <scheme val="minor"/>
    </font>
    <font>
      <b/>
      <sz val="12"/>
      <color rgb="FF007A33"/>
      <name val="Calibri"/>
      <family val="2"/>
      <scheme val="minor"/>
    </font>
  </fonts>
  <fills count="6">
    <fill>
      <patternFill patternType="none"/>
    </fill>
    <fill>
      <patternFill patternType="gray125"/>
    </fill>
    <fill>
      <patternFill patternType="solid">
        <fgColor rgb="FF002F6C"/>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5"/>
      </patternFill>
    </fill>
  </fills>
  <borders count="4">
    <border>
      <left/>
      <right/>
      <top/>
      <bottom/>
      <diagonal/>
    </border>
    <border>
      <left style="thin">
        <color auto="1"/>
      </left>
      <right style="thin">
        <color auto="1"/>
      </right>
      <top style="thin">
        <color auto="1"/>
      </top>
      <bottom style="thin">
        <color auto="1"/>
      </bottom>
      <diagonal/>
    </border>
    <border>
      <left/>
      <right style="thin">
        <color theme="0"/>
      </right>
      <top/>
      <bottom/>
      <diagonal/>
    </border>
    <border>
      <left style="thin">
        <color auto="1"/>
      </left>
      <right/>
      <top style="thin">
        <color auto="1"/>
      </top>
      <bottom style="thin">
        <color auto="1"/>
      </bottom>
      <diagonal/>
    </border>
  </borders>
  <cellStyleXfs count="7">
    <xf numFmtId="0" fontId="0" fillId="0" borderId="0"/>
    <xf numFmtId="0" fontId="1" fillId="0" borderId="0"/>
    <xf numFmtId="0" fontId="1" fillId="0" borderId="0"/>
    <xf numFmtId="0" fontId="8" fillId="0" borderId="0"/>
    <xf numFmtId="0" fontId="1" fillId="0" borderId="0"/>
    <xf numFmtId="44" fontId="1" fillId="0" borderId="0" applyFont="0" applyFill="0" applyBorder="0" applyAlignment="0" applyProtection="0"/>
    <xf numFmtId="0" fontId="1" fillId="5" borderId="0" applyNumberFormat="0" applyBorder="0" applyAlignment="0" applyProtection="0"/>
  </cellStyleXfs>
  <cellXfs count="114">
    <xf numFmtId="0" fontId="0" fillId="0" borderId="0" xfId="0"/>
    <xf numFmtId="0" fontId="1" fillId="0" borderId="1" xfId="1" applyFont="1" applyBorder="1" applyAlignment="1">
      <alignment horizontal="center" vertical="center" wrapText="1"/>
    </xf>
    <xf numFmtId="0" fontId="1" fillId="0" borderId="1" xfId="1" applyFont="1" applyBorder="1" applyAlignment="1" applyProtection="1">
      <alignment horizontal="center" vertical="center" wrapText="1"/>
      <protection locked="0"/>
    </xf>
    <xf numFmtId="3" fontId="3" fillId="0" borderId="1" xfId="1" applyNumberFormat="1" applyFont="1" applyBorder="1" applyAlignment="1" applyProtection="1">
      <alignment horizontal="center" vertical="center" wrapText="1"/>
      <protection locked="0"/>
    </xf>
    <xf numFmtId="0" fontId="1" fillId="0" borderId="1" xfId="1" applyFont="1" applyBorder="1" applyAlignment="1">
      <alignment horizontal="left" vertical="center" wrapText="1"/>
    </xf>
    <xf numFmtId="0" fontId="3" fillId="0" borderId="1" xfId="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1" fillId="0" borderId="1" xfId="1" applyFont="1" applyBorder="1" applyAlignment="1" applyProtection="1">
      <alignment horizontal="left" vertical="center" wrapText="1"/>
      <protection locked="0"/>
    </xf>
    <xf numFmtId="164" fontId="3" fillId="0" borderId="1" xfId="1" applyNumberFormat="1" applyFont="1" applyBorder="1" applyAlignment="1">
      <alignment horizontal="right" vertical="center" wrapText="1" indent="1"/>
    </xf>
    <xf numFmtId="0" fontId="1" fillId="0" borderId="1" xfId="2" applyFont="1" applyBorder="1" applyAlignment="1">
      <alignment horizontal="center" vertical="center" wrapText="1"/>
    </xf>
    <xf numFmtId="0" fontId="1" fillId="0" borderId="1" xfId="2" applyFont="1" applyBorder="1" applyAlignment="1" applyProtection="1">
      <alignment horizontal="center" vertical="center" wrapText="1"/>
      <protection locked="0"/>
    </xf>
    <xf numFmtId="3" fontId="3" fillId="0" borderId="1" xfId="2" applyNumberFormat="1" applyFont="1" applyBorder="1" applyAlignment="1" applyProtection="1">
      <alignment horizontal="center" vertical="center" wrapText="1"/>
      <protection locked="0"/>
    </xf>
    <xf numFmtId="0" fontId="7" fillId="0" borderId="1" xfId="2" applyFont="1" applyBorder="1" applyAlignment="1">
      <alignment horizontal="left" vertical="center" wrapText="1"/>
    </xf>
    <xf numFmtId="0" fontId="1" fillId="0" borderId="1" xfId="2" applyFont="1" applyBorder="1" applyAlignment="1" applyProtection="1">
      <alignment horizontal="left" vertical="center" wrapText="1"/>
      <protection locked="0"/>
    </xf>
    <xf numFmtId="0" fontId="3" fillId="0" borderId="1" xfId="2" applyFont="1" applyBorder="1" applyAlignment="1" applyProtection="1">
      <alignment horizontal="center" vertical="center" wrapText="1"/>
      <protection locked="0"/>
    </xf>
    <xf numFmtId="165" fontId="3" fillId="0" borderId="1" xfId="2" applyNumberFormat="1" applyFont="1" applyBorder="1" applyAlignment="1" applyProtection="1">
      <alignment horizontal="center" vertical="center" wrapText="1"/>
      <protection locked="0"/>
    </xf>
    <xf numFmtId="49" fontId="3" fillId="0" borderId="1" xfId="2" applyNumberFormat="1" applyFont="1" applyBorder="1" applyAlignment="1" applyProtection="1">
      <alignment horizontal="center" vertical="center" wrapText="1"/>
      <protection locked="0"/>
    </xf>
    <xf numFmtId="0" fontId="3" fillId="0" borderId="1" xfId="2" applyFont="1" applyBorder="1" applyAlignment="1">
      <alignment horizontal="center" vertical="center" wrapText="1"/>
    </xf>
    <xf numFmtId="3" fontId="3"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7" fillId="0" borderId="1" xfId="2" applyFont="1" applyBorder="1" applyAlignment="1" applyProtection="1">
      <alignment horizontal="left" vertical="center" wrapText="1"/>
      <protection locked="0"/>
    </xf>
    <xf numFmtId="3"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7" fillId="0" borderId="1" xfId="2" applyFont="1" applyBorder="1" applyAlignment="1" applyProtection="1">
      <alignment horizontal="center" vertical="center" wrapText="1"/>
      <protection locked="0"/>
    </xf>
    <xf numFmtId="0" fontId="3" fillId="0" borderId="1" xfId="2" applyFont="1" applyBorder="1" applyAlignment="1" applyProtection="1">
      <alignment horizontal="left" vertical="center" wrapText="1"/>
      <protection locked="0"/>
    </xf>
    <xf numFmtId="0" fontId="7" fillId="0" borderId="1" xfId="3" applyFont="1" applyBorder="1" applyAlignment="1">
      <alignment horizontal="left" vertical="center" wrapText="1"/>
    </xf>
    <xf numFmtId="0" fontId="1" fillId="0" borderId="1" xfId="2"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1" fillId="0" borderId="1" xfId="4" applyFont="1" applyBorder="1" applyAlignment="1">
      <alignment horizontal="center" vertical="center" wrapText="1"/>
    </xf>
    <xf numFmtId="0" fontId="1" fillId="0" borderId="1" xfId="4" applyFont="1" applyBorder="1" applyAlignment="1" applyProtection="1">
      <alignment horizontal="center" vertical="center" wrapText="1"/>
      <protection locked="0"/>
    </xf>
    <xf numFmtId="0" fontId="1" fillId="0" borderId="1" xfId="4" applyFont="1" applyBorder="1" applyAlignment="1">
      <alignment horizontal="left" vertical="center" wrapText="1"/>
    </xf>
    <xf numFmtId="0" fontId="1" fillId="0" borderId="1" xfId="4" applyFont="1" applyBorder="1" applyAlignment="1" applyProtection="1">
      <alignment horizontal="left" vertical="center"/>
      <protection locked="0"/>
    </xf>
    <xf numFmtId="0" fontId="1" fillId="4" borderId="1" xfId="4" applyFont="1" applyFill="1" applyBorder="1" applyAlignment="1" applyProtection="1">
      <alignment horizontal="center" vertical="center" wrapText="1"/>
      <protection locked="0"/>
    </xf>
    <xf numFmtId="0" fontId="7" fillId="0" borderId="1" xfId="4" applyFont="1" applyBorder="1" applyAlignment="1">
      <alignment horizontal="left" vertical="center" wrapText="1"/>
    </xf>
    <xf numFmtId="3" fontId="3" fillId="0" borderId="1" xfId="4" applyNumberFormat="1" applyFont="1" applyBorder="1" applyAlignment="1" applyProtection="1">
      <alignment horizontal="center" vertical="center" wrapText="1"/>
      <protection locked="0"/>
    </xf>
    <xf numFmtId="0" fontId="3" fillId="0" borderId="1" xfId="4" applyFont="1" applyBorder="1" applyAlignment="1" applyProtection="1">
      <alignment horizontal="center" vertical="center" wrapText="1"/>
      <protection locked="0"/>
    </xf>
    <xf numFmtId="0" fontId="3" fillId="4" borderId="1" xfId="4" applyFont="1" applyFill="1" applyBorder="1" applyAlignment="1" applyProtection="1">
      <alignment horizontal="center" vertical="center" wrapText="1"/>
      <protection locked="0"/>
    </xf>
    <xf numFmtId="0" fontId="3" fillId="0" borderId="1" xfId="4"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3" fontId="1" fillId="0" borderId="1" xfId="1" applyNumberFormat="1" applyFont="1" applyBorder="1" applyAlignment="1" applyProtection="1">
      <alignment horizontal="center" vertical="center" wrapText="1"/>
      <protection locked="0"/>
    </xf>
    <xf numFmtId="0" fontId="7"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pplyProtection="1">
      <alignment horizontal="left" vertical="center" wrapText="1"/>
      <protection locked="0"/>
    </xf>
    <xf numFmtId="49" fontId="3" fillId="0" borderId="1" xfId="1" applyNumberFormat="1" applyFont="1" applyBorder="1" applyAlignment="1" applyProtection="1">
      <alignment horizontal="center" vertical="center" wrapText="1"/>
      <protection locked="0"/>
    </xf>
    <xf numFmtId="164" fontId="1" fillId="0" borderId="1" xfId="0" applyNumberFormat="1" applyFont="1" applyBorder="1" applyAlignment="1">
      <alignment horizontal="right" vertical="center" wrapText="1" indent="1"/>
    </xf>
    <xf numFmtId="164" fontId="3" fillId="0" borderId="1" xfId="0" applyNumberFormat="1" applyFont="1" applyBorder="1" applyAlignment="1">
      <alignment horizontal="right" vertical="center" wrapText="1" indent="1"/>
    </xf>
    <xf numFmtId="164" fontId="7" fillId="0" borderId="1" xfId="0" applyNumberFormat="1" applyFont="1" applyBorder="1" applyAlignment="1">
      <alignment horizontal="right" vertical="center" wrapText="1" indent="1"/>
    </xf>
    <xf numFmtId="164" fontId="3" fillId="0" borderId="1" xfId="4" applyNumberFormat="1" applyFont="1" applyBorder="1" applyAlignment="1">
      <alignment horizontal="right" vertical="center" wrapText="1" indent="1"/>
    </xf>
    <xf numFmtId="164" fontId="0" fillId="0" borderId="0" xfId="0" applyNumberFormat="1"/>
    <xf numFmtId="14" fontId="3" fillId="0" borderId="1" xfId="2"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14" fontId="3" fillId="0" borderId="1" xfId="4" applyNumberFormat="1" applyFont="1" applyBorder="1" applyAlignment="1" applyProtection="1">
      <alignment horizontal="center" vertical="center" wrapText="1"/>
      <protection locked="0"/>
    </xf>
    <xf numFmtId="14" fontId="3" fillId="0" borderId="1" xfId="1" applyNumberFormat="1" applyFont="1" applyBorder="1" applyAlignment="1" applyProtection="1">
      <alignment horizontal="center" vertical="center" wrapText="1"/>
      <protection locked="0"/>
    </xf>
    <xf numFmtId="14" fontId="0" fillId="0" borderId="0" xfId="0" applyNumberFormat="1"/>
    <xf numFmtId="0" fontId="2" fillId="2" borderId="1" xfId="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4" fontId="2" fillId="2" borderId="1" xfId="1"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quotePrefix="1" applyFont="1" applyFill="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164" fontId="3" fillId="0" borderId="1" xfId="2" applyNumberFormat="1" applyFont="1" applyBorder="1" applyAlignment="1">
      <alignment horizontal="right" vertical="center" wrapText="1" indent="1"/>
    </xf>
    <xf numFmtId="164" fontId="1" fillId="0" borderId="1" xfId="2" applyNumberFormat="1" applyFont="1" applyBorder="1" applyAlignment="1">
      <alignment horizontal="right" vertical="center" wrapText="1" indent="1"/>
    </xf>
    <xf numFmtId="3" fontId="3" fillId="0" borderId="1" xfId="2" applyNumberFormat="1" applyFont="1" applyBorder="1" applyAlignment="1" applyProtection="1">
      <alignment horizontal="left" vertical="center" wrapText="1"/>
      <protection locked="0"/>
    </xf>
    <xf numFmtId="14" fontId="7" fillId="0" borderId="1" xfId="2" applyNumberFormat="1" applyFont="1" applyBorder="1" applyAlignment="1">
      <alignment horizontal="center" vertical="center" wrapText="1"/>
    </xf>
    <xf numFmtId="0" fontId="3" fillId="4" borderId="1" xfId="2" applyFont="1" applyFill="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right" vertical="center" wrapText="1" indent="1"/>
    </xf>
    <xf numFmtId="0" fontId="7" fillId="0" borderId="1" xfId="4" applyFont="1" applyBorder="1" applyAlignment="1" applyProtection="1">
      <alignment horizontal="center" vertical="center" wrapText="1"/>
      <protection locked="0"/>
    </xf>
    <xf numFmtId="14" fontId="3" fillId="4" borderId="1" xfId="4" applyNumberFormat="1" applyFont="1" applyFill="1" applyBorder="1" applyAlignment="1" applyProtection="1">
      <alignment horizontal="center" vertical="center" wrapText="1"/>
      <protection locked="0"/>
    </xf>
    <xf numFmtId="0" fontId="3" fillId="4" borderId="1" xfId="4" applyFont="1" applyFill="1" applyBorder="1" applyAlignment="1">
      <alignment horizontal="center" vertical="center" wrapText="1"/>
    </xf>
    <xf numFmtId="0" fontId="7" fillId="0" borderId="1" xfId="4" applyFont="1" applyBorder="1" applyAlignment="1">
      <alignment horizontal="center" vertical="center" wrapText="1"/>
    </xf>
    <xf numFmtId="3" fontId="1" fillId="0" borderId="1" xfId="4" applyNumberFormat="1" applyFont="1" applyBorder="1" applyAlignment="1" applyProtection="1">
      <alignment horizontal="center" vertical="center" wrapText="1"/>
      <protection locked="0"/>
    </xf>
    <xf numFmtId="0" fontId="1" fillId="0" borderId="1" xfId="4" applyFont="1" applyBorder="1" applyAlignment="1" applyProtection="1">
      <alignment horizontal="left" vertical="center" wrapText="1"/>
      <protection locked="0"/>
    </xf>
    <xf numFmtId="164" fontId="1" fillId="0" borderId="1" xfId="4" applyNumberFormat="1" applyFont="1" applyBorder="1" applyAlignment="1">
      <alignment horizontal="right" vertical="center" wrapText="1" indent="1"/>
    </xf>
    <xf numFmtId="14" fontId="1" fillId="0" borderId="1" xfId="4" applyNumberFormat="1" applyFont="1" applyBorder="1" applyAlignment="1" applyProtection="1">
      <alignment horizontal="center" vertical="center" wrapText="1"/>
      <protection locked="0"/>
    </xf>
    <xf numFmtId="49" fontId="1" fillId="0" borderId="1" xfId="4" applyNumberFormat="1"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4" fillId="3" borderId="0" xfId="0" applyFont="1" applyFill="1" applyBorder="1" applyAlignment="1">
      <alignment horizontal="center" vertical="center" wrapText="1"/>
    </xf>
    <xf numFmtId="0" fontId="0" fillId="0" borderId="0" xfId="0" applyBorder="1"/>
    <xf numFmtId="0" fontId="1" fillId="0" borderId="1" xfId="0" applyFont="1" applyBorder="1" applyAlignment="1" applyProtection="1">
      <alignment horizontal="center" vertical="center" wrapText="1"/>
    </xf>
    <xf numFmtId="0" fontId="1" fillId="0" borderId="1" xfId="1" applyFont="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lignment horizontal="center" vertical="center" wrapText="1"/>
    </xf>
    <xf numFmtId="0" fontId="12" fillId="0" borderId="0" xfId="1" applyFont="1" applyAlignment="1">
      <alignment horizontal="center" vertical="center"/>
    </xf>
    <xf numFmtId="164" fontId="3" fillId="0" borderId="1" xfId="5" applyNumberFormat="1" applyFont="1" applyBorder="1" applyAlignment="1">
      <alignment horizontal="right" vertical="center" wrapText="1" indent="1"/>
    </xf>
    <xf numFmtId="164" fontId="1" fillId="0" borderId="1" xfId="5"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0" fontId="12" fillId="0" borderId="0" xfId="1" applyFont="1" applyAlignment="1">
      <alignment horizontal="centerContinuous" vertical="center"/>
    </xf>
    <xf numFmtId="0" fontId="0" fillId="0" borderId="0" xfId="0" applyAlignment="1">
      <alignment horizontal="centerContinuous"/>
    </xf>
    <xf numFmtId="0" fontId="3" fillId="0" borderId="1" xfId="0" applyFont="1" applyBorder="1" applyAlignment="1" applyProtection="1">
      <alignment horizontal="left" vertical="center" wrapText="1"/>
      <protection locked="0"/>
    </xf>
    <xf numFmtId="0" fontId="11" fillId="0" borderId="0" xfId="1" applyFont="1" applyAlignment="1">
      <alignment horizontal="center" vertical="center"/>
    </xf>
    <xf numFmtId="0" fontId="1" fillId="0" borderId="1" xfId="6" applyFill="1" applyBorder="1" applyAlignment="1" applyProtection="1">
      <alignment horizontal="center" vertical="center" wrapText="1"/>
    </xf>
    <xf numFmtId="0" fontId="1" fillId="0" borderId="1" xfId="6" applyFill="1" applyBorder="1" applyAlignment="1">
      <alignment horizontal="center" vertical="center" wrapText="1"/>
    </xf>
    <xf numFmtId="0" fontId="1" fillId="0" borderId="1" xfId="6" applyFill="1" applyBorder="1" applyAlignment="1" applyProtection="1">
      <alignment horizontal="center" vertical="center" wrapText="1"/>
      <protection locked="0"/>
    </xf>
    <xf numFmtId="3" fontId="1" fillId="0" borderId="1" xfId="6" applyNumberFormat="1" applyFill="1" applyBorder="1" applyAlignment="1" applyProtection="1">
      <alignment horizontal="center" vertical="center" wrapText="1"/>
      <protection locked="0"/>
    </xf>
    <xf numFmtId="0" fontId="1" fillId="0" borderId="1" xfId="6" applyFill="1" applyBorder="1" applyAlignment="1">
      <alignment horizontal="left" vertical="center" wrapText="1"/>
    </xf>
    <xf numFmtId="0" fontId="1" fillId="0" borderId="1" xfId="6" applyFill="1" applyBorder="1" applyAlignment="1" applyProtection="1">
      <alignment horizontal="left" vertical="center" wrapText="1"/>
      <protection locked="0"/>
    </xf>
    <xf numFmtId="164" fontId="1" fillId="0" borderId="1" xfId="6" applyNumberFormat="1" applyFill="1" applyBorder="1" applyAlignment="1">
      <alignment horizontal="right" vertical="center" wrapText="1" indent="1"/>
    </xf>
    <xf numFmtId="14" fontId="1" fillId="0" borderId="1" xfId="6" applyNumberFormat="1" applyFill="1" applyBorder="1" applyAlignment="1" applyProtection="1">
      <alignment horizontal="center" vertical="center" wrapText="1"/>
      <protection locked="0"/>
    </xf>
    <xf numFmtId="49" fontId="1" fillId="0" borderId="1" xfId="6" applyNumberFormat="1" applyFill="1" applyBorder="1" applyAlignment="1" applyProtection="1">
      <alignment horizontal="center" vertical="center" wrapText="1"/>
      <protection locked="0"/>
    </xf>
  </cellXfs>
  <cellStyles count="7">
    <cellStyle name="40% - Ênfase1" xfId="6" builtinId="31"/>
    <cellStyle name="Moeda" xfId="5" builtinId="4"/>
    <cellStyle name="Normal" xfId="0" builtinId="0"/>
    <cellStyle name="Normal 10 2" xfId="1"/>
    <cellStyle name="Normal 11" xfId="4"/>
    <cellStyle name="Normal 8 2" xfId="3"/>
    <cellStyle name="Normal 9"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bmello\Downloads\Planilha_PAC_2024_Consolidada_23_10_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iassi\Downloads\Planilha_PAC_2024_Compartilhaveis__4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a"/>
      <sheetName val="Dados"/>
      <sheetName val="NUBI"/>
      <sheetName val="SADI"/>
      <sheetName val="SEGE"/>
      <sheetName val="SETI"/>
      <sheetName val="SSEG"/>
      <sheetName val="UBA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a"/>
      <sheetName val="Dados"/>
      <sheetName val="CORE"/>
      <sheetName val="EMAG"/>
      <sheetName val="NUBI"/>
      <sheetName val="SADI"/>
      <sheetName val="SEGE"/>
      <sheetName val="SETI"/>
      <sheetName val="SSEG"/>
      <sheetName val="UBA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4.5" x14ac:dyDescent="0.35"/>
  <sheetData>
    <row r="1" spans="1:1" x14ac:dyDescent="0.35">
      <c r="A1" t="s">
        <v>19</v>
      </c>
    </row>
    <row r="2" spans="1:1" x14ac:dyDescent="0.35">
      <c r="A2" t="s">
        <v>25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7"/>
  <sheetViews>
    <sheetView showGridLines="0" tabSelected="1" topLeftCell="B1" zoomScale="90" zoomScaleNormal="90" workbookViewId="0">
      <pane ySplit="4" topLeftCell="A5" activePane="bottomLeft" state="frozen"/>
      <selection activeCell="A2" sqref="A2"/>
      <selection pane="bottomLeft" activeCell="I65" sqref="I65"/>
    </sheetView>
  </sheetViews>
  <sheetFormatPr defaultRowHeight="14.5" x14ac:dyDescent="0.35"/>
  <cols>
    <col min="2" max="2" width="8.81640625" customWidth="1"/>
    <col min="3" max="3" width="9.26953125" customWidth="1"/>
    <col min="4" max="4" width="9.1796875" customWidth="1"/>
    <col min="6" max="6" width="11.26953125" customWidth="1"/>
    <col min="7" max="7" width="9.81640625" customWidth="1"/>
    <col min="8" max="8" width="29.54296875" customWidth="1"/>
    <col min="9" max="9" width="69.7265625" customWidth="1"/>
    <col min="10" max="10" width="18.7265625" style="56" bestFit="1" customWidth="1"/>
    <col min="12" max="12" width="13.26953125" style="62" customWidth="1"/>
    <col min="13" max="13" width="16.81640625" customWidth="1"/>
    <col min="15" max="15" width="11" customWidth="1"/>
    <col min="16" max="17" width="14.54296875" customWidth="1"/>
  </cols>
  <sheetData>
    <row r="1" spans="1:20" ht="15.75" customHeight="1" x14ac:dyDescent="0.35">
      <c r="C1" s="104" t="s">
        <v>416</v>
      </c>
      <c r="D1" s="104"/>
      <c r="E1" s="104"/>
      <c r="F1" s="104"/>
      <c r="G1" s="104"/>
      <c r="H1" s="104"/>
      <c r="I1" s="104"/>
      <c r="J1" s="104"/>
      <c r="K1" s="104"/>
      <c r="L1" s="104"/>
      <c r="M1" s="104"/>
      <c r="N1" s="104"/>
      <c r="O1" s="104"/>
      <c r="P1" s="104"/>
      <c r="Q1" s="104"/>
      <c r="R1" s="92"/>
      <c r="S1" s="92"/>
      <c r="T1" s="92"/>
    </row>
    <row r="2" spans="1:20" ht="15.75" customHeight="1" x14ac:dyDescent="0.35">
      <c r="C2" s="101" t="s">
        <v>419</v>
      </c>
      <c r="D2" s="101"/>
      <c r="E2" s="101"/>
      <c r="F2" s="101"/>
      <c r="G2" s="101"/>
      <c r="H2" s="101"/>
      <c r="I2" s="101"/>
      <c r="J2" s="101"/>
      <c r="K2" s="101"/>
      <c r="L2" s="101"/>
      <c r="M2" s="102"/>
      <c r="N2" s="101"/>
      <c r="O2" s="101"/>
      <c r="P2" s="101"/>
      <c r="Q2" s="102"/>
      <c r="S2" s="92"/>
      <c r="T2" s="92"/>
    </row>
    <row r="3" spans="1:20" ht="15.75" customHeight="1" x14ac:dyDescent="0.35">
      <c r="F3" s="97"/>
      <c r="G3" s="97"/>
      <c r="H3" s="97"/>
      <c r="I3" s="97"/>
      <c r="J3" s="97"/>
      <c r="K3" s="97"/>
      <c r="L3" s="97"/>
      <c r="M3" s="97"/>
      <c r="N3" s="97"/>
      <c r="O3" s="97"/>
      <c r="P3" s="97"/>
      <c r="Q3" s="97"/>
      <c r="R3" s="92"/>
      <c r="S3" s="92"/>
      <c r="T3" s="92"/>
    </row>
    <row r="4" spans="1:20" ht="39" x14ac:dyDescent="0.35">
      <c r="A4" s="92"/>
      <c r="B4" s="92"/>
      <c r="C4" s="95" t="s">
        <v>417</v>
      </c>
      <c r="D4" s="63" t="s">
        <v>0</v>
      </c>
      <c r="E4" s="63" t="s">
        <v>1</v>
      </c>
      <c r="F4" s="63" t="s">
        <v>2</v>
      </c>
      <c r="G4" s="63" t="s">
        <v>3</v>
      </c>
      <c r="H4" s="63" t="s">
        <v>4</v>
      </c>
      <c r="I4" s="63" t="s">
        <v>5</v>
      </c>
      <c r="J4" s="64" t="s">
        <v>6</v>
      </c>
      <c r="K4" s="63" t="s">
        <v>7</v>
      </c>
      <c r="L4" s="65" t="s">
        <v>8</v>
      </c>
      <c r="M4" s="63" t="s">
        <v>9</v>
      </c>
      <c r="N4" s="63" t="s">
        <v>10</v>
      </c>
      <c r="O4" s="63" t="s">
        <v>11</v>
      </c>
      <c r="P4" s="63" t="s">
        <v>12</v>
      </c>
      <c r="Q4" s="96" t="s">
        <v>13</v>
      </c>
      <c r="R4" s="92"/>
      <c r="S4" s="92"/>
      <c r="T4" s="92"/>
    </row>
    <row r="5" spans="1:20" ht="87" x14ac:dyDescent="0.35">
      <c r="C5" s="93">
        <v>1</v>
      </c>
      <c r="D5" s="6" t="s">
        <v>21</v>
      </c>
      <c r="E5" s="7">
        <v>3174</v>
      </c>
      <c r="F5" s="7" t="s">
        <v>22</v>
      </c>
      <c r="G5" s="22" t="s">
        <v>15</v>
      </c>
      <c r="H5" s="8" t="s">
        <v>16</v>
      </c>
      <c r="I5" s="9" t="s">
        <v>23</v>
      </c>
      <c r="J5" s="52">
        <f>ROUND(300000*(1-0.1997%),0)</f>
        <v>299401</v>
      </c>
      <c r="K5" s="10" t="s">
        <v>17</v>
      </c>
      <c r="L5" s="58" t="s">
        <v>14</v>
      </c>
      <c r="M5" s="7" t="s">
        <v>24</v>
      </c>
      <c r="N5" s="10" t="s">
        <v>25</v>
      </c>
      <c r="O5" s="23" t="s">
        <v>19</v>
      </c>
      <c r="P5" s="10" t="s">
        <v>20</v>
      </c>
      <c r="Q5" s="10" t="s">
        <v>26</v>
      </c>
    </row>
    <row r="6" spans="1:20" ht="43.5" x14ac:dyDescent="0.35">
      <c r="C6" s="93">
        <v>2</v>
      </c>
      <c r="D6" s="1" t="s">
        <v>21</v>
      </c>
      <c r="E6" s="2">
        <v>20656</v>
      </c>
      <c r="F6" s="2" t="s">
        <v>22</v>
      </c>
      <c r="G6" s="3" t="s">
        <v>15</v>
      </c>
      <c r="H6" s="4" t="s">
        <v>27</v>
      </c>
      <c r="I6" s="11" t="s">
        <v>28</v>
      </c>
      <c r="J6" s="53">
        <f>ROUND(985000*(1-0.1997%),0)</f>
        <v>983033</v>
      </c>
      <c r="K6" s="5" t="s">
        <v>17</v>
      </c>
      <c r="L6" s="61" t="s">
        <v>14</v>
      </c>
      <c r="M6" s="2" t="s">
        <v>24</v>
      </c>
      <c r="N6" s="5" t="s">
        <v>25</v>
      </c>
      <c r="O6" s="48" t="s">
        <v>19</v>
      </c>
      <c r="P6" s="5" t="s">
        <v>29</v>
      </c>
      <c r="Q6" s="5" t="s">
        <v>26</v>
      </c>
    </row>
    <row r="7" spans="1:20" ht="43.5" x14ac:dyDescent="0.35">
      <c r="C7" s="93">
        <v>3</v>
      </c>
      <c r="D7" s="1" t="s">
        <v>21</v>
      </c>
      <c r="E7" s="2">
        <v>25232</v>
      </c>
      <c r="F7" s="2" t="s">
        <v>22</v>
      </c>
      <c r="G7" s="3" t="s">
        <v>15</v>
      </c>
      <c r="H7" s="4" t="s">
        <v>30</v>
      </c>
      <c r="I7" s="11" t="s">
        <v>31</v>
      </c>
      <c r="J7" s="53">
        <f>ROUND(79000*(1-0.1997%),0)</f>
        <v>78842</v>
      </c>
      <c r="K7" s="5" t="s">
        <v>17</v>
      </c>
      <c r="L7" s="61" t="s">
        <v>14</v>
      </c>
      <c r="M7" s="2" t="s">
        <v>24</v>
      </c>
      <c r="N7" s="5" t="s">
        <v>25</v>
      </c>
      <c r="O7" s="48" t="s">
        <v>19</v>
      </c>
      <c r="P7" s="5" t="s">
        <v>29</v>
      </c>
      <c r="Q7" s="5" t="s">
        <v>26</v>
      </c>
    </row>
    <row r="8" spans="1:20" ht="43.5" x14ac:dyDescent="0.35">
      <c r="C8" s="93">
        <v>4</v>
      </c>
      <c r="D8" s="1" t="s">
        <v>21</v>
      </c>
      <c r="E8" s="2">
        <v>25232</v>
      </c>
      <c r="F8" s="2" t="s">
        <v>22</v>
      </c>
      <c r="G8" s="3" t="s">
        <v>15</v>
      </c>
      <c r="H8" s="4" t="s">
        <v>32</v>
      </c>
      <c r="I8" s="11" t="s">
        <v>31</v>
      </c>
      <c r="J8" s="53">
        <f>ROUND(25500*(1-0.1997%),0)</f>
        <v>25449</v>
      </c>
      <c r="K8" s="5" t="s">
        <v>17</v>
      </c>
      <c r="L8" s="61" t="s">
        <v>14</v>
      </c>
      <c r="M8" s="2" t="s">
        <v>24</v>
      </c>
      <c r="N8" s="5" t="s">
        <v>25</v>
      </c>
      <c r="O8" s="48" t="s">
        <v>19</v>
      </c>
      <c r="P8" s="5" t="s">
        <v>29</v>
      </c>
      <c r="Q8" s="5" t="s">
        <v>26</v>
      </c>
    </row>
    <row r="9" spans="1:20" ht="43.5" x14ac:dyDescent="0.35">
      <c r="C9" s="93">
        <v>5</v>
      </c>
      <c r="D9" s="1" t="s">
        <v>21</v>
      </c>
      <c r="E9" s="2">
        <v>17663</v>
      </c>
      <c r="F9" s="2" t="s">
        <v>22</v>
      </c>
      <c r="G9" s="3" t="s">
        <v>15</v>
      </c>
      <c r="H9" s="4" t="s">
        <v>33</v>
      </c>
      <c r="I9" s="11" t="s">
        <v>34</v>
      </c>
      <c r="J9" s="53">
        <f>ROUND(100000*(1-0.1997%),0)</f>
        <v>99800</v>
      </c>
      <c r="K9" s="5" t="s">
        <v>17</v>
      </c>
      <c r="L9" s="61" t="s">
        <v>14</v>
      </c>
      <c r="M9" s="2" t="s">
        <v>24</v>
      </c>
      <c r="N9" s="5" t="s">
        <v>25</v>
      </c>
      <c r="O9" s="48" t="s">
        <v>19</v>
      </c>
      <c r="P9" s="5" t="s">
        <v>29</v>
      </c>
      <c r="Q9" s="5" t="s">
        <v>26</v>
      </c>
    </row>
    <row r="10" spans="1:20" ht="43.5" x14ac:dyDescent="0.35">
      <c r="C10" s="93">
        <v>6</v>
      </c>
      <c r="D10" s="1" t="s">
        <v>21</v>
      </c>
      <c r="E10" s="2">
        <v>20656</v>
      </c>
      <c r="F10" s="2" t="s">
        <v>22</v>
      </c>
      <c r="G10" s="3" t="s">
        <v>15</v>
      </c>
      <c r="H10" s="4" t="s">
        <v>35</v>
      </c>
      <c r="I10" s="11" t="s">
        <v>36</v>
      </c>
      <c r="J10" s="53">
        <f>ROUND(35000*(1-0.1997%),0)</f>
        <v>34930</v>
      </c>
      <c r="K10" s="5" t="s">
        <v>17</v>
      </c>
      <c r="L10" s="61" t="s">
        <v>14</v>
      </c>
      <c r="M10" s="2" t="s">
        <v>24</v>
      </c>
      <c r="N10" s="5" t="s">
        <v>25</v>
      </c>
      <c r="O10" s="48" t="s">
        <v>19</v>
      </c>
      <c r="P10" s="5" t="s">
        <v>29</v>
      </c>
      <c r="Q10" s="5" t="s">
        <v>26</v>
      </c>
    </row>
    <row r="11" spans="1:20" ht="72.5" x14ac:dyDescent="0.35">
      <c r="C11" s="94">
        <v>1</v>
      </c>
      <c r="D11" s="48" t="s">
        <v>37</v>
      </c>
      <c r="E11" s="5">
        <v>23108</v>
      </c>
      <c r="F11" s="5" t="s">
        <v>38</v>
      </c>
      <c r="G11" s="3">
        <v>1</v>
      </c>
      <c r="H11" s="49" t="s">
        <v>39</v>
      </c>
      <c r="I11" s="50" t="s">
        <v>40</v>
      </c>
      <c r="J11" s="12">
        <f>ROUND(75000*(1-0.1997%),0)+40150</f>
        <v>115000</v>
      </c>
      <c r="K11" s="5" t="s">
        <v>17</v>
      </c>
      <c r="L11" s="61">
        <v>45627</v>
      </c>
      <c r="M11" s="51" t="s">
        <v>18</v>
      </c>
      <c r="N11" s="5" t="s">
        <v>25</v>
      </c>
      <c r="O11" s="48" t="s">
        <v>25</v>
      </c>
      <c r="P11" s="5" t="s">
        <v>41</v>
      </c>
      <c r="Q11" s="5" t="s">
        <v>42</v>
      </c>
    </row>
    <row r="12" spans="1:20" ht="72.5" x14ac:dyDescent="0.35">
      <c r="C12" s="94">
        <v>2</v>
      </c>
      <c r="D12" s="48" t="s">
        <v>37</v>
      </c>
      <c r="E12" s="5">
        <v>23108</v>
      </c>
      <c r="F12" s="5" t="s">
        <v>38</v>
      </c>
      <c r="G12" s="3">
        <v>1</v>
      </c>
      <c r="H12" s="49" t="s">
        <v>43</v>
      </c>
      <c r="I12" s="50" t="s">
        <v>40</v>
      </c>
      <c r="J12" s="12">
        <f>ROUND(55057*(1-0.1997%),0)-36947</f>
        <v>18000</v>
      </c>
      <c r="K12" s="5" t="s">
        <v>17</v>
      </c>
      <c r="L12" s="61">
        <v>45627</v>
      </c>
      <c r="M12" s="51" t="s">
        <v>18</v>
      </c>
      <c r="N12" s="5" t="s">
        <v>25</v>
      </c>
      <c r="O12" s="48" t="s">
        <v>25</v>
      </c>
      <c r="P12" s="5" t="s">
        <v>41</v>
      </c>
      <c r="Q12" s="5" t="s">
        <v>42</v>
      </c>
    </row>
    <row r="13" spans="1:20" ht="72.5" x14ac:dyDescent="0.35">
      <c r="C13" s="94">
        <v>3</v>
      </c>
      <c r="D13" s="48" t="s">
        <v>37</v>
      </c>
      <c r="E13" s="5">
        <v>23108</v>
      </c>
      <c r="F13" s="5" t="s">
        <v>44</v>
      </c>
      <c r="G13" s="3">
        <v>1</v>
      </c>
      <c r="H13" s="49" t="s">
        <v>45</v>
      </c>
      <c r="I13" s="50" t="s">
        <v>46</v>
      </c>
      <c r="J13" s="12">
        <f>ROUND(5000*(1-0.1997%),0)-390</f>
        <v>4600</v>
      </c>
      <c r="K13" s="5" t="s">
        <v>17</v>
      </c>
      <c r="L13" s="61">
        <v>45627</v>
      </c>
      <c r="M13" s="51" t="s">
        <v>18</v>
      </c>
      <c r="N13" s="5" t="s">
        <v>25</v>
      </c>
      <c r="O13" s="48" t="s">
        <v>25</v>
      </c>
      <c r="P13" s="5" t="s">
        <v>41</v>
      </c>
      <c r="Q13" s="5" t="s">
        <v>42</v>
      </c>
    </row>
    <row r="14" spans="1:20" ht="72.5" x14ac:dyDescent="0.35">
      <c r="C14" s="94">
        <v>4</v>
      </c>
      <c r="D14" s="48" t="s">
        <v>37</v>
      </c>
      <c r="E14" s="5">
        <v>23108</v>
      </c>
      <c r="F14" s="5" t="s">
        <v>38</v>
      </c>
      <c r="G14" s="3">
        <v>1</v>
      </c>
      <c r="H14" s="49" t="s">
        <v>47</v>
      </c>
      <c r="I14" s="50" t="s">
        <v>48</v>
      </c>
      <c r="J14" s="12">
        <f>ROUND(220000*(1-0.1997%),0)+5618</f>
        <v>225179</v>
      </c>
      <c r="K14" s="5" t="s">
        <v>17</v>
      </c>
      <c r="L14" s="61">
        <v>45536</v>
      </c>
      <c r="M14" s="51" t="s">
        <v>18</v>
      </c>
      <c r="N14" s="5" t="s">
        <v>25</v>
      </c>
      <c r="O14" s="48" t="s">
        <v>25</v>
      </c>
      <c r="P14" s="5" t="s">
        <v>41</v>
      </c>
      <c r="Q14" s="5" t="s">
        <v>42</v>
      </c>
    </row>
    <row r="15" spans="1:20" ht="72.5" x14ac:dyDescent="0.35">
      <c r="C15" s="94">
        <v>5</v>
      </c>
      <c r="D15" s="48" t="s">
        <v>37</v>
      </c>
      <c r="E15" s="5">
        <v>23108</v>
      </c>
      <c r="F15" s="5" t="s">
        <v>38</v>
      </c>
      <c r="G15" s="3">
        <v>1</v>
      </c>
      <c r="H15" s="49" t="s">
        <v>49</v>
      </c>
      <c r="I15" s="50" t="s">
        <v>48</v>
      </c>
      <c r="J15" s="12">
        <f>ROUND(80000*(1-0.1997%),0)+160</f>
        <v>80000</v>
      </c>
      <c r="K15" s="5" t="s">
        <v>17</v>
      </c>
      <c r="L15" s="61">
        <v>45474</v>
      </c>
      <c r="M15" s="51" t="s">
        <v>18</v>
      </c>
      <c r="N15" s="5" t="s">
        <v>25</v>
      </c>
      <c r="O15" s="48" t="s">
        <v>25</v>
      </c>
      <c r="P15" s="5" t="s">
        <v>41</v>
      </c>
      <c r="Q15" s="5" t="s">
        <v>42</v>
      </c>
    </row>
    <row r="16" spans="1:20" ht="72.5" x14ac:dyDescent="0.35">
      <c r="C16" s="94">
        <v>6</v>
      </c>
      <c r="D16" s="48" t="s">
        <v>37</v>
      </c>
      <c r="E16" s="5">
        <v>23108</v>
      </c>
      <c r="F16" s="5" t="s">
        <v>50</v>
      </c>
      <c r="G16" s="3">
        <v>1</v>
      </c>
      <c r="H16" s="49" t="s">
        <v>51</v>
      </c>
      <c r="I16" s="50" t="s">
        <v>52</v>
      </c>
      <c r="J16" s="12">
        <f>ROUND(12500*(1-0.1997%),0)-475</f>
        <v>12000</v>
      </c>
      <c r="K16" s="5" t="s">
        <v>17</v>
      </c>
      <c r="L16" s="61">
        <v>45597</v>
      </c>
      <c r="M16" s="51" t="s">
        <v>18</v>
      </c>
      <c r="N16" s="5" t="s">
        <v>25</v>
      </c>
      <c r="O16" s="48" t="s">
        <v>25</v>
      </c>
      <c r="P16" s="5" t="s">
        <v>41</v>
      </c>
      <c r="Q16" s="5" t="s">
        <v>42</v>
      </c>
    </row>
    <row r="17" spans="3:17" ht="72.5" x14ac:dyDescent="0.35">
      <c r="C17" s="94">
        <v>7</v>
      </c>
      <c r="D17" s="48" t="s">
        <v>37</v>
      </c>
      <c r="E17" s="5">
        <v>23108</v>
      </c>
      <c r="F17" s="5" t="s">
        <v>53</v>
      </c>
      <c r="G17" s="3">
        <v>1</v>
      </c>
      <c r="H17" s="49" t="s">
        <v>54</v>
      </c>
      <c r="I17" s="50" t="s">
        <v>55</v>
      </c>
      <c r="J17" s="12">
        <f>ROUND(40000*(1-0.1997%),0)+80</f>
        <v>40000</v>
      </c>
      <c r="K17" s="5" t="s">
        <v>17</v>
      </c>
      <c r="L17" s="61">
        <v>45519</v>
      </c>
      <c r="M17" s="51" t="s">
        <v>18</v>
      </c>
      <c r="N17" s="5" t="s">
        <v>25</v>
      </c>
      <c r="O17" s="48" t="s">
        <v>25</v>
      </c>
      <c r="P17" s="5" t="s">
        <v>41</v>
      </c>
      <c r="Q17" s="5" t="s">
        <v>42</v>
      </c>
    </row>
    <row r="18" spans="3:17" ht="72.5" x14ac:dyDescent="0.35">
      <c r="C18" s="94">
        <v>8</v>
      </c>
      <c r="D18" s="48" t="s">
        <v>37</v>
      </c>
      <c r="E18" s="5">
        <v>23108</v>
      </c>
      <c r="F18" s="5" t="s">
        <v>56</v>
      </c>
      <c r="G18" s="3">
        <v>1</v>
      </c>
      <c r="H18" s="49" t="s">
        <v>57</v>
      </c>
      <c r="I18" s="50" t="s">
        <v>58</v>
      </c>
      <c r="J18" s="12">
        <f>ROUND(15000*(1-0.1997%),0)-4970</f>
        <v>10000</v>
      </c>
      <c r="K18" s="5" t="s">
        <v>17</v>
      </c>
      <c r="L18" s="61">
        <v>45550</v>
      </c>
      <c r="M18" s="51" t="s">
        <v>18</v>
      </c>
      <c r="N18" s="5" t="s">
        <v>25</v>
      </c>
      <c r="O18" s="48" t="s">
        <v>25</v>
      </c>
      <c r="P18" s="5" t="s">
        <v>41</v>
      </c>
      <c r="Q18" s="5" t="s">
        <v>42</v>
      </c>
    </row>
    <row r="19" spans="3:17" ht="87" x14ac:dyDescent="0.35">
      <c r="C19" s="94">
        <v>9</v>
      </c>
      <c r="D19" s="48" t="s">
        <v>37</v>
      </c>
      <c r="E19" s="5">
        <v>23108</v>
      </c>
      <c r="F19" s="5" t="s">
        <v>59</v>
      </c>
      <c r="G19" s="3">
        <v>1</v>
      </c>
      <c r="H19" s="49" t="s">
        <v>60</v>
      </c>
      <c r="I19" s="50" t="s">
        <v>61</v>
      </c>
      <c r="J19" s="12">
        <f>ROUND(10000*(1-0.1997%),0)-1980</f>
        <v>8000</v>
      </c>
      <c r="K19" s="5" t="s">
        <v>17</v>
      </c>
      <c r="L19" s="61">
        <v>45611</v>
      </c>
      <c r="M19" s="51" t="s">
        <v>18</v>
      </c>
      <c r="N19" s="5" t="s">
        <v>25</v>
      </c>
      <c r="O19" s="48" t="s">
        <v>25</v>
      </c>
      <c r="P19" s="5" t="s">
        <v>41</v>
      </c>
      <c r="Q19" s="5" t="s">
        <v>42</v>
      </c>
    </row>
    <row r="20" spans="3:17" ht="72.5" x14ac:dyDescent="0.35">
      <c r="C20" s="94">
        <v>10</v>
      </c>
      <c r="D20" s="48" t="s">
        <v>37</v>
      </c>
      <c r="E20" s="5">
        <v>23108</v>
      </c>
      <c r="F20" s="5" t="s">
        <v>44</v>
      </c>
      <c r="G20" s="3">
        <v>1</v>
      </c>
      <c r="H20" s="49" t="s">
        <v>62</v>
      </c>
      <c r="I20" s="50" t="s">
        <v>63</v>
      </c>
      <c r="J20" s="12">
        <f>ROUND(1000*(1-0.1997%),0)-348</f>
        <v>650</v>
      </c>
      <c r="K20" s="5" t="s">
        <v>17</v>
      </c>
      <c r="L20" s="61">
        <v>45627</v>
      </c>
      <c r="M20" s="51" t="s">
        <v>18</v>
      </c>
      <c r="N20" s="5" t="s">
        <v>25</v>
      </c>
      <c r="O20" s="48" t="s">
        <v>25</v>
      </c>
      <c r="P20" s="5" t="s">
        <v>41</v>
      </c>
      <c r="Q20" s="5" t="s">
        <v>42</v>
      </c>
    </row>
    <row r="21" spans="3:17" ht="72.5" x14ac:dyDescent="0.35">
      <c r="C21" s="94">
        <v>11</v>
      </c>
      <c r="D21" s="48" t="s">
        <v>37</v>
      </c>
      <c r="E21" s="5">
        <v>23108</v>
      </c>
      <c r="F21" s="5" t="s">
        <v>44</v>
      </c>
      <c r="G21" s="3">
        <v>1</v>
      </c>
      <c r="H21" s="49" t="s">
        <v>64</v>
      </c>
      <c r="I21" s="50" t="s">
        <v>63</v>
      </c>
      <c r="J21" s="12">
        <f>ROUND(650*(1-0.1997%),0)-249</f>
        <v>400</v>
      </c>
      <c r="K21" s="5" t="s">
        <v>17</v>
      </c>
      <c r="L21" s="61">
        <v>45488</v>
      </c>
      <c r="M21" s="51" t="s">
        <v>18</v>
      </c>
      <c r="N21" s="5" t="s">
        <v>25</v>
      </c>
      <c r="O21" s="48" t="s">
        <v>25</v>
      </c>
      <c r="P21" s="5" t="s">
        <v>41</v>
      </c>
      <c r="Q21" s="5" t="s">
        <v>42</v>
      </c>
    </row>
    <row r="22" spans="3:17" ht="72.5" x14ac:dyDescent="0.35">
      <c r="C22" s="94">
        <v>12</v>
      </c>
      <c r="D22" s="48" t="s">
        <v>37</v>
      </c>
      <c r="E22" s="5">
        <v>150515</v>
      </c>
      <c r="F22" s="5" t="s">
        <v>65</v>
      </c>
      <c r="G22" s="3">
        <v>300</v>
      </c>
      <c r="H22" s="49" t="s">
        <v>66</v>
      </c>
      <c r="I22" s="50" t="s">
        <v>67</v>
      </c>
      <c r="J22" s="12">
        <f>ROUND(45500*(1-0.1997%),0)+1</f>
        <v>45410</v>
      </c>
      <c r="K22" s="5" t="s">
        <v>17</v>
      </c>
      <c r="L22" s="61">
        <v>45413</v>
      </c>
      <c r="M22" s="51" t="s">
        <v>18</v>
      </c>
      <c r="N22" s="5" t="s">
        <v>19</v>
      </c>
      <c r="O22" s="48" t="s">
        <v>25</v>
      </c>
      <c r="P22" s="5" t="s">
        <v>41</v>
      </c>
      <c r="Q22" s="5" t="s">
        <v>68</v>
      </c>
    </row>
    <row r="23" spans="3:17" ht="58" x14ac:dyDescent="0.35">
      <c r="C23" s="94">
        <v>1</v>
      </c>
      <c r="D23" s="48" t="s">
        <v>69</v>
      </c>
      <c r="E23" s="5" t="s">
        <v>70</v>
      </c>
      <c r="F23" s="5" t="s">
        <v>69</v>
      </c>
      <c r="G23" s="3" t="s">
        <v>14</v>
      </c>
      <c r="H23" s="49" t="s">
        <v>71</v>
      </c>
      <c r="I23" s="50" t="s">
        <v>72</v>
      </c>
      <c r="J23" s="12">
        <f>ROUND(6682*(1-0.1997%),0)</f>
        <v>6669</v>
      </c>
      <c r="K23" s="66" t="s">
        <v>73</v>
      </c>
      <c r="L23" s="61" t="s">
        <v>70</v>
      </c>
      <c r="M23" s="51" t="s">
        <v>18</v>
      </c>
      <c r="N23" s="66" t="s">
        <v>25</v>
      </c>
      <c r="O23" s="66" t="s">
        <v>19</v>
      </c>
      <c r="P23" s="66" t="s">
        <v>29</v>
      </c>
      <c r="Q23" s="66" t="s">
        <v>25</v>
      </c>
    </row>
    <row r="24" spans="3:17" ht="58" x14ac:dyDescent="0.35">
      <c r="C24" s="94">
        <v>2</v>
      </c>
      <c r="D24" s="48" t="s">
        <v>69</v>
      </c>
      <c r="E24" s="5" t="s">
        <v>70</v>
      </c>
      <c r="F24" s="5" t="s">
        <v>69</v>
      </c>
      <c r="G24" s="3" t="s">
        <v>14</v>
      </c>
      <c r="H24" s="49" t="s">
        <v>74</v>
      </c>
      <c r="I24" s="50" t="s">
        <v>72</v>
      </c>
      <c r="J24" s="12">
        <f>ROUND(6682*(1-0.1997%),0)</f>
        <v>6669</v>
      </c>
      <c r="K24" s="66" t="s">
        <v>73</v>
      </c>
      <c r="L24" s="61" t="s">
        <v>70</v>
      </c>
      <c r="M24" s="51" t="s">
        <v>18</v>
      </c>
      <c r="N24" s="66" t="s">
        <v>25</v>
      </c>
      <c r="O24" s="66" t="s">
        <v>19</v>
      </c>
      <c r="P24" s="66" t="s">
        <v>29</v>
      </c>
      <c r="Q24" s="66" t="s">
        <v>25</v>
      </c>
    </row>
    <row r="25" spans="3:17" ht="58" x14ac:dyDescent="0.35">
      <c r="C25" s="94">
        <v>3</v>
      </c>
      <c r="D25" s="48" t="s">
        <v>69</v>
      </c>
      <c r="E25" s="5" t="s">
        <v>70</v>
      </c>
      <c r="F25" s="5" t="s">
        <v>69</v>
      </c>
      <c r="G25" s="3" t="s">
        <v>14</v>
      </c>
      <c r="H25" s="49" t="s">
        <v>75</v>
      </c>
      <c r="I25" s="50" t="s">
        <v>72</v>
      </c>
      <c r="J25" s="12">
        <f>ROUND(835*(1-0.1997%),0)</f>
        <v>833</v>
      </c>
      <c r="K25" s="66" t="s">
        <v>73</v>
      </c>
      <c r="L25" s="61" t="s">
        <v>70</v>
      </c>
      <c r="M25" s="51" t="s">
        <v>18</v>
      </c>
      <c r="N25" s="66" t="s">
        <v>25</v>
      </c>
      <c r="O25" s="66" t="s">
        <v>19</v>
      </c>
      <c r="P25" s="66" t="s">
        <v>29</v>
      </c>
      <c r="Q25" s="66" t="s">
        <v>25</v>
      </c>
    </row>
    <row r="26" spans="3:17" ht="72.5" x14ac:dyDescent="0.35">
      <c r="C26" s="94">
        <v>4</v>
      </c>
      <c r="D26" s="48" t="s">
        <v>69</v>
      </c>
      <c r="E26" s="5">
        <v>25828</v>
      </c>
      <c r="F26" s="5" t="s">
        <v>69</v>
      </c>
      <c r="G26" s="3" t="s">
        <v>14</v>
      </c>
      <c r="H26" s="49" t="s">
        <v>76</v>
      </c>
      <c r="I26" s="50" t="s">
        <v>77</v>
      </c>
      <c r="J26" s="12">
        <f>ROUND(799167*(1-0.1997%),0)</f>
        <v>797571</v>
      </c>
      <c r="K26" s="66" t="s">
        <v>17</v>
      </c>
      <c r="L26" s="61">
        <v>45434</v>
      </c>
      <c r="M26" s="51" t="s">
        <v>18</v>
      </c>
      <c r="N26" s="66" t="s">
        <v>25</v>
      </c>
      <c r="O26" s="66" t="s">
        <v>19</v>
      </c>
      <c r="P26" s="66" t="s">
        <v>41</v>
      </c>
      <c r="Q26" s="66" t="s">
        <v>19</v>
      </c>
    </row>
    <row r="27" spans="3:17" ht="58" x14ac:dyDescent="0.35">
      <c r="C27" s="105">
        <v>5</v>
      </c>
      <c r="D27" s="106" t="s">
        <v>69</v>
      </c>
      <c r="E27" s="107">
        <v>5380</v>
      </c>
      <c r="F27" s="107" t="s">
        <v>69</v>
      </c>
      <c r="G27" s="108" t="s">
        <v>14</v>
      </c>
      <c r="H27" s="109" t="s">
        <v>78</v>
      </c>
      <c r="I27" s="110" t="s">
        <v>79</v>
      </c>
      <c r="J27" s="111">
        <f>ROUND(960595*(1-0.1997%),0)</f>
        <v>958677</v>
      </c>
      <c r="K27" s="106" t="s">
        <v>80</v>
      </c>
      <c r="L27" s="112">
        <v>45567</v>
      </c>
      <c r="M27" s="113" t="s">
        <v>18</v>
      </c>
      <c r="N27" s="106" t="s">
        <v>19</v>
      </c>
      <c r="O27" s="106" t="s">
        <v>19</v>
      </c>
      <c r="P27" s="106" t="s">
        <v>81</v>
      </c>
      <c r="Q27" s="106" t="s">
        <v>19</v>
      </c>
    </row>
    <row r="28" spans="3:17" ht="58" x14ac:dyDescent="0.35">
      <c r="C28" s="105">
        <v>6</v>
      </c>
      <c r="D28" s="106" t="s">
        <v>69</v>
      </c>
      <c r="E28" s="107">
        <v>1627</v>
      </c>
      <c r="F28" s="107" t="s">
        <v>69</v>
      </c>
      <c r="G28" s="108" t="s">
        <v>14</v>
      </c>
      <c r="H28" s="109" t="s">
        <v>82</v>
      </c>
      <c r="I28" s="110" t="s">
        <v>83</v>
      </c>
      <c r="J28" s="111">
        <f>ROUND(1837660*(1-0.1997%),0)</f>
        <v>1833990</v>
      </c>
      <c r="K28" s="106" t="s">
        <v>17</v>
      </c>
      <c r="L28" s="112">
        <v>45554</v>
      </c>
      <c r="M28" s="113" t="s">
        <v>18</v>
      </c>
      <c r="N28" s="106" t="s">
        <v>19</v>
      </c>
      <c r="O28" s="106" t="s">
        <v>19</v>
      </c>
      <c r="P28" s="106" t="s">
        <v>81</v>
      </c>
      <c r="Q28" s="106" t="s">
        <v>418</v>
      </c>
    </row>
    <row r="29" spans="3:17" ht="58" x14ac:dyDescent="0.35">
      <c r="C29" s="105">
        <v>7</v>
      </c>
      <c r="D29" s="106" t="s">
        <v>69</v>
      </c>
      <c r="E29" s="107">
        <v>24090</v>
      </c>
      <c r="F29" s="107" t="s">
        <v>69</v>
      </c>
      <c r="G29" s="108" t="s">
        <v>14</v>
      </c>
      <c r="H29" s="109" t="s">
        <v>84</v>
      </c>
      <c r="I29" s="110" t="s">
        <v>85</v>
      </c>
      <c r="J29" s="111">
        <f>ROUND(5178860*(1-0.1997%),0)+1</f>
        <v>5168519</v>
      </c>
      <c r="K29" s="106" t="s">
        <v>17</v>
      </c>
      <c r="L29" s="112">
        <v>45427</v>
      </c>
      <c r="M29" s="113" t="s">
        <v>18</v>
      </c>
      <c r="N29" s="106" t="s">
        <v>19</v>
      </c>
      <c r="O29" s="106" t="s">
        <v>19</v>
      </c>
      <c r="P29" s="106" t="s">
        <v>81</v>
      </c>
      <c r="Q29" s="106" t="s">
        <v>418</v>
      </c>
    </row>
    <row r="30" spans="3:17" ht="58" x14ac:dyDescent="0.35">
      <c r="C30" s="105">
        <v>8</v>
      </c>
      <c r="D30" s="106" t="s">
        <v>69</v>
      </c>
      <c r="E30" s="107">
        <v>14397</v>
      </c>
      <c r="F30" s="107" t="s">
        <v>69</v>
      </c>
      <c r="G30" s="108" t="s">
        <v>14</v>
      </c>
      <c r="H30" s="109" t="s">
        <v>86</v>
      </c>
      <c r="I30" s="110" t="s">
        <v>87</v>
      </c>
      <c r="J30" s="111">
        <f>ROUND(1754130*(1-0.1997%),0)</f>
        <v>1750627</v>
      </c>
      <c r="K30" s="106" t="s">
        <v>17</v>
      </c>
      <c r="L30" s="112">
        <v>45604</v>
      </c>
      <c r="M30" s="113" t="s">
        <v>18</v>
      </c>
      <c r="N30" s="106" t="s">
        <v>19</v>
      </c>
      <c r="O30" s="106" t="s">
        <v>19</v>
      </c>
      <c r="P30" s="106" t="s">
        <v>81</v>
      </c>
      <c r="Q30" s="106" t="s">
        <v>418</v>
      </c>
    </row>
    <row r="31" spans="3:17" ht="87" x14ac:dyDescent="0.35">
      <c r="C31" s="105">
        <v>9</v>
      </c>
      <c r="D31" s="106" t="s">
        <v>69</v>
      </c>
      <c r="E31" s="107">
        <v>13447</v>
      </c>
      <c r="F31" s="107" t="s">
        <v>69</v>
      </c>
      <c r="G31" s="108" t="s">
        <v>14</v>
      </c>
      <c r="H31" s="109" t="s">
        <v>88</v>
      </c>
      <c r="I31" s="110" t="s">
        <v>89</v>
      </c>
      <c r="J31" s="111">
        <f>ROUND(208825*(1-0.1997%),0)</f>
        <v>208408</v>
      </c>
      <c r="K31" s="106" t="s">
        <v>17</v>
      </c>
      <c r="L31" s="112" t="s">
        <v>70</v>
      </c>
      <c r="M31" s="113" t="s">
        <v>18</v>
      </c>
      <c r="N31" s="106" t="s">
        <v>19</v>
      </c>
      <c r="O31" s="106" t="s">
        <v>19</v>
      </c>
      <c r="P31" s="106" t="s">
        <v>20</v>
      </c>
      <c r="Q31" s="106" t="s">
        <v>418</v>
      </c>
    </row>
    <row r="32" spans="3:17" ht="72.5" x14ac:dyDescent="0.35">
      <c r="C32" s="94">
        <v>10</v>
      </c>
      <c r="D32" s="48" t="s">
        <v>69</v>
      </c>
      <c r="E32" s="5">
        <v>3719</v>
      </c>
      <c r="F32" s="5" t="s">
        <v>69</v>
      </c>
      <c r="G32" s="3" t="s">
        <v>14</v>
      </c>
      <c r="H32" s="49" t="s">
        <v>90</v>
      </c>
      <c r="I32" s="50" t="s">
        <v>77</v>
      </c>
      <c r="J32" s="12">
        <f>ROUND(84*(1-0.1997%),0)</f>
        <v>84</v>
      </c>
      <c r="K32" s="66" t="s">
        <v>17</v>
      </c>
      <c r="L32" s="61">
        <v>45434</v>
      </c>
      <c r="M32" s="51" t="s">
        <v>18</v>
      </c>
      <c r="N32" s="66" t="s">
        <v>19</v>
      </c>
      <c r="O32" s="66" t="s">
        <v>19</v>
      </c>
      <c r="P32" s="66" t="s">
        <v>41</v>
      </c>
      <c r="Q32" s="66" t="s">
        <v>19</v>
      </c>
    </row>
    <row r="33" spans="3:17" ht="65" x14ac:dyDescent="0.35">
      <c r="C33" s="94">
        <v>11</v>
      </c>
      <c r="D33" s="48" t="s">
        <v>69</v>
      </c>
      <c r="E33" s="5">
        <v>22845</v>
      </c>
      <c r="F33" s="5" t="s">
        <v>69</v>
      </c>
      <c r="G33" s="3" t="s">
        <v>14</v>
      </c>
      <c r="H33" s="49" t="s">
        <v>91</v>
      </c>
      <c r="I33" s="50" t="s">
        <v>92</v>
      </c>
      <c r="J33" s="12">
        <f>ROUND(1127655*(1-0.1997%),0)</f>
        <v>1125403</v>
      </c>
      <c r="K33" s="66" t="s">
        <v>17</v>
      </c>
      <c r="L33" s="61" t="s">
        <v>70</v>
      </c>
      <c r="M33" s="51" t="s">
        <v>18</v>
      </c>
      <c r="N33" s="66" t="s">
        <v>25</v>
      </c>
      <c r="O33" s="66" t="s">
        <v>19</v>
      </c>
      <c r="P33" s="67" t="s">
        <v>20</v>
      </c>
      <c r="Q33" s="66" t="s">
        <v>25</v>
      </c>
    </row>
    <row r="34" spans="3:17" ht="72.5" x14ac:dyDescent="0.35">
      <c r="C34" s="94">
        <v>12</v>
      </c>
      <c r="D34" s="1" t="s">
        <v>69</v>
      </c>
      <c r="E34" s="1">
        <v>14265</v>
      </c>
      <c r="F34" s="1" t="s">
        <v>69</v>
      </c>
      <c r="G34" s="1" t="s">
        <v>14</v>
      </c>
      <c r="H34" s="1" t="s">
        <v>93</v>
      </c>
      <c r="I34" s="1" t="s">
        <v>94</v>
      </c>
      <c r="J34" s="1">
        <f>ROUND(150354*(1-0.1997%),0)</f>
        <v>150054</v>
      </c>
      <c r="K34" s="1" t="s">
        <v>17</v>
      </c>
      <c r="L34" s="1">
        <v>45648</v>
      </c>
      <c r="M34" s="1" t="s">
        <v>18</v>
      </c>
      <c r="N34" s="1" t="s">
        <v>19</v>
      </c>
      <c r="O34" s="1" t="s">
        <v>19</v>
      </c>
      <c r="P34" s="1" t="s">
        <v>41</v>
      </c>
      <c r="Q34" s="1" t="s">
        <v>418</v>
      </c>
    </row>
    <row r="35" spans="3:17" ht="87" x14ac:dyDescent="0.35">
      <c r="C35" s="94">
        <v>13</v>
      </c>
      <c r="D35" s="48" t="s">
        <v>69</v>
      </c>
      <c r="E35" s="5">
        <v>17426</v>
      </c>
      <c r="F35" s="5" t="s">
        <v>69</v>
      </c>
      <c r="G35" s="3" t="s">
        <v>14</v>
      </c>
      <c r="H35" s="49" t="s">
        <v>95</v>
      </c>
      <c r="I35" s="50" t="s">
        <v>96</v>
      </c>
      <c r="J35" s="12">
        <f>ROUND(2589430*(1-0.1997%),0)</f>
        <v>2584259</v>
      </c>
      <c r="K35" s="66" t="s">
        <v>17</v>
      </c>
      <c r="L35" s="61" t="s">
        <v>70</v>
      </c>
      <c r="M35" s="51" t="s">
        <v>18</v>
      </c>
      <c r="N35" s="66" t="s">
        <v>25</v>
      </c>
      <c r="O35" s="66" t="s">
        <v>19</v>
      </c>
      <c r="P35" s="66" t="s">
        <v>20</v>
      </c>
      <c r="Q35" s="66" t="s">
        <v>25</v>
      </c>
    </row>
    <row r="36" spans="3:17" ht="87" x14ac:dyDescent="0.35">
      <c r="C36" s="94">
        <v>14</v>
      </c>
      <c r="D36" s="48" t="s">
        <v>69</v>
      </c>
      <c r="E36" s="5">
        <v>17426</v>
      </c>
      <c r="F36" s="5" t="s">
        <v>69</v>
      </c>
      <c r="G36" s="3" t="s">
        <v>14</v>
      </c>
      <c r="H36" s="49" t="s">
        <v>97</v>
      </c>
      <c r="I36" s="50" t="s">
        <v>98</v>
      </c>
      <c r="J36" s="12">
        <f>ROUND(142001*(1-0.1997%),0)</f>
        <v>141717</v>
      </c>
      <c r="K36" s="66" t="s">
        <v>17</v>
      </c>
      <c r="L36" s="61" t="s">
        <v>70</v>
      </c>
      <c r="M36" s="51" t="s">
        <v>18</v>
      </c>
      <c r="N36" s="66" t="s">
        <v>25</v>
      </c>
      <c r="O36" s="66" t="s">
        <v>19</v>
      </c>
      <c r="P36" s="66" t="s">
        <v>20</v>
      </c>
      <c r="Q36" s="66" t="s">
        <v>25</v>
      </c>
    </row>
    <row r="37" spans="3:17" ht="87" x14ac:dyDescent="0.35">
      <c r="C37" s="94">
        <v>15</v>
      </c>
      <c r="D37" s="48" t="s">
        <v>69</v>
      </c>
      <c r="E37" s="5">
        <v>4138</v>
      </c>
      <c r="F37" s="5" t="s">
        <v>69</v>
      </c>
      <c r="G37" s="3" t="s">
        <v>14</v>
      </c>
      <c r="H37" s="49" t="s">
        <v>99</v>
      </c>
      <c r="I37" s="50" t="s">
        <v>100</v>
      </c>
      <c r="J37" s="12">
        <f>ROUND(4177*(1-0.1997%),0)</f>
        <v>4169</v>
      </c>
      <c r="K37" s="66" t="s">
        <v>17</v>
      </c>
      <c r="L37" s="61" t="s">
        <v>70</v>
      </c>
      <c r="M37" s="51" t="s">
        <v>18</v>
      </c>
      <c r="N37" s="66" t="s">
        <v>25</v>
      </c>
      <c r="O37" s="66" t="s">
        <v>19</v>
      </c>
      <c r="P37" s="66" t="s">
        <v>20</v>
      </c>
      <c r="Q37" s="66" t="s">
        <v>25</v>
      </c>
    </row>
    <row r="38" spans="3:17" ht="58" x14ac:dyDescent="0.35">
      <c r="C38" s="105">
        <v>16</v>
      </c>
      <c r="D38" s="106" t="s">
        <v>69</v>
      </c>
      <c r="E38" s="107">
        <v>3786</v>
      </c>
      <c r="F38" s="107" t="s">
        <v>69</v>
      </c>
      <c r="G38" s="108" t="s">
        <v>14</v>
      </c>
      <c r="H38" s="109" t="s">
        <v>101</v>
      </c>
      <c r="I38" s="110" t="s">
        <v>102</v>
      </c>
      <c r="J38" s="111">
        <f>ROUND(9188*(1-0.1997%),0)</f>
        <v>9170</v>
      </c>
      <c r="K38" s="106" t="s">
        <v>17</v>
      </c>
      <c r="L38" s="112">
        <v>45463</v>
      </c>
      <c r="M38" s="113" t="s">
        <v>18</v>
      </c>
      <c r="N38" s="106" t="s">
        <v>19</v>
      </c>
      <c r="O38" s="106" t="s">
        <v>19</v>
      </c>
      <c r="P38" s="106" t="s">
        <v>81</v>
      </c>
      <c r="Q38" s="106" t="s">
        <v>418</v>
      </c>
    </row>
    <row r="39" spans="3:17" ht="87" x14ac:dyDescent="0.35">
      <c r="C39" s="105">
        <v>17</v>
      </c>
      <c r="D39" s="106" t="s">
        <v>69</v>
      </c>
      <c r="E39" s="107">
        <v>10049</v>
      </c>
      <c r="F39" s="107" t="s">
        <v>69</v>
      </c>
      <c r="G39" s="108" t="s">
        <v>14</v>
      </c>
      <c r="H39" s="109" t="s">
        <v>103</v>
      </c>
      <c r="I39" s="110" t="s">
        <v>104</v>
      </c>
      <c r="J39" s="111">
        <f>ROUND(5847*(1-0.1997%),0)</f>
        <v>5835</v>
      </c>
      <c r="K39" s="106" t="s">
        <v>17</v>
      </c>
      <c r="L39" s="112" t="s">
        <v>70</v>
      </c>
      <c r="M39" s="113" t="s">
        <v>18</v>
      </c>
      <c r="N39" s="106" t="s">
        <v>19</v>
      </c>
      <c r="O39" s="106" t="s">
        <v>19</v>
      </c>
      <c r="P39" s="106" t="s">
        <v>20</v>
      </c>
      <c r="Q39" s="106" t="s">
        <v>418</v>
      </c>
    </row>
    <row r="40" spans="3:17" ht="72.5" x14ac:dyDescent="0.35">
      <c r="C40" s="94">
        <v>18</v>
      </c>
      <c r="D40" s="48" t="s">
        <v>69</v>
      </c>
      <c r="E40" s="5">
        <v>906</v>
      </c>
      <c r="F40" s="5" t="s">
        <v>69</v>
      </c>
      <c r="G40" s="3" t="s">
        <v>14</v>
      </c>
      <c r="H40" s="49" t="s">
        <v>105</v>
      </c>
      <c r="I40" s="50" t="s">
        <v>106</v>
      </c>
      <c r="J40" s="12">
        <f>ROUND(175413*(1-0.1997%),0)</f>
        <v>175063</v>
      </c>
      <c r="K40" s="66" t="s">
        <v>17</v>
      </c>
      <c r="L40" s="61">
        <v>45496</v>
      </c>
      <c r="M40" s="51" t="s">
        <v>18</v>
      </c>
      <c r="N40" s="66" t="s">
        <v>19</v>
      </c>
      <c r="O40" s="66" t="s">
        <v>19</v>
      </c>
      <c r="P40" s="66" t="s">
        <v>41</v>
      </c>
      <c r="Q40" s="66" t="s">
        <v>19</v>
      </c>
    </row>
    <row r="41" spans="3:17" ht="87" x14ac:dyDescent="0.35">
      <c r="C41" s="94">
        <v>19</v>
      </c>
      <c r="D41" s="48" t="s">
        <v>69</v>
      </c>
      <c r="E41" s="5">
        <v>1970</v>
      </c>
      <c r="F41" s="5" t="s">
        <v>69</v>
      </c>
      <c r="G41" s="3" t="s">
        <v>14</v>
      </c>
      <c r="H41" s="49" t="s">
        <v>107</v>
      </c>
      <c r="I41" s="50" t="s">
        <v>108</v>
      </c>
      <c r="J41" s="12">
        <f>ROUND(75177*(1-0.1997%),0)</f>
        <v>75027</v>
      </c>
      <c r="K41" s="66" t="s">
        <v>17</v>
      </c>
      <c r="L41" s="61" t="s">
        <v>70</v>
      </c>
      <c r="M41" s="51" t="s">
        <v>18</v>
      </c>
      <c r="N41" s="66" t="s">
        <v>19</v>
      </c>
      <c r="O41" s="66" t="s">
        <v>19</v>
      </c>
      <c r="P41" s="66" t="s">
        <v>20</v>
      </c>
      <c r="Q41" s="66" t="s">
        <v>25</v>
      </c>
    </row>
    <row r="42" spans="3:17" ht="87" x14ac:dyDescent="0.35">
      <c r="C42" s="94">
        <v>20</v>
      </c>
      <c r="D42" s="48" t="s">
        <v>69</v>
      </c>
      <c r="E42" s="5">
        <v>21784</v>
      </c>
      <c r="F42" s="5" t="s">
        <v>69</v>
      </c>
      <c r="G42" s="3" t="s">
        <v>14</v>
      </c>
      <c r="H42" s="49" t="s">
        <v>109</v>
      </c>
      <c r="I42" s="50" t="s">
        <v>110</v>
      </c>
      <c r="J42" s="12">
        <f>ROUND(20883*(1-0.1997%),0)</f>
        <v>20841</v>
      </c>
      <c r="K42" s="66" t="s">
        <v>17</v>
      </c>
      <c r="L42" s="61" t="s">
        <v>70</v>
      </c>
      <c r="M42" s="51" t="s">
        <v>18</v>
      </c>
      <c r="N42" s="66" t="s">
        <v>25</v>
      </c>
      <c r="O42" s="66" t="s">
        <v>19</v>
      </c>
      <c r="P42" s="66" t="s">
        <v>20</v>
      </c>
      <c r="Q42" s="66" t="s">
        <v>25</v>
      </c>
    </row>
    <row r="43" spans="3:17" ht="87" x14ac:dyDescent="0.35">
      <c r="C43" s="105">
        <v>21</v>
      </c>
      <c r="D43" s="106" t="s">
        <v>69</v>
      </c>
      <c r="E43" s="107">
        <v>2763</v>
      </c>
      <c r="F43" s="107" t="s">
        <v>69</v>
      </c>
      <c r="G43" s="108" t="s">
        <v>14</v>
      </c>
      <c r="H43" s="109" t="s">
        <v>111</v>
      </c>
      <c r="I43" s="110" t="s">
        <v>112</v>
      </c>
      <c r="J43" s="111">
        <f>ROUND(334120*(1-0.1997%),0)</f>
        <v>333453</v>
      </c>
      <c r="K43" s="106" t="s">
        <v>17</v>
      </c>
      <c r="L43" s="112" t="s">
        <v>70</v>
      </c>
      <c r="M43" s="113" t="s">
        <v>113</v>
      </c>
      <c r="N43" s="106" t="s">
        <v>19</v>
      </c>
      <c r="O43" s="106" t="s">
        <v>19</v>
      </c>
      <c r="P43" s="106" t="s">
        <v>20</v>
      </c>
      <c r="Q43" s="106" t="s">
        <v>418</v>
      </c>
    </row>
    <row r="44" spans="3:17" ht="65" x14ac:dyDescent="0.35">
      <c r="C44" s="94">
        <v>22</v>
      </c>
      <c r="D44" s="48" t="s">
        <v>69</v>
      </c>
      <c r="E44" s="5">
        <v>4120</v>
      </c>
      <c r="F44" s="5" t="s">
        <v>69</v>
      </c>
      <c r="G44" s="3" t="s">
        <v>14</v>
      </c>
      <c r="H44" s="49" t="s">
        <v>114</v>
      </c>
      <c r="I44" s="50" t="s">
        <v>115</v>
      </c>
      <c r="J44" s="12">
        <f>ROUND(3674241*(1-0.1997%),0)</f>
        <v>3666904</v>
      </c>
      <c r="K44" s="66" t="s">
        <v>17</v>
      </c>
      <c r="L44" s="61" t="s">
        <v>70</v>
      </c>
      <c r="M44" s="51" t="s">
        <v>18</v>
      </c>
      <c r="N44" s="66" t="s">
        <v>25</v>
      </c>
      <c r="O44" s="66" t="s">
        <v>19</v>
      </c>
      <c r="P44" s="67" t="s">
        <v>20</v>
      </c>
      <c r="Q44" s="66" t="s">
        <v>25</v>
      </c>
    </row>
    <row r="45" spans="3:17" ht="72.5" x14ac:dyDescent="0.35">
      <c r="C45" s="94">
        <v>23</v>
      </c>
      <c r="D45" s="1" t="s">
        <v>69</v>
      </c>
      <c r="E45" s="1">
        <v>1970</v>
      </c>
      <c r="F45" s="1" t="s">
        <v>69</v>
      </c>
      <c r="G45" s="1" t="s">
        <v>14</v>
      </c>
      <c r="H45" s="1" t="s">
        <v>116</v>
      </c>
      <c r="I45" s="1" t="s">
        <v>117</v>
      </c>
      <c r="J45" s="1">
        <f>ROUND(91883*(1-0.1997%),0)</f>
        <v>91700</v>
      </c>
      <c r="K45" s="1" t="s">
        <v>17</v>
      </c>
      <c r="L45" s="1">
        <v>45475</v>
      </c>
      <c r="M45" s="1" t="s">
        <v>18</v>
      </c>
      <c r="N45" s="1" t="s">
        <v>19</v>
      </c>
      <c r="O45" s="1" t="s">
        <v>19</v>
      </c>
      <c r="P45" s="1" t="s">
        <v>41</v>
      </c>
      <c r="Q45" s="1" t="s">
        <v>418</v>
      </c>
    </row>
    <row r="46" spans="3:17" ht="87" x14ac:dyDescent="0.35">
      <c r="C46" s="105">
        <v>24</v>
      </c>
      <c r="D46" s="106" t="s">
        <v>69</v>
      </c>
      <c r="E46" s="107">
        <v>3557</v>
      </c>
      <c r="F46" s="107" t="s">
        <v>69</v>
      </c>
      <c r="G46" s="108" t="s">
        <v>14</v>
      </c>
      <c r="H46" s="109" t="s">
        <v>118</v>
      </c>
      <c r="I46" s="110" t="s">
        <v>119</v>
      </c>
      <c r="J46" s="111">
        <f>ROUND(334120*(1-0.1997%),0)</f>
        <v>333453</v>
      </c>
      <c r="K46" s="106" t="s">
        <v>17</v>
      </c>
      <c r="L46" s="112" t="s">
        <v>70</v>
      </c>
      <c r="M46" s="113" t="s">
        <v>18</v>
      </c>
      <c r="N46" s="106" t="s">
        <v>19</v>
      </c>
      <c r="O46" s="106" t="s">
        <v>19</v>
      </c>
      <c r="P46" s="106" t="s">
        <v>20</v>
      </c>
      <c r="Q46" s="106" t="s">
        <v>418</v>
      </c>
    </row>
    <row r="47" spans="3:17" ht="58" x14ac:dyDescent="0.35">
      <c r="C47" s="105">
        <v>25</v>
      </c>
      <c r="D47" s="106" t="s">
        <v>69</v>
      </c>
      <c r="E47" s="107">
        <v>2771</v>
      </c>
      <c r="F47" s="107" t="s">
        <v>69</v>
      </c>
      <c r="G47" s="108" t="s">
        <v>14</v>
      </c>
      <c r="H47" s="109" t="s">
        <v>120</v>
      </c>
      <c r="I47" s="110" t="s">
        <v>121</v>
      </c>
      <c r="J47" s="111">
        <f>ROUND(751770*(1-0.1997%),0)</f>
        <v>750269</v>
      </c>
      <c r="K47" s="106" t="s">
        <v>17</v>
      </c>
      <c r="L47" s="112">
        <v>45423</v>
      </c>
      <c r="M47" s="113" t="s">
        <v>18</v>
      </c>
      <c r="N47" s="106" t="s">
        <v>19</v>
      </c>
      <c r="O47" s="106" t="s">
        <v>19</v>
      </c>
      <c r="P47" s="106" t="s">
        <v>81</v>
      </c>
      <c r="Q47" s="106" t="s">
        <v>418</v>
      </c>
    </row>
    <row r="48" spans="3:17" ht="58" x14ac:dyDescent="0.35">
      <c r="C48" s="105">
        <v>26</v>
      </c>
      <c r="D48" s="106" t="s">
        <v>69</v>
      </c>
      <c r="E48" s="107">
        <v>1970</v>
      </c>
      <c r="F48" s="107" t="s">
        <v>69</v>
      </c>
      <c r="G48" s="108" t="s">
        <v>14</v>
      </c>
      <c r="H48" s="109" t="s">
        <v>122</v>
      </c>
      <c r="I48" s="110" t="s">
        <v>123</v>
      </c>
      <c r="J48" s="111">
        <f>ROUND(50118*(1-0.1997%),0)</f>
        <v>50018</v>
      </c>
      <c r="K48" s="106" t="s">
        <v>17</v>
      </c>
      <c r="L48" s="112">
        <v>45545</v>
      </c>
      <c r="M48" s="113" t="s">
        <v>18</v>
      </c>
      <c r="N48" s="106" t="s">
        <v>19</v>
      </c>
      <c r="O48" s="106" t="s">
        <v>19</v>
      </c>
      <c r="P48" s="106" t="s">
        <v>81</v>
      </c>
      <c r="Q48" s="106" t="s">
        <v>418</v>
      </c>
    </row>
    <row r="49" spans="3:17" ht="87" x14ac:dyDescent="0.35">
      <c r="C49" s="105">
        <v>27</v>
      </c>
      <c r="D49" s="106" t="s">
        <v>69</v>
      </c>
      <c r="E49" s="107">
        <v>1970</v>
      </c>
      <c r="F49" s="107" t="s">
        <v>69</v>
      </c>
      <c r="G49" s="108" t="s">
        <v>14</v>
      </c>
      <c r="H49" s="109" t="s">
        <v>124</v>
      </c>
      <c r="I49" s="110" t="s">
        <v>125</v>
      </c>
      <c r="J49" s="111">
        <f>ROUND(75177*(1-0.1997%),0)</f>
        <v>75027</v>
      </c>
      <c r="K49" s="106" t="s">
        <v>17</v>
      </c>
      <c r="L49" s="112" t="s">
        <v>70</v>
      </c>
      <c r="M49" s="113" t="s">
        <v>18</v>
      </c>
      <c r="N49" s="106" t="s">
        <v>19</v>
      </c>
      <c r="O49" s="106" t="s">
        <v>19</v>
      </c>
      <c r="P49" s="106" t="s">
        <v>20</v>
      </c>
      <c r="Q49" s="106" t="s">
        <v>418</v>
      </c>
    </row>
    <row r="50" spans="3:17" ht="87" x14ac:dyDescent="0.35">
      <c r="C50" s="105">
        <v>28</v>
      </c>
      <c r="D50" s="106" t="s">
        <v>69</v>
      </c>
      <c r="E50" s="107">
        <v>1970</v>
      </c>
      <c r="F50" s="107" t="s">
        <v>69</v>
      </c>
      <c r="G50" s="108" t="s">
        <v>14</v>
      </c>
      <c r="H50" s="109" t="s">
        <v>126</v>
      </c>
      <c r="I50" s="110" t="s">
        <v>127</v>
      </c>
      <c r="J50" s="111">
        <f>ROUND(30071*(1-0.1997%),0)</f>
        <v>30011</v>
      </c>
      <c r="K50" s="106" t="s">
        <v>17</v>
      </c>
      <c r="L50" s="112" t="s">
        <v>70</v>
      </c>
      <c r="M50" s="113" t="s">
        <v>18</v>
      </c>
      <c r="N50" s="106" t="s">
        <v>19</v>
      </c>
      <c r="O50" s="106" t="s">
        <v>19</v>
      </c>
      <c r="P50" s="106" t="s">
        <v>20</v>
      </c>
      <c r="Q50" s="106" t="s">
        <v>418</v>
      </c>
    </row>
    <row r="51" spans="3:17" ht="72.5" x14ac:dyDescent="0.35">
      <c r="C51" s="94">
        <v>29</v>
      </c>
      <c r="D51" s="48" t="s">
        <v>69</v>
      </c>
      <c r="E51" s="5">
        <v>16195</v>
      </c>
      <c r="F51" s="5" t="s">
        <v>69</v>
      </c>
      <c r="G51" s="3" t="s">
        <v>14</v>
      </c>
      <c r="H51" s="49" t="s">
        <v>128</v>
      </c>
      <c r="I51" s="50" t="s">
        <v>129</v>
      </c>
      <c r="J51" s="12">
        <f>ROUND(33412*(1-0.1997%),0)</f>
        <v>33345</v>
      </c>
      <c r="K51" s="66" t="s">
        <v>17</v>
      </c>
      <c r="L51" s="61" t="s">
        <v>70</v>
      </c>
      <c r="M51" s="51" t="s">
        <v>18</v>
      </c>
      <c r="N51" s="66" t="s">
        <v>25</v>
      </c>
      <c r="O51" s="66" t="s">
        <v>19</v>
      </c>
      <c r="P51" s="66" t="s">
        <v>41</v>
      </c>
      <c r="Q51" s="66" t="s">
        <v>25</v>
      </c>
    </row>
    <row r="52" spans="3:17" ht="72.5" x14ac:dyDescent="0.35">
      <c r="C52" s="94">
        <v>30</v>
      </c>
      <c r="D52" s="1" t="s">
        <v>69</v>
      </c>
      <c r="E52" s="1">
        <v>13595</v>
      </c>
      <c r="F52" s="1" t="s">
        <v>69</v>
      </c>
      <c r="G52" s="1" t="s">
        <v>14</v>
      </c>
      <c r="H52" s="1" t="s">
        <v>130</v>
      </c>
      <c r="I52" s="1" t="s">
        <v>131</v>
      </c>
      <c r="J52" s="99">
        <f>ROUND(8353*(1-0.1997%),0)</f>
        <v>8336</v>
      </c>
      <c r="K52" s="1" t="s">
        <v>17</v>
      </c>
      <c r="L52" s="1">
        <v>45392</v>
      </c>
      <c r="M52" s="1" t="s">
        <v>18</v>
      </c>
      <c r="N52" s="1" t="s">
        <v>19</v>
      </c>
      <c r="O52" s="1" t="s">
        <v>19</v>
      </c>
      <c r="P52" s="1" t="s">
        <v>41</v>
      </c>
      <c r="Q52" s="1" t="s">
        <v>418</v>
      </c>
    </row>
    <row r="53" spans="3:17" ht="87" x14ac:dyDescent="0.35">
      <c r="C53" s="105">
        <v>31</v>
      </c>
      <c r="D53" s="106" t="s">
        <v>69</v>
      </c>
      <c r="E53" s="107">
        <v>3417</v>
      </c>
      <c r="F53" s="107" t="s">
        <v>69</v>
      </c>
      <c r="G53" s="108" t="s">
        <v>14</v>
      </c>
      <c r="H53" s="109" t="s">
        <v>132</v>
      </c>
      <c r="I53" s="110" t="s">
        <v>133</v>
      </c>
      <c r="J53" s="111">
        <f>ROUND(14200*(1-0.1997%),0)</f>
        <v>14172</v>
      </c>
      <c r="K53" s="106" t="s">
        <v>17</v>
      </c>
      <c r="L53" s="112" t="s">
        <v>70</v>
      </c>
      <c r="M53" s="113" t="s">
        <v>18</v>
      </c>
      <c r="N53" s="106" t="s">
        <v>19</v>
      </c>
      <c r="O53" s="106" t="s">
        <v>19</v>
      </c>
      <c r="P53" s="106" t="s">
        <v>20</v>
      </c>
      <c r="Q53" s="106" t="s">
        <v>19</v>
      </c>
    </row>
    <row r="54" spans="3:17" ht="87" x14ac:dyDescent="0.35">
      <c r="C54" s="105">
        <v>32</v>
      </c>
      <c r="D54" s="106" t="s">
        <v>69</v>
      </c>
      <c r="E54" s="107">
        <v>4286</v>
      </c>
      <c r="F54" s="107" t="s">
        <v>69</v>
      </c>
      <c r="G54" s="108" t="s">
        <v>14</v>
      </c>
      <c r="H54" s="109" t="s">
        <v>134</v>
      </c>
      <c r="I54" s="110" t="s">
        <v>135</v>
      </c>
      <c r="J54" s="111">
        <f>ROUND(250590*(1-0.1997%),0)</f>
        <v>250090</v>
      </c>
      <c r="K54" s="106" t="s">
        <v>17</v>
      </c>
      <c r="L54" s="112" t="s">
        <v>70</v>
      </c>
      <c r="M54" s="113" t="s">
        <v>18</v>
      </c>
      <c r="N54" s="106" t="s">
        <v>25</v>
      </c>
      <c r="O54" s="106" t="s">
        <v>19</v>
      </c>
      <c r="P54" s="106" t="s">
        <v>20</v>
      </c>
      <c r="Q54" s="106" t="s">
        <v>19</v>
      </c>
    </row>
    <row r="55" spans="3:17" ht="72.5" x14ac:dyDescent="0.35">
      <c r="C55" s="94">
        <v>33</v>
      </c>
      <c r="D55" s="1" t="s">
        <v>69</v>
      </c>
      <c r="E55" s="1">
        <v>21873</v>
      </c>
      <c r="F55" s="1" t="s">
        <v>69</v>
      </c>
      <c r="G55" s="1" t="s">
        <v>14</v>
      </c>
      <c r="H55" s="1" t="s">
        <v>136</v>
      </c>
      <c r="I55" s="1" t="s">
        <v>137</v>
      </c>
      <c r="J55" s="100">
        <f>ROUND(30906*(1-0.1997%),0)</f>
        <v>30844</v>
      </c>
      <c r="K55" s="1" t="s">
        <v>17</v>
      </c>
      <c r="L55" s="1">
        <v>45385</v>
      </c>
      <c r="M55" s="1" t="s">
        <v>18</v>
      </c>
      <c r="N55" s="1" t="s">
        <v>19</v>
      </c>
      <c r="O55" s="1" t="s">
        <v>19</v>
      </c>
      <c r="P55" s="1" t="s">
        <v>41</v>
      </c>
      <c r="Q55" s="1" t="s">
        <v>19</v>
      </c>
    </row>
    <row r="56" spans="3:17" ht="87" x14ac:dyDescent="0.35">
      <c r="C56" s="105">
        <v>34</v>
      </c>
      <c r="D56" s="106" t="s">
        <v>69</v>
      </c>
      <c r="E56" s="107">
        <v>17990</v>
      </c>
      <c r="F56" s="107" t="s">
        <v>69</v>
      </c>
      <c r="G56" s="108" t="s">
        <v>14</v>
      </c>
      <c r="H56" s="109" t="s">
        <v>138</v>
      </c>
      <c r="I56" s="110" t="s">
        <v>139</v>
      </c>
      <c r="J56" s="111">
        <f>ROUND(421827*(1-0.1997%),0)</f>
        <v>420985</v>
      </c>
      <c r="K56" s="106" t="s">
        <v>17</v>
      </c>
      <c r="L56" s="112" t="s">
        <v>70</v>
      </c>
      <c r="M56" s="113" t="s">
        <v>18</v>
      </c>
      <c r="N56" s="106" t="s">
        <v>19</v>
      </c>
      <c r="O56" s="106" t="s">
        <v>19</v>
      </c>
      <c r="P56" s="106" t="s">
        <v>20</v>
      </c>
      <c r="Q56" s="106" t="s">
        <v>19</v>
      </c>
    </row>
    <row r="57" spans="3:17" ht="72.5" x14ac:dyDescent="0.35">
      <c r="C57" s="105">
        <v>35</v>
      </c>
      <c r="D57" s="106" t="s">
        <v>69</v>
      </c>
      <c r="E57" s="107">
        <v>27278</v>
      </c>
      <c r="F57" s="107" t="s">
        <v>69</v>
      </c>
      <c r="G57" s="108" t="s">
        <v>14</v>
      </c>
      <c r="H57" s="109" t="s">
        <v>140</v>
      </c>
      <c r="I57" s="110" t="s">
        <v>141</v>
      </c>
      <c r="J57" s="111">
        <f>ROUND(292355*(1-0.1997%),0)</f>
        <v>291771</v>
      </c>
      <c r="K57" s="106" t="s">
        <v>17</v>
      </c>
      <c r="L57" s="112">
        <v>45566</v>
      </c>
      <c r="M57" s="113" t="s">
        <v>18</v>
      </c>
      <c r="N57" s="106" t="s">
        <v>19</v>
      </c>
      <c r="O57" s="106" t="s">
        <v>19</v>
      </c>
      <c r="P57" s="106" t="s">
        <v>41</v>
      </c>
      <c r="Q57" s="106" t="s">
        <v>19</v>
      </c>
    </row>
    <row r="58" spans="3:17" ht="72.5" x14ac:dyDescent="0.35">
      <c r="C58" s="94">
        <v>36</v>
      </c>
      <c r="D58" s="1" t="s">
        <v>69</v>
      </c>
      <c r="E58" s="1">
        <v>18139</v>
      </c>
      <c r="F58" s="1" t="s">
        <v>69</v>
      </c>
      <c r="G58" s="1" t="s">
        <v>14</v>
      </c>
      <c r="H58" s="1" t="s">
        <v>142</v>
      </c>
      <c r="I58" s="1" t="s">
        <v>143</v>
      </c>
      <c r="J58" s="100">
        <f>ROUND(192119*(1-0.1997%),0)</f>
        <v>191735</v>
      </c>
      <c r="K58" s="1" t="s">
        <v>17</v>
      </c>
      <c r="L58" s="1">
        <v>45383</v>
      </c>
      <c r="M58" s="1" t="s">
        <v>18</v>
      </c>
      <c r="N58" s="1" t="s">
        <v>19</v>
      </c>
      <c r="O58" s="1" t="s">
        <v>19</v>
      </c>
      <c r="P58" s="1" t="s">
        <v>41</v>
      </c>
      <c r="Q58" s="1" t="s">
        <v>19</v>
      </c>
    </row>
    <row r="59" spans="3:17" ht="72.5" x14ac:dyDescent="0.35">
      <c r="C59" s="94">
        <v>37</v>
      </c>
      <c r="D59" s="48" t="s">
        <v>69</v>
      </c>
      <c r="E59" s="5">
        <v>16195</v>
      </c>
      <c r="F59" s="5" t="s">
        <v>69</v>
      </c>
      <c r="G59" s="3" t="s">
        <v>14</v>
      </c>
      <c r="H59" s="49" t="s">
        <v>144</v>
      </c>
      <c r="I59" s="50" t="s">
        <v>145</v>
      </c>
      <c r="J59" s="12">
        <f>ROUND(20883*(1-0.1997%),0)+1</f>
        <v>20842</v>
      </c>
      <c r="K59" s="66" t="s">
        <v>17</v>
      </c>
      <c r="L59" s="61" t="s">
        <v>70</v>
      </c>
      <c r="M59" s="51" t="s">
        <v>18</v>
      </c>
      <c r="N59" s="66" t="s">
        <v>25</v>
      </c>
      <c r="O59" s="66" t="s">
        <v>19</v>
      </c>
      <c r="P59" s="66" t="s">
        <v>41</v>
      </c>
      <c r="Q59" s="66" t="s">
        <v>25</v>
      </c>
    </row>
    <row r="60" spans="3:17" ht="72.5" x14ac:dyDescent="0.35">
      <c r="C60" s="94">
        <v>38</v>
      </c>
      <c r="D60" s="48" t="s">
        <v>69</v>
      </c>
      <c r="E60" s="5">
        <v>16195</v>
      </c>
      <c r="F60" s="5" t="s">
        <v>69</v>
      </c>
      <c r="G60" s="3" t="s">
        <v>14</v>
      </c>
      <c r="H60" s="49" t="s">
        <v>146</v>
      </c>
      <c r="I60" s="50" t="s">
        <v>145</v>
      </c>
      <c r="J60" s="12">
        <f>ROUND(2506*(1-0.1997%),0)</f>
        <v>2501</v>
      </c>
      <c r="K60" s="66" t="s">
        <v>17</v>
      </c>
      <c r="L60" s="61" t="s">
        <v>70</v>
      </c>
      <c r="M60" s="51" t="s">
        <v>18</v>
      </c>
      <c r="N60" s="66" t="s">
        <v>25</v>
      </c>
      <c r="O60" s="66" t="s">
        <v>19</v>
      </c>
      <c r="P60" s="66" t="s">
        <v>41</v>
      </c>
      <c r="Q60" s="66" t="s">
        <v>25</v>
      </c>
    </row>
    <row r="61" spans="3:17" ht="72.5" x14ac:dyDescent="0.35">
      <c r="C61" s="94">
        <v>39</v>
      </c>
      <c r="D61" s="48" t="s">
        <v>69</v>
      </c>
      <c r="E61" s="5">
        <v>16195</v>
      </c>
      <c r="F61" s="5" t="s">
        <v>69</v>
      </c>
      <c r="G61" s="3" t="s">
        <v>14</v>
      </c>
      <c r="H61" s="49" t="s">
        <v>147</v>
      </c>
      <c r="I61" s="50" t="s">
        <v>145</v>
      </c>
      <c r="J61" s="12">
        <f>ROUND(5847*(1-0.1997%),0)</f>
        <v>5835</v>
      </c>
      <c r="K61" s="66" t="s">
        <v>17</v>
      </c>
      <c r="L61" s="61" t="s">
        <v>70</v>
      </c>
      <c r="M61" s="51" t="s">
        <v>18</v>
      </c>
      <c r="N61" s="66" t="s">
        <v>25</v>
      </c>
      <c r="O61" s="66" t="s">
        <v>19</v>
      </c>
      <c r="P61" s="66" t="s">
        <v>41</v>
      </c>
      <c r="Q61" s="66" t="s">
        <v>25</v>
      </c>
    </row>
    <row r="62" spans="3:17" ht="58" x14ac:dyDescent="0.35">
      <c r="C62" s="94">
        <v>40</v>
      </c>
      <c r="D62" s="48" t="s">
        <v>69</v>
      </c>
      <c r="E62" s="5">
        <v>16195</v>
      </c>
      <c r="F62" s="5" t="s">
        <v>69</v>
      </c>
      <c r="G62" s="3" t="s">
        <v>14</v>
      </c>
      <c r="H62" s="49" t="s">
        <v>148</v>
      </c>
      <c r="I62" s="50" t="s">
        <v>145</v>
      </c>
      <c r="J62" s="12">
        <f>ROUND(1671*(1-0.1997%),0)</f>
        <v>1668</v>
      </c>
      <c r="K62" s="66" t="s">
        <v>17</v>
      </c>
      <c r="L62" s="61" t="s">
        <v>70</v>
      </c>
      <c r="M62" s="51" t="s">
        <v>18</v>
      </c>
      <c r="N62" s="66" t="s">
        <v>25</v>
      </c>
      <c r="O62" s="66" t="s">
        <v>19</v>
      </c>
      <c r="P62" s="66" t="s">
        <v>149</v>
      </c>
      <c r="Q62" s="66" t="s">
        <v>25</v>
      </c>
    </row>
    <row r="63" spans="3:17" ht="87" x14ac:dyDescent="0.35">
      <c r="C63" s="105">
        <v>41</v>
      </c>
      <c r="D63" s="106" t="s">
        <v>69</v>
      </c>
      <c r="E63" s="107">
        <v>1988</v>
      </c>
      <c r="F63" s="107" t="s">
        <v>69</v>
      </c>
      <c r="G63" s="108" t="s">
        <v>14</v>
      </c>
      <c r="H63" s="109" t="s">
        <v>150</v>
      </c>
      <c r="I63" s="110" t="s">
        <v>151</v>
      </c>
      <c r="J63" s="111">
        <f>ROUND(136572*(1-0.1997%),0)</f>
        <v>136299</v>
      </c>
      <c r="K63" s="106" t="s">
        <v>17</v>
      </c>
      <c r="L63" s="112" t="s">
        <v>70</v>
      </c>
      <c r="M63" s="113" t="s">
        <v>18</v>
      </c>
      <c r="N63" s="106" t="s">
        <v>19</v>
      </c>
      <c r="O63" s="106" t="s">
        <v>19</v>
      </c>
      <c r="P63" s="106" t="s">
        <v>20</v>
      </c>
      <c r="Q63" s="106" t="s">
        <v>19</v>
      </c>
    </row>
    <row r="64" spans="3:17" ht="87" x14ac:dyDescent="0.35">
      <c r="C64" s="105">
        <v>42</v>
      </c>
      <c r="D64" s="106" t="s">
        <v>69</v>
      </c>
      <c r="E64" s="107">
        <v>2771</v>
      </c>
      <c r="F64" s="107" t="s">
        <v>69</v>
      </c>
      <c r="G64" s="108" t="s">
        <v>14</v>
      </c>
      <c r="H64" s="109" t="s">
        <v>152</v>
      </c>
      <c r="I64" s="110" t="s">
        <v>153</v>
      </c>
      <c r="J64" s="111">
        <f>ROUND(10024*(1-0.1997%),0)</f>
        <v>10004</v>
      </c>
      <c r="K64" s="106" t="s">
        <v>17</v>
      </c>
      <c r="L64" s="112" t="s">
        <v>70</v>
      </c>
      <c r="M64" s="113" t="s">
        <v>18</v>
      </c>
      <c r="N64" s="106" t="s">
        <v>19</v>
      </c>
      <c r="O64" s="106" t="s">
        <v>19</v>
      </c>
      <c r="P64" s="106" t="s">
        <v>20</v>
      </c>
      <c r="Q64" s="106" t="s">
        <v>418</v>
      </c>
    </row>
    <row r="65" spans="3:20" ht="72.5" x14ac:dyDescent="0.35">
      <c r="C65" s="94">
        <v>43</v>
      </c>
      <c r="D65" s="48" t="s">
        <v>69</v>
      </c>
      <c r="E65" s="5">
        <v>5436</v>
      </c>
      <c r="F65" s="5" t="s">
        <v>154</v>
      </c>
      <c r="G65" s="3" t="s">
        <v>14</v>
      </c>
      <c r="H65" s="49" t="s">
        <v>155</v>
      </c>
      <c r="I65" s="50" t="s">
        <v>156</v>
      </c>
      <c r="J65" s="12">
        <f>ROUND(2506*(1-0.1997%),0)</f>
        <v>2501</v>
      </c>
      <c r="K65" s="66" t="s">
        <v>17</v>
      </c>
      <c r="L65" s="61">
        <v>45323</v>
      </c>
      <c r="M65" s="51" t="s">
        <v>18</v>
      </c>
      <c r="N65" s="66" t="s">
        <v>19</v>
      </c>
      <c r="O65" s="66" t="s">
        <v>25</v>
      </c>
      <c r="P65" s="66" t="s">
        <v>41</v>
      </c>
      <c r="Q65" s="66" t="s">
        <v>19</v>
      </c>
    </row>
    <row r="66" spans="3:20" ht="72.5" x14ac:dyDescent="0.35">
      <c r="C66" s="94">
        <v>44</v>
      </c>
      <c r="D66" s="48" t="s">
        <v>69</v>
      </c>
      <c r="E66" s="5">
        <v>445485</v>
      </c>
      <c r="F66" s="5" t="s">
        <v>154</v>
      </c>
      <c r="G66" s="3" t="s">
        <v>14</v>
      </c>
      <c r="H66" s="49" t="s">
        <v>157</v>
      </c>
      <c r="I66" s="50" t="s">
        <v>158</v>
      </c>
      <c r="J66" s="12">
        <f>ROUND(33412*(1-0.1997%),0)</f>
        <v>33345</v>
      </c>
      <c r="K66" s="66" t="s">
        <v>17</v>
      </c>
      <c r="L66" s="61" t="s">
        <v>70</v>
      </c>
      <c r="M66" s="51" t="s">
        <v>18</v>
      </c>
      <c r="N66" s="66" t="s">
        <v>19</v>
      </c>
      <c r="O66" s="66" t="s">
        <v>25</v>
      </c>
      <c r="P66" s="66" t="s">
        <v>41</v>
      </c>
      <c r="Q66" s="66" t="s">
        <v>19</v>
      </c>
    </row>
    <row r="67" spans="3:20" ht="58" x14ac:dyDescent="0.35">
      <c r="C67" s="94">
        <v>45</v>
      </c>
      <c r="D67" s="48" t="s">
        <v>69</v>
      </c>
      <c r="E67" s="5" t="s">
        <v>70</v>
      </c>
      <c r="F67" s="5" t="s">
        <v>69</v>
      </c>
      <c r="G67" s="3" t="s">
        <v>14</v>
      </c>
      <c r="H67" s="49" t="s">
        <v>159</v>
      </c>
      <c r="I67" s="50" t="s">
        <v>160</v>
      </c>
      <c r="J67" s="12">
        <f>ROUND(25059*(1-0.1997%),0)</f>
        <v>25009</v>
      </c>
      <c r="K67" s="66" t="s">
        <v>17</v>
      </c>
      <c r="L67" s="61" t="s">
        <v>70</v>
      </c>
      <c r="M67" s="51" t="s">
        <v>18</v>
      </c>
      <c r="N67" s="66" t="s">
        <v>19</v>
      </c>
      <c r="O67" s="66" t="s">
        <v>25</v>
      </c>
      <c r="P67" s="66" t="s">
        <v>149</v>
      </c>
      <c r="Q67" s="66" t="s">
        <v>19</v>
      </c>
    </row>
    <row r="68" spans="3:20" ht="72.5" x14ac:dyDescent="0.35">
      <c r="C68" s="94">
        <v>46</v>
      </c>
      <c r="D68" s="48" t="s">
        <v>69</v>
      </c>
      <c r="E68" s="5">
        <v>5436</v>
      </c>
      <c r="F68" s="5" t="s">
        <v>154</v>
      </c>
      <c r="G68" s="3" t="s">
        <v>14</v>
      </c>
      <c r="H68" s="49" t="s">
        <v>161</v>
      </c>
      <c r="I68" s="50" t="s">
        <v>162</v>
      </c>
      <c r="J68" s="12">
        <f>ROUND(2506*(1-0.1997%),0)-1</f>
        <v>2500</v>
      </c>
      <c r="K68" s="66" t="s">
        <v>17</v>
      </c>
      <c r="L68" s="61">
        <v>45323</v>
      </c>
      <c r="M68" s="51" t="s">
        <v>18</v>
      </c>
      <c r="N68" s="66" t="s">
        <v>19</v>
      </c>
      <c r="O68" s="66" t="s">
        <v>25</v>
      </c>
      <c r="P68" s="66" t="s">
        <v>41</v>
      </c>
      <c r="Q68" s="66" t="s">
        <v>19</v>
      </c>
      <c r="S68" s="91"/>
      <c r="T68" s="91"/>
    </row>
    <row r="69" spans="3:20" ht="72.5" x14ac:dyDescent="0.35">
      <c r="C69" s="105">
        <v>47</v>
      </c>
      <c r="D69" s="106" t="s">
        <v>69</v>
      </c>
      <c r="E69" s="107">
        <v>3697</v>
      </c>
      <c r="F69" s="107" t="s">
        <v>163</v>
      </c>
      <c r="G69" s="108" t="s">
        <v>14</v>
      </c>
      <c r="H69" s="109" t="s">
        <v>164</v>
      </c>
      <c r="I69" s="110" t="s">
        <v>165</v>
      </c>
      <c r="J69" s="111">
        <f>ROUND(41765*(1-0.1997%),0)</f>
        <v>41682</v>
      </c>
      <c r="K69" s="106" t="s">
        <v>80</v>
      </c>
      <c r="L69" s="112">
        <v>45323</v>
      </c>
      <c r="M69" s="113" t="s">
        <v>18</v>
      </c>
      <c r="N69" s="106" t="s">
        <v>19</v>
      </c>
      <c r="O69" s="106" t="s">
        <v>25</v>
      </c>
      <c r="P69" s="106" t="s">
        <v>41</v>
      </c>
      <c r="Q69" s="106" t="s">
        <v>19</v>
      </c>
      <c r="S69" s="91"/>
    </row>
    <row r="70" spans="3:20" ht="43.5" x14ac:dyDescent="0.35">
      <c r="C70" s="105">
        <v>48</v>
      </c>
      <c r="D70" s="106" t="s">
        <v>69</v>
      </c>
      <c r="E70" s="107">
        <v>3891</v>
      </c>
      <c r="F70" s="107" t="s">
        <v>166</v>
      </c>
      <c r="G70" s="108" t="s">
        <v>14</v>
      </c>
      <c r="H70" s="109" t="s">
        <v>167</v>
      </c>
      <c r="I70" s="110" t="s">
        <v>168</v>
      </c>
      <c r="J70" s="111">
        <f>ROUND(417650*(1-0.1997%),0)</f>
        <v>416816</v>
      </c>
      <c r="K70" s="106" t="s">
        <v>17</v>
      </c>
      <c r="L70" s="112">
        <v>45628</v>
      </c>
      <c r="M70" s="113" t="s">
        <v>169</v>
      </c>
      <c r="N70" s="106" t="s">
        <v>25</v>
      </c>
      <c r="O70" s="106" t="s">
        <v>25</v>
      </c>
      <c r="P70" s="106" t="s">
        <v>81</v>
      </c>
      <c r="Q70" s="106" t="s">
        <v>418</v>
      </c>
      <c r="S70" s="91"/>
    </row>
    <row r="71" spans="3:20" ht="43.5" x14ac:dyDescent="0.35">
      <c r="C71" s="105">
        <v>49</v>
      </c>
      <c r="D71" s="106" t="s">
        <v>69</v>
      </c>
      <c r="E71" s="107">
        <v>3891</v>
      </c>
      <c r="F71" s="107" t="s">
        <v>166</v>
      </c>
      <c r="G71" s="108" t="s">
        <v>14</v>
      </c>
      <c r="H71" s="109" t="s">
        <v>170</v>
      </c>
      <c r="I71" s="110" t="s">
        <v>168</v>
      </c>
      <c r="J71" s="111">
        <f>ROUND(417650*(1-0.1997%),0)</f>
        <v>416816</v>
      </c>
      <c r="K71" s="106" t="s">
        <v>17</v>
      </c>
      <c r="L71" s="112">
        <v>45628</v>
      </c>
      <c r="M71" s="113" t="s">
        <v>169</v>
      </c>
      <c r="N71" s="106" t="s">
        <v>25</v>
      </c>
      <c r="O71" s="106" t="s">
        <v>25</v>
      </c>
      <c r="P71" s="106" t="s">
        <v>81</v>
      </c>
      <c r="Q71" s="106" t="s">
        <v>418</v>
      </c>
      <c r="S71" s="92"/>
    </row>
    <row r="72" spans="3:20" ht="72.5" x14ac:dyDescent="0.35">
      <c r="C72" s="94">
        <v>50</v>
      </c>
      <c r="D72" s="48" t="s">
        <v>69</v>
      </c>
      <c r="E72" s="5">
        <v>24333</v>
      </c>
      <c r="F72" s="5" t="s">
        <v>163</v>
      </c>
      <c r="G72" s="3" t="s">
        <v>14</v>
      </c>
      <c r="H72" s="49" t="s">
        <v>171</v>
      </c>
      <c r="I72" s="50" t="s">
        <v>172</v>
      </c>
      <c r="J72" s="12">
        <f>ROUND(54295*(1-0.1997%),0)</f>
        <v>54187</v>
      </c>
      <c r="K72" s="66" t="s">
        <v>17</v>
      </c>
      <c r="L72" s="61">
        <v>45440</v>
      </c>
      <c r="M72" s="51" t="s">
        <v>18</v>
      </c>
      <c r="N72" s="66" t="s">
        <v>25</v>
      </c>
      <c r="O72" s="66" t="s">
        <v>25</v>
      </c>
      <c r="P72" s="66" t="s">
        <v>41</v>
      </c>
      <c r="Q72" s="66" t="s">
        <v>19</v>
      </c>
    </row>
    <row r="73" spans="3:20" ht="58" x14ac:dyDescent="0.35">
      <c r="C73" s="94">
        <v>51</v>
      </c>
      <c r="D73" s="48" t="s">
        <v>69</v>
      </c>
      <c r="E73" s="5" t="s">
        <v>70</v>
      </c>
      <c r="F73" s="5" t="s">
        <v>69</v>
      </c>
      <c r="G73" s="3" t="s">
        <v>70</v>
      </c>
      <c r="H73" s="49" t="s">
        <v>173</v>
      </c>
      <c r="I73" s="50" t="s">
        <v>174</v>
      </c>
      <c r="J73" s="12">
        <f>ROUND(25059*(1-0.1997%),0)-1</f>
        <v>25008</v>
      </c>
      <c r="K73" s="69" t="s">
        <v>14</v>
      </c>
      <c r="L73" s="61" t="s">
        <v>70</v>
      </c>
      <c r="M73" s="51" t="s">
        <v>18</v>
      </c>
      <c r="N73" s="66" t="s">
        <v>19</v>
      </c>
      <c r="O73" s="66" t="s">
        <v>25</v>
      </c>
      <c r="P73" s="66" t="s">
        <v>149</v>
      </c>
      <c r="Q73" s="66" t="s">
        <v>25</v>
      </c>
    </row>
    <row r="74" spans="3:20" ht="58" x14ac:dyDescent="0.35">
      <c r="C74" s="94">
        <v>52</v>
      </c>
      <c r="D74" s="48" t="s">
        <v>69</v>
      </c>
      <c r="E74" s="5" t="s">
        <v>70</v>
      </c>
      <c r="F74" s="5" t="s">
        <v>175</v>
      </c>
      <c r="G74" s="3" t="s">
        <v>70</v>
      </c>
      <c r="H74" s="49" t="s">
        <v>176</v>
      </c>
      <c r="I74" s="50" t="s">
        <v>177</v>
      </c>
      <c r="J74" s="12">
        <f>ROUND(250000*(1-0.1997%),0)</f>
        <v>249501</v>
      </c>
      <c r="K74" s="66" t="s">
        <v>80</v>
      </c>
      <c r="L74" s="61" t="s">
        <v>70</v>
      </c>
      <c r="M74" s="51" t="s">
        <v>18</v>
      </c>
      <c r="N74" s="66" t="s">
        <v>19</v>
      </c>
      <c r="O74" s="66" t="s">
        <v>25</v>
      </c>
      <c r="P74" s="66" t="s">
        <v>149</v>
      </c>
      <c r="Q74" s="66" t="s">
        <v>19</v>
      </c>
    </row>
    <row r="75" spans="3:20" ht="58" x14ac:dyDescent="0.35">
      <c r="C75" s="94">
        <v>53</v>
      </c>
      <c r="D75" s="48" t="s">
        <v>69</v>
      </c>
      <c r="E75" s="5" t="s">
        <v>70</v>
      </c>
      <c r="F75" s="5" t="s">
        <v>175</v>
      </c>
      <c r="G75" s="3" t="s">
        <v>70</v>
      </c>
      <c r="H75" s="49" t="s">
        <v>178</v>
      </c>
      <c r="I75" s="50" t="s">
        <v>179</v>
      </c>
      <c r="J75" s="12">
        <f>ROUND(124034*(1-0.1997%),0)</f>
        <v>123786</v>
      </c>
      <c r="K75" s="66" t="s">
        <v>80</v>
      </c>
      <c r="L75" s="61" t="s">
        <v>70</v>
      </c>
      <c r="M75" s="51" t="s">
        <v>18</v>
      </c>
      <c r="N75" s="66" t="s">
        <v>19</v>
      </c>
      <c r="O75" s="66" t="s">
        <v>25</v>
      </c>
      <c r="P75" s="66" t="s">
        <v>149</v>
      </c>
      <c r="Q75" s="66" t="s">
        <v>19</v>
      </c>
    </row>
    <row r="76" spans="3:20" ht="87" x14ac:dyDescent="0.35">
      <c r="C76" s="94">
        <v>54</v>
      </c>
      <c r="D76" s="48" t="s">
        <v>69</v>
      </c>
      <c r="E76" s="5">
        <v>1627</v>
      </c>
      <c r="F76" s="5" t="s">
        <v>180</v>
      </c>
      <c r="G76" s="3" t="s">
        <v>70</v>
      </c>
      <c r="H76" s="49" t="s">
        <v>181</v>
      </c>
      <c r="I76" s="50" t="s">
        <v>182</v>
      </c>
      <c r="J76" s="12">
        <f>ROUND(2000000*(1-0.1997%),0)</f>
        <v>1996006</v>
      </c>
      <c r="K76" s="66" t="s">
        <v>17</v>
      </c>
      <c r="L76" s="61" t="s">
        <v>70</v>
      </c>
      <c r="M76" s="51" t="s">
        <v>183</v>
      </c>
      <c r="N76" s="66" t="s">
        <v>19</v>
      </c>
      <c r="O76" s="66" t="s">
        <v>25</v>
      </c>
      <c r="P76" s="66" t="s">
        <v>20</v>
      </c>
      <c r="Q76" s="66" t="s">
        <v>25</v>
      </c>
    </row>
    <row r="77" spans="3:20" ht="87" x14ac:dyDescent="0.35">
      <c r="C77" s="94">
        <v>55</v>
      </c>
      <c r="D77" s="48" t="s">
        <v>69</v>
      </c>
      <c r="E77" s="5">
        <v>1627</v>
      </c>
      <c r="F77" s="5" t="s">
        <v>180</v>
      </c>
      <c r="G77" s="3" t="s">
        <v>70</v>
      </c>
      <c r="H77" s="49" t="s">
        <v>184</v>
      </c>
      <c r="I77" s="50" t="s">
        <v>185</v>
      </c>
      <c r="J77" s="12">
        <v>0</v>
      </c>
      <c r="K77" s="70" t="s">
        <v>17</v>
      </c>
      <c r="L77" s="61" t="s">
        <v>70</v>
      </c>
      <c r="M77" s="51" t="s">
        <v>183</v>
      </c>
      <c r="N77" s="68" t="s">
        <v>19</v>
      </c>
      <c r="O77" s="68" t="s">
        <v>25</v>
      </c>
      <c r="P77" s="66" t="s">
        <v>20</v>
      </c>
      <c r="Q77" s="68" t="s">
        <v>25</v>
      </c>
    </row>
    <row r="78" spans="3:20" ht="58" x14ac:dyDescent="0.35">
      <c r="C78" s="94">
        <v>56</v>
      </c>
      <c r="D78" s="48" t="s">
        <v>69</v>
      </c>
      <c r="E78" s="5">
        <v>1627</v>
      </c>
      <c r="F78" s="5" t="s">
        <v>180</v>
      </c>
      <c r="G78" s="3" t="s">
        <v>70</v>
      </c>
      <c r="H78" s="49" t="s">
        <v>186</v>
      </c>
      <c r="I78" s="50" t="s">
        <v>187</v>
      </c>
      <c r="J78" s="12">
        <f>ROUND(250000*(1-0.1997%),0)</f>
        <v>249501</v>
      </c>
      <c r="K78" s="66" t="s">
        <v>80</v>
      </c>
      <c r="L78" s="61">
        <v>45444</v>
      </c>
      <c r="M78" s="51" t="s">
        <v>183</v>
      </c>
      <c r="N78" s="66" t="s">
        <v>19</v>
      </c>
      <c r="O78" s="66" t="s">
        <v>25</v>
      </c>
      <c r="P78" s="66" t="s">
        <v>149</v>
      </c>
      <c r="Q78" s="66" t="s">
        <v>25</v>
      </c>
    </row>
    <row r="79" spans="3:20" ht="58" x14ac:dyDescent="0.35">
      <c r="C79" s="94">
        <v>57</v>
      </c>
      <c r="D79" s="48" t="s">
        <v>69</v>
      </c>
      <c r="E79" s="5">
        <v>1627</v>
      </c>
      <c r="F79" s="5" t="s">
        <v>180</v>
      </c>
      <c r="G79" s="3" t="s">
        <v>70</v>
      </c>
      <c r="H79" s="49" t="s">
        <v>188</v>
      </c>
      <c r="I79" s="50" t="s">
        <v>189</v>
      </c>
      <c r="J79" s="12">
        <f>ROUND(520000*(1-0.1997%),0)</f>
        <v>518962</v>
      </c>
      <c r="K79" s="66" t="s">
        <v>17</v>
      </c>
      <c r="L79" s="61">
        <v>45413</v>
      </c>
      <c r="M79" s="51" t="s">
        <v>190</v>
      </c>
      <c r="N79" s="66" t="s">
        <v>19</v>
      </c>
      <c r="O79" s="66" t="s">
        <v>25</v>
      </c>
      <c r="P79" s="66" t="s">
        <v>149</v>
      </c>
      <c r="Q79" s="66" t="s">
        <v>25</v>
      </c>
    </row>
    <row r="80" spans="3:20" ht="58" x14ac:dyDescent="0.35">
      <c r="C80" s="94">
        <v>58</v>
      </c>
      <c r="D80" s="48" t="s">
        <v>69</v>
      </c>
      <c r="E80" s="5">
        <v>3557</v>
      </c>
      <c r="F80" s="5" t="s">
        <v>180</v>
      </c>
      <c r="G80" s="3" t="s">
        <v>70</v>
      </c>
      <c r="H80" s="49" t="s">
        <v>191</v>
      </c>
      <c r="I80" s="50" t="s">
        <v>192</v>
      </c>
      <c r="J80" s="12">
        <f>ROUND(5950513*(1-0.1997%),0)</f>
        <v>5938630</v>
      </c>
      <c r="K80" s="66" t="s">
        <v>17</v>
      </c>
      <c r="L80" s="61">
        <v>45352</v>
      </c>
      <c r="M80" s="51" t="s">
        <v>190</v>
      </c>
      <c r="N80" s="66" t="s">
        <v>19</v>
      </c>
      <c r="O80" s="66" t="s">
        <v>25</v>
      </c>
      <c r="P80" s="66" t="s">
        <v>149</v>
      </c>
      <c r="Q80" s="66" t="s">
        <v>25</v>
      </c>
    </row>
    <row r="81" spans="3:17" ht="87" x14ac:dyDescent="0.35">
      <c r="C81" s="94">
        <v>59</v>
      </c>
      <c r="D81" s="48" t="s">
        <v>69</v>
      </c>
      <c r="E81" s="5">
        <v>20710</v>
      </c>
      <c r="F81" s="5" t="s">
        <v>180</v>
      </c>
      <c r="G81" s="3" t="s">
        <v>70</v>
      </c>
      <c r="H81" s="49" t="s">
        <v>193</v>
      </c>
      <c r="I81" s="50" t="s">
        <v>194</v>
      </c>
      <c r="J81" s="12">
        <f>ROUND(8000000*(1-0.1997%),0)+1</f>
        <v>7984025</v>
      </c>
      <c r="K81" s="10" t="s">
        <v>17</v>
      </c>
      <c r="L81" s="61">
        <v>45352</v>
      </c>
      <c r="M81" s="51" t="s">
        <v>183</v>
      </c>
      <c r="N81" s="10" t="s">
        <v>19</v>
      </c>
      <c r="O81" s="71" t="s">
        <v>25</v>
      </c>
      <c r="P81" s="10" t="s">
        <v>149</v>
      </c>
      <c r="Q81" s="10" t="s">
        <v>25</v>
      </c>
    </row>
    <row r="82" spans="3:17" ht="58" x14ac:dyDescent="0.35">
      <c r="C82" s="94">
        <v>1</v>
      </c>
      <c r="D82" s="13" t="s">
        <v>195</v>
      </c>
      <c r="E82" s="14">
        <v>15156</v>
      </c>
      <c r="F82" s="14" t="s">
        <v>196</v>
      </c>
      <c r="G82" s="15">
        <v>1</v>
      </c>
      <c r="H82" s="16" t="s">
        <v>197</v>
      </c>
      <c r="I82" s="17" t="s">
        <v>198</v>
      </c>
      <c r="J82" s="72">
        <f>ROUND(2373357*(1-0.1997%),0)</f>
        <v>2368617</v>
      </c>
      <c r="K82" s="18" t="s">
        <v>80</v>
      </c>
      <c r="L82" s="57">
        <v>45382</v>
      </c>
      <c r="M82" s="20" t="s">
        <v>199</v>
      </c>
      <c r="N82" s="18" t="s">
        <v>25</v>
      </c>
      <c r="O82" s="21" t="s">
        <v>19</v>
      </c>
      <c r="P82" s="18" t="s">
        <v>81</v>
      </c>
      <c r="Q82" s="18" t="s">
        <v>25</v>
      </c>
    </row>
    <row r="83" spans="3:17" ht="58" x14ac:dyDescent="0.35">
      <c r="C83" s="94">
        <v>2</v>
      </c>
      <c r="D83" s="13" t="s">
        <v>195</v>
      </c>
      <c r="E83" s="14">
        <v>15156</v>
      </c>
      <c r="F83" s="14" t="s">
        <v>196</v>
      </c>
      <c r="G83" s="15">
        <v>1</v>
      </c>
      <c r="H83" s="16" t="s">
        <v>200</v>
      </c>
      <c r="I83" s="17" t="s">
        <v>198</v>
      </c>
      <c r="J83" s="72">
        <f>ROUND(421632*(1-0.1997%),0)</f>
        <v>420790</v>
      </c>
      <c r="K83" s="18" t="s">
        <v>80</v>
      </c>
      <c r="L83" s="57">
        <v>45382</v>
      </c>
      <c r="M83" s="20" t="s">
        <v>199</v>
      </c>
      <c r="N83" s="18" t="s">
        <v>25</v>
      </c>
      <c r="O83" s="21" t="s">
        <v>19</v>
      </c>
      <c r="P83" s="18" t="s">
        <v>81</v>
      </c>
      <c r="Q83" s="18" t="s">
        <v>25</v>
      </c>
    </row>
    <row r="84" spans="3:17" ht="43.5" x14ac:dyDescent="0.35">
      <c r="C84" s="94">
        <v>3</v>
      </c>
      <c r="D84" s="13" t="s">
        <v>195</v>
      </c>
      <c r="E84" s="14">
        <v>20656</v>
      </c>
      <c r="F84" s="14" t="s">
        <v>201</v>
      </c>
      <c r="G84" s="15">
        <v>20</v>
      </c>
      <c r="H84" s="16" t="s">
        <v>204</v>
      </c>
      <c r="I84" s="24" t="s">
        <v>205</v>
      </c>
      <c r="J84" s="73">
        <f>ROUND(264131*(1-0.1997%),0)</f>
        <v>263604</v>
      </c>
      <c r="K84" s="18" t="s">
        <v>17</v>
      </c>
      <c r="L84" s="57" t="s">
        <v>202</v>
      </c>
      <c r="M84" s="20" t="s">
        <v>203</v>
      </c>
      <c r="N84" s="18" t="s">
        <v>25</v>
      </c>
      <c r="O84" s="21" t="s">
        <v>19</v>
      </c>
      <c r="P84" s="18" t="s">
        <v>29</v>
      </c>
      <c r="Q84" s="18" t="s">
        <v>25</v>
      </c>
    </row>
    <row r="85" spans="3:17" ht="58" x14ac:dyDescent="0.35">
      <c r="C85" s="94">
        <v>4</v>
      </c>
      <c r="D85" s="13" t="s">
        <v>195</v>
      </c>
      <c r="E85" s="14" t="s">
        <v>14</v>
      </c>
      <c r="F85" s="29" t="s">
        <v>201</v>
      </c>
      <c r="G85" s="15">
        <v>16</v>
      </c>
      <c r="H85" s="16" t="s">
        <v>206</v>
      </c>
      <c r="I85" s="30" t="s">
        <v>207</v>
      </c>
      <c r="J85" s="73">
        <f>ROUND(63900*(1-0.1997%),0)</f>
        <v>63772</v>
      </c>
      <c r="K85" s="18" t="s">
        <v>80</v>
      </c>
      <c r="L85" s="57" t="s">
        <v>202</v>
      </c>
      <c r="M85" s="20" t="s">
        <v>203</v>
      </c>
      <c r="N85" s="18" t="s">
        <v>25</v>
      </c>
      <c r="O85" s="21" t="s">
        <v>19</v>
      </c>
      <c r="P85" s="18" t="s">
        <v>29</v>
      </c>
      <c r="Q85" s="18" t="s">
        <v>25</v>
      </c>
    </row>
    <row r="86" spans="3:17" ht="43.5" x14ac:dyDescent="0.35">
      <c r="C86" s="94">
        <v>5</v>
      </c>
      <c r="D86" s="13" t="s">
        <v>195</v>
      </c>
      <c r="E86" s="14">
        <v>20656</v>
      </c>
      <c r="F86" s="29" t="s">
        <v>201</v>
      </c>
      <c r="G86" s="15">
        <v>10</v>
      </c>
      <c r="H86" s="16" t="s">
        <v>208</v>
      </c>
      <c r="I86" s="30" t="s">
        <v>209</v>
      </c>
      <c r="J86" s="73">
        <f>ROUND(6390*(1-0.1997%),0)</f>
        <v>6377</v>
      </c>
      <c r="K86" s="18" t="s">
        <v>80</v>
      </c>
      <c r="L86" s="57" t="s">
        <v>202</v>
      </c>
      <c r="M86" s="20" t="s">
        <v>203</v>
      </c>
      <c r="N86" s="18" t="s">
        <v>25</v>
      </c>
      <c r="O86" s="21" t="s">
        <v>19</v>
      </c>
      <c r="P86" s="18" t="s">
        <v>29</v>
      </c>
      <c r="Q86" s="18" t="s">
        <v>25</v>
      </c>
    </row>
    <row r="87" spans="3:17" ht="58" x14ac:dyDescent="0.35">
      <c r="C87" s="94">
        <v>6</v>
      </c>
      <c r="D87" s="21" t="s">
        <v>210</v>
      </c>
      <c r="E87" s="18">
        <v>12698</v>
      </c>
      <c r="F87" s="29" t="s">
        <v>211</v>
      </c>
      <c r="G87" s="15">
        <v>5</v>
      </c>
      <c r="H87" s="31" t="s">
        <v>212</v>
      </c>
      <c r="I87" s="30" t="s">
        <v>213</v>
      </c>
      <c r="J87" s="72">
        <f>ROUND(9050*(1-0.1997%),0)</f>
        <v>9032</v>
      </c>
      <c r="K87" s="18" t="s">
        <v>17</v>
      </c>
      <c r="L87" s="57">
        <v>45352</v>
      </c>
      <c r="M87" s="20" t="s">
        <v>18</v>
      </c>
      <c r="N87" s="18" t="s">
        <v>25</v>
      </c>
      <c r="O87" s="21" t="s">
        <v>25</v>
      </c>
      <c r="P87" s="18" t="s">
        <v>149</v>
      </c>
      <c r="Q87" s="18" t="s">
        <v>25</v>
      </c>
    </row>
    <row r="88" spans="3:17" ht="116" x14ac:dyDescent="0.35">
      <c r="C88" s="94">
        <v>7</v>
      </c>
      <c r="D88" s="21" t="s">
        <v>210</v>
      </c>
      <c r="E88" s="18">
        <v>20656</v>
      </c>
      <c r="F88" s="18" t="s">
        <v>201</v>
      </c>
      <c r="G88" s="18">
        <v>250</v>
      </c>
      <c r="H88" s="30" t="s">
        <v>214</v>
      </c>
      <c r="I88" s="74" t="s">
        <v>215</v>
      </c>
      <c r="J88" s="73">
        <f>ROUND(137000*(1-0.1997%),0)</f>
        <v>136726</v>
      </c>
      <c r="K88" s="18" t="s">
        <v>80</v>
      </c>
      <c r="L88" s="75" t="s">
        <v>202</v>
      </c>
      <c r="M88" s="18" t="s">
        <v>203</v>
      </c>
      <c r="N88" s="19" t="s">
        <v>25</v>
      </c>
      <c r="O88" s="20" t="s">
        <v>25</v>
      </c>
      <c r="P88" s="18" t="s">
        <v>149</v>
      </c>
      <c r="Q88" s="19" t="s">
        <v>25</v>
      </c>
    </row>
    <row r="89" spans="3:17" ht="87" x14ac:dyDescent="0.35">
      <c r="C89" s="94">
        <v>8</v>
      </c>
      <c r="D89" s="21" t="s">
        <v>210</v>
      </c>
      <c r="E89" s="18">
        <v>14729</v>
      </c>
      <c r="F89" s="18" t="s">
        <v>201</v>
      </c>
      <c r="G89" s="15">
        <v>50</v>
      </c>
      <c r="H89" s="31" t="s">
        <v>216</v>
      </c>
      <c r="I89" s="30" t="s">
        <v>217</v>
      </c>
      <c r="J89" s="73">
        <f>ROUND(50000*(1-0.1997%),0)</f>
        <v>49900</v>
      </c>
      <c r="K89" s="18" t="s">
        <v>80</v>
      </c>
      <c r="L89" s="57" t="s">
        <v>202</v>
      </c>
      <c r="M89" s="18" t="s">
        <v>203</v>
      </c>
      <c r="N89" s="18" t="s">
        <v>25</v>
      </c>
      <c r="O89" s="21" t="s">
        <v>25</v>
      </c>
      <c r="P89" s="18" t="s">
        <v>149</v>
      </c>
      <c r="Q89" s="18" t="s">
        <v>25</v>
      </c>
    </row>
    <row r="90" spans="3:17" ht="58" x14ac:dyDescent="0.35">
      <c r="C90" s="94">
        <v>9</v>
      </c>
      <c r="D90" s="21" t="s">
        <v>210</v>
      </c>
      <c r="E90" s="18">
        <v>14729</v>
      </c>
      <c r="F90" s="18" t="s">
        <v>201</v>
      </c>
      <c r="G90" s="15">
        <v>20</v>
      </c>
      <c r="H90" s="31" t="s">
        <v>218</v>
      </c>
      <c r="I90" s="30" t="s">
        <v>219</v>
      </c>
      <c r="J90" s="73">
        <f>ROUND(50000*(1-0.1997%),0)</f>
        <v>49900</v>
      </c>
      <c r="K90" s="18" t="s">
        <v>80</v>
      </c>
      <c r="L90" s="57" t="s">
        <v>202</v>
      </c>
      <c r="M90" s="18" t="s">
        <v>203</v>
      </c>
      <c r="N90" s="18" t="s">
        <v>25</v>
      </c>
      <c r="O90" s="21" t="s">
        <v>25</v>
      </c>
      <c r="P90" s="18" t="s">
        <v>149</v>
      </c>
      <c r="Q90" s="18" t="s">
        <v>25</v>
      </c>
    </row>
    <row r="91" spans="3:17" ht="101.5" x14ac:dyDescent="0.35">
      <c r="C91" s="94">
        <v>10</v>
      </c>
      <c r="D91" s="21" t="s">
        <v>210</v>
      </c>
      <c r="E91" s="29">
        <v>14729</v>
      </c>
      <c r="F91" s="18" t="s">
        <v>201</v>
      </c>
      <c r="G91" s="15">
        <v>200</v>
      </c>
      <c r="H91" s="31" t="s">
        <v>220</v>
      </c>
      <c r="I91" s="30" t="s">
        <v>221</v>
      </c>
      <c r="J91" s="73">
        <f>ROUND(109660*(1-0.1997%),0)</f>
        <v>109441</v>
      </c>
      <c r="K91" s="76" t="s">
        <v>80</v>
      </c>
      <c r="L91" s="57" t="s">
        <v>202</v>
      </c>
      <c r="M91" s="18" t="s">
        <v>203</v>
      </c>
      <c r="N91" s="18" t="s">
        <v>25</v>
      </c>
      <c r="O91" s="21" t="s">
        <v>25</v>
      </c>
      <c r="P91" s="18" t="s">
        <v>149</v>
      </c>
      <c r="Q91" s="18" t="s">
        <v>25</v>
      </c>
    </row>
    <row r="92" spans="3:17" ht="58" x14ac:dyDescent="0.35">
      <c r="C92" s="94">
        <v>11</v>
      </c>
      <c r="D92" s="21" t="s">
        <v>210</v>
      </c>
      <c r="E92" s="18">
        <v>14729</v>
      </c>
      <c r="F92" s="18" t="s">
        <v>201</v>
      </c>
      <c r="G92" s="15">
        <v>125</v>
      </c>
      <c r="H92" s="31" t="s">
        <v>222</v>
      </c>
      <c r="I92" s="30" t="s">
        <v>223</v>
      </c>
      <c r="J92" s="73">
        <f>ROUND(144645*(1-0.1997%),0)</f>
        <v>144356</v>
      </c>
      <c r="K92" s="18" t="s">
        <v>80</v>
      </c>
      <c r="L92" s="57" t="s">
        <v>202</v>
      </c>
      <c r="M92" s="18" t="s">
        <v>203</v>
      </c>
      <c r="N92" s="18" t="s">
        <v>25</v>
      </c>
      <c r="O92" s="21" t="s">
        <v>25</v>
      </c>
      <c r="P92" s="18" t="s">
        <v>149</v>
      </c>
      <c r="Q92" s="18" t="s">
        <v>25</v>
      </c>
    </row>
    <row r="93" spans="3:17" ht="72.5" x14ac:dyDescent="0.35">
      <c r="C93" s="94">
        <v>12</v>
      </c>
      <c r="D93" s="21" t="s">
        <v>210</v>
      </c>
      <c r="E93" s="18">
        <v>14729</v>
      </c>
      <c r="F93" s="29" t="s">
        <v>201</v>
      </c>
      <c r="G93" s="15">
        <v>125</v>
      </c>
      <c r="H93" s="31" t="s">
        <v>224</v>
      </c>
      <c r="I93" s="30" t="s">
        <v>221</v>
      </c>
      <c r="J93" s="73">
        <f>ROUND(180000*(1-0.1997%),0)</f>
        <v>179641</v>
      </c>
      <c r="K93" s="18" t="s">
        <v>80</v>
      </c>
      <c r="L93" s="57" t="s">
        <v>202</v>
      </c>
      <c r="M93" s="18" t="s">
        <v>203</v>
      </c>
      <c r="N93" s="18" t="s">
        <v>25</v>
      </c>
      <c r="O93" s="21" t="s">
        <v>25</v>
      </c>
      <c r="P93" s="18" t="s">
        <v>149</v>
      </c>
      <c r="Q93" s="18" t="s">
        <v>19</v>
      </c>
    </row>
    <row r="94" spans="3:17" ht="58" x14ac:dyDescent="0.35">
      <c r="C94" s="94">
        <v>13</v>
      </c>
      <c r="D94" s="13" t="s">
        <v>210</v>
      </c>
      <c r="E94" s="14">
        <v>3840</v>
      </c>
      <c r="F94" s="14" t="s">
        <v>201</v>
      </c>
      <c r="G94" s="15">
        <v>100</v>
      </c>
      <c r="H94" s="32" t="s">
        <v>225</v>
      </c>
      <c r="I94" s="17" t="s">
        <v>226</v>
      </c>
      <c r="J94" s="73">
        <f>ROUND(100000*(1-0.1997%),0)</f>
        <v>99800</v>
      </c>
      <c r="K94" s="18" t="s">
        <v>80</v>
      </c>
      <c r="L94" s="57" t="s">
        <v>202</v>
      </c>
      <c r="M94" s="18" t="s">
        <v>203</v>
      </c>
      <c r="N94" s="18" t="s">
        <v>25</v>
      </c>
      <c r="O94" s="21" t="s">
        <v>25</v>
      </c>
      <c r="P94" s="18" t="s">
        <v>149</v>
      </c>
      <c r="Q94" s="18" t="s">
        <v>25</v>
      </c>
    </row>
    <row r="95" spans="3:17" ht="116" x14ac:dyDescent="0.35">
      <c r="C95" s="94">
        <v>1</v>
      </c>
      <c r="D95" s="23" t="s">
        <v>227</v>
      </c>
      <c r="E95" s="23">
        <v>26174</v>
      </c>
      <c r="F95" s="10" t="s">
        <v>228</v>
      </c>
      <c r="G95" s="22">
        <v>1</v>
      </c>
      <c r="H95" s="33" t="s">
        <v>229</v>
      </c>
      <c r="I95" s="34" t="s">
        <v>230</v>
      </c>
      <c r="J95" s="53">
        <f>ROUND(73740*(1-0.1997%),0)</f>
        <v>73593</v>
      </c>
      <c r="K95" s="10" t="s">
        <v>17</v>
      </c>
      <c r="L95" s="58" t="s">
        <v>15</v>
      </c>
      <c r="M95" s="10" t="s">
        <v>231</v>
      </c>
      <c r="N95" s="10" t="s">
        <v>19</v>
      </c>
      <c r="O95" s="23" t="s">
        <v>19</v>
      </c>
      <c r="P95" s="10" t="s">
        <v>232</v>
      </c>
      <c r="Q95" s="10" t="s">
        <v>25</v>
      </c>
    </row>
    <row r="96" spans="3:17" ht="87" x14ac:dyDescent="0.35">
      <c r="C96" s="94">
        <v>2</v>
      </c>
      <c r="D96" s="23" t="s">
        <v>227</v>
      </c>
      <c r="E96" s="23">
        <v>26174</v>
      </c>
      <c r="F96" s="10" t="s">
        <v>228</v>
      </c>
      <c r="G96" s="22">
        <v>1</v>
      </c>
      <c r="H96" s="33" t="s">
        <v>233</v>
      </c>
      <c r="I96" s="34" t="s">
        <v>234</v>
      </c>
      <c r="J96" s="53">
        <f>ROUND(34612*(1-0.1997%),0)</f>
        <v>34543</v>
      </c>
      <c r="K96" s="10" t="s">
        <v>17</v>
      </c>
      <c r="L96" s="58" t="s">
        <v>15</v>
      </c>
      <c r="M96" s="10" t="s">
        <v>231</v>
      </c>
      <c r="N96" s="10" t="s">
        <v>19</v>
      </c>
      <c r="O96" s="23" t="s">
        <v>19</v>
      </c>
      <c r="P96" s="10" t="s">
        <v>20</v>
      </c>
      <c r="Q96" s="10" t="s">
        <v>25</v>
      </c>
    </row>
    <row r="97" spans="3:17" ht="130" x14ac:dyDescent="0.35">
      <c r="C97" s="94">
        <v>3</v>
      </c>
      <c r="D97" s="23" t="s">
        <v>227</v>
      </c>
      <c r="E97" s="23">
        <v>21113</v>
      </c>
      <c r="F97" s="10" t="s">
        <v>235</v>
      </c>
      <c r="G97" s="22">
        <v>1</v>
      </c>
      <c r="H97" s="33" t="s">
        <v>236</v>
      </c>
      <c r="I97" s="89" t="s">
        <v>237</v>
      </c>
      <c r="J97" s="53">
        <f>ROUND(10617*(1-0.1997%),0)</f>
        <v>10596</v>
      </c>
      <c r="K97" s="10" t="s">
        <v>17</v>
      </c>
      <c r="L97" s="58">
        <v>45426</v>
      </c>
      <c r="M97" s="10" t="s">
        <v>238</v>
      </c>
      <c r="N97" s="10" t="s">
        <v>19</v>
      </c>
      <c r="O97" s="23" t="s">
        <v>19</v>
      </c>
      <c r="P97" s="10" t="s">
        <v>41</v>
      </c>
      <c r="Q97" s="10" t="s">
        <v>25</v>
      </c>
    </row>
    <row r="98" spans="3:17" ht="159.5" x14ac:dyDescent="0.35">
      <c r="C98" s="94">
        <v>4</v>
      </c>
      <c r="D98" s="23" t="s">
        <v>227</v>
      </c>
      <c r="E98" s="23">
        <v>21113</v>
      </c>
      <c r="F98" s="10" t="s">
        <v>239</v>
      </c>
      <c r="G98" s="22">
        <v>1</v>
      </c>
      <c r="H98" s="33" t="s">
        <v>240</v>
      </c>
      <c r="I98" s="34" t="s">
        <v>241</v>
      </c>
      <c r="J98" s="53">
        <f>ROUND(892778*(1-0.1997%),0)</f>
        <v>890995</v>
      </c>
      <c r="K98" s="10" t="s">
        <v>17</v>
      </c>
      <c r="L98" s="58">
        <v>45548</v>
      </c>
      <c r="M98" s="10" t="s">
        <v>231</v>
      </c>
      <c r="N98" s="10" t="s">
        <v>19</v>
      </c>
      <c r="O98" s="23" t="s">
        <v>19</v>
      </c>
      <c r="P98" s="10" t="s">
        <v>81</v>
      </c>
      <c r="Q98" s="10" t="s">
        <v>25</v>
      </c>
    </row>
    <row r="99" spans="3:17" ht="203" x14ac:dyDescent="0.35">
      <c r="C99" s="94">
        <v>5</v>
      </c>
      <c r="D99" s="23" t="s">
        <v>227</v>
      </c>
      <c r="E99" s="23">
        <v>21113</v>
      </c>
      <c r="F99" s="10" t="s">
        <v>235</v>
      </c>
      <c r="G99" s="22">
        <v>1</v>
      </c>
      <c r="H99" s="33" t="s">
        <v>242</v>
      </c>
      <c r="I99" s="34" t="s">
        <v>243</v>
      </c>
      <c r="J99" s="53">
        <f>ROUND(310336*(1-0.1997%),0)</f>
        <v>309716</v>
      </c>
      <c r="K99" s="10" t="s">
        <v>17</v>
      </c>
      <c r="L99" s="58">
        <v>45652</v>
      </c>
      <c r="M99" s="10" t="s">
        <v>231</v>
      </c>
      <c r="N99" s="10" t="s">
        <v>19</v>
      </c>
      <c r="O99" s="23" t="s">
        <v>19</v>
      </c>
      <c r="P99" s="10" t="s">
        <v>41</v>
      </c>
      <c r="Q99" s="10" t="s">
        <v>25</v>
      </c>
    </row>
    <row r="100" spans="3:17" ht="72.5" x14ac:dyDescent="0.35">
      <c r="C100" s="94">
        <v>6</v>
      </c>
      <c r="D100" s="23" t="s">
        <v>227</v>
      </c>
      <c r="E100" s="23">
        <v>26174</v>
      </c>
      <c r="F100" s="10" t="s">
        <v>228</v>
      </c>
      <c r="G100" s="22">
        <v>1</v>
      </c>
      <c r="H100" s="33" t="s">
        <v>244</v>
      </c>
      <c r="I100" s="34" t="s">
        <v>245</v>
      </c>
      <c r="J100" s="53">
        <f>ROUND(48310*(1-0.1997%),0)</f>
        <v>48214</v>
      </c>
      <c r="K100" s="10" t="s">
        <v>17</v>
      </c>
      <c r="L100" s="58">
        <v>45393</v>
      </c>
      <c r="M100" s="10" t="s">
        <v>231</v>
      </c>
      <c r="N100" s="10" t="s">
        <v>19</v>
      </c>
      <c r="O100" s="23" t="s">
        <v>19</v>
      </c>
      <c r="P100" s="10" t="s">
        <v>41</v>
      </c>
      <c r="Q100" s="10" t="s">
        <v>25</v>
      </c>
    </row>
    <row r="101" spans="3:17" ht="145" x14ac:dyDescent="0.35">
      <c r="C101" s="94">
        <v>7</v>
      </c>
      <c r="D101" s="23" t="s">
        <v>227</v>
      </c>
      <c r="E101" s="23">
        <v>21113</v>
      </c>
      <c r="F101" s="10" t="s">
        <v>228</v>
      </c>
      <c r="G101" s="22">
        <v>1</v>
      </c>
      <c r="H101" s="33" t="s">
        <v>246</v>
      </c>
      <c r="I101" s="34" t="s">
        <v>247</v>
      </c>
      <c r="J101" s="53">
        <f>ROUND(46859*(1-0.1997%),0)</f>
        <v>46765</v>
      </c>
      <c r="K101" s="10" t="s">
        <v>17</v>
      </c>
      <c r="L101" s="58">
        <v>45366</v>
      </c>
      <c r="M101" s="10" t="s">
        <v>238</v>
      </c>
      <c r="N101" s="10" t="s">
        <v>19</v>
      </c>
      <c r="O101" s="23" t="s">
        <v>19</v>
      </c>
      <c r="P101" s="10" t="s">
        <v>41</v>
      </c>
      <c r="Q101" s="10" t="s">
        <v>25</v>
      </c>
    </row>
    <row r="102" spans="3:17" ht="203" x14ac:dyDescent="0.35">
      <c r="C102" s="94">
        <v>8</v>
      </c>
      <c r="D102" s="23" t="s">
        <v>227</v>
      </c>
      <c r="E102" s="23">
        <v>5398</v>
      </c>
      <c r="F102" s="10" t="s">
        <v>248</v>
      </c>
      <c r="G102" s="22">
        <v>1</v>
      </c>
      <c r="H102" s="33" t="s">
        <v>249</v>
      </c>
      <c r="I102" s="34" t="s">
        <v>250</v>
      </c>
      <c r="J102" s="53">
        <f>ROUND(879243*(1-0.1997%),0)</f>
        <v>877487</v>
      </c>
      <c r="K102" s="10" t="s">
        <v>17</v>
      </c>
      <c r="L102" s="58">
        <v>45602</v>
      </c>
      <c r="M102" s="10" t="s">
        <v>231</v>
      </c>
      <c r="N102" s="10" t="s">
        <v>19</v>
      </c>
      <c r="O102" s="23" t="s">
        <v>19</v>
      </c>
      <c r="P102" s="10" t="s">
        <v>41</v>
      </c>
      <c r="Q102" s="10" t="s">
        <v>25</v>
      </c>
    </row>
    <row r="103" spans="3:17" ht="156" x14ac:dyDescent="0.35">
      <c r="C103" s="94">
        <v>9</v>
      </c>
      <c r="D103" s="23" t="s">
        <v>227</v>
      </c>
      <c r="E103" s="23">
        <v>5398</v>
      </c>
      <c r="F103" s="10" t="s">
        <v>228</v>
      </c>
      <c r="G103" s="22">
        <v>10</v>
      </c>
      <c r="H103" s="33" t="s">
        <v>251</v>
      </c>
      <c r="I103" s="90" t="s">
        <v>252</v>
      </c>
      <c r="J103" s="53">
        <f>ROUND(83860*(1-0.1997%),0)+210</f>
        <v>83903</v>
      </c>
      <c r="K103" s="10" t="s">
        <v>17</v>
      </c>
      <c r="L103" s="58">
        <v>45602</v>
      </c>
      <c r="M103" s="10" t="s">
        <v>231</v>
      </c>
      <c r="N103" s="10" t="s">
        <v>19</v>
      </c>
      <c r="O103" s="23" t="s">
        <v>19</v>
      </c>
      <c r="P103" s="10" t="s">
        <v>41</v>
      </c>
      <c r="Q103" s="10" t="s">
        <v>25</v>
      </c>
    </row>
    <row r="104" spans="3:17" ht="156" x14ac:dyDescent="0.35">
      <c r="C104" s="94">
        <v>10</v>
      </c>
      <c r="D104" s="23" t="s">
        <v>227</v>
      </c>
      <c r="E104" s="23">
        <v>5398</v>
      </c>
      <c r="F104" s="10" t="s">
        <v>228</v>
      </c>
      <c r="G104" s="22">
        <v>5</v>
      </c>
      <c r="H104" s="33" t="s">
        <v>253</v>
      </c>
      <c r="I104" s="90" t="s">
        <v>252</v>
      </c>
      <c r="J104" s="53">
        <f>ROUND(139712*(1-0.1997%),0)</f>
        <v>139433</v>
      </c>
      <c r="K104" s="10" t="s">
        <v>17</v>
      </c>
      <c r="L104" s="58">
        <v>45616</v>
      </c>
      <c r="M104" s="10" t="s">
        <v>231</v>
      </c>
      <c r="N104" s="10" t="s">
        <v>19</v>
      </c>
      <c r="O104" s="23" t="s">
        <v>19</v>
      </c>
      <c r="P104" s="10" t="s">
        <v>41</v>
      </c>
      <c r="Q104" s="10" t="s">
        <v>25</v>
      </c>
    </row>
    <row r="105" spans="3:17" ht="101.5" x14ac:dyDescent="0.35">
      <c r="C105" s="94">
        <v>11</v>
      </c>
      <c r="D105" s="23" t="s">
        <v>227</v>
      </c>
      <c r="E105" s="23">
        <v>21113</v>
      </c>
      <c r="F105" s="10" t="s">
        <v>254</v>
      </c>
      <c r="G105" s="22">
        <v>1</v>
      </c>
      <c r="H105" s="33" t="s">
        <v>255</v>
      </c>
      <c r="I105" s="103" t="s">
        <v>256</v>
      </c>
      <c r="J105" s="53">
        <f>ROUND(50608*(1-0.1997%),0)</f>
        <v>50507</v>
      </c>
      <c r="K105" s="10" t="s">
        <v>17</v>
      </c>
      <c r="L105" s="58">
        <v>45391</v>
      </c>
      <c r="M105" s="10" t="s">
        <v>231</v>
      </c>
      <c r="N105" s="10" t="s">
        <v>19</v>
      </c>
      <c r="O105" s="23" t="s">
        <v>19</v>
      </c>
      <c r="P105" s="10" t="s">
        <v>81</v>
      </c>
      <c r="Q105" s="10" t="s">
        <v>25</v>
      </c>
    </row>
    <row r="106" spans="3:17" ht="72.5" x14ac:dyDescent="0.35">
      <c r="C106" s="94">
        <v>12</v>
      </c>
      <c r="D106" s="23" t="s">
        <v>227</v>
      </c>
      <c r="E106" s="23">
        <v>21113</v>
      </c>
      <c r="F106" s="10" t="s">
        <v>254</v>
      </c>
      <c r="G106" s="22">
        <v>1</v>
      </c>
      <c r="H106" s="33" t="s">
        <v>257</v>
      </c>
      <c r="I106" s="103"/>
      <c r="J106" s="53">
        <f>ROUND(6177*(1-0.1997%),0)-365</f>
        <v>5800</v>
      </c>
      <c r="K106" s="10" t="s">
        <v>17</v>
      </c>
      <c r="L106" s="58">
        <v>45391</v>
      </c>
      <c r="M106" s="10" t="s">
        <v>231</v>
      </c>
      <c r="N106" s="10" t="s">
        <v>19</v>
      </c>
      <c r="O106" s="23" t="s">
        <v>19</v>
      </c>
      <c r="P106" s="10" t="s">
        <v>81</v>
      </c>
      <c r="Q106" s="10" t="s">
        <v>25</v>
      </c>
    </row>
    <row r="107" spans="3:17" ht="116" x14ac:dyDescent="0.35">
      <c r="C107" s="94">
        <v>13</v>
      </c>
      <c r="D107" s="23" t="s">
        <v>227</v>
      </c>
      <c r="E107" s="10">
        <v>26344</v>
      </c>
      <c r="F107" s="10" t="s">
        <v>228</v>
      </c>
      <c r="G107" s="22">
        <v>1</v>
      </c>
      <c r="H107" s="33" t="s">
        <v>258</v>
      </c>
      <c r="I107" s="34" t="s">
        <v>259</v>
      </c>
      <c r="J107" s="53">
        <f>ROUND(71233*(1-0.1997%),0)-4205</f>
        <v>66886</v>
      </c>
      <c r="K107" s="10" t="s">
        <v>17</v>
      </c>
      <c r="L107" s="58">
        <v>45301</v>
      </c>
      <c r="M107" s="10" t="s">
        <v>238</v>
      </c>
      <c r="N107" s="10" t="s">
        <v>19</v>
      </c>
      <c r="O107" s="23" t="s">
        <v>19</v>
      </c>
      <c r="P107" s="10" t="s">
        <v>81</v>
      </c>
      <c r="Q107" s="10" t="s">
        <v>25</v>
      </c>
    </row>
    <row r="108" spans="3:17" ht="217.5" x14ac:dyDescent="0.35">
      <c r="C108" s="94">
        <v>14</v>
      </c>
      <c r="D108" s="23" t="s">
        <v>227</v>
      </c>
      <c r="E108" s="23">
        <v>21113</v>
      </c>
      <c r="F108" s="10" t="s">
        <v>260</v>
      </c>
      <c r="G108" s="22">
        <v>1</v>
      </c>
      <c r="H108" s="33" t="s">
        <v>261</v>
      </c>
      <c r="I108" s="34" t="s">
        <v>262</v>
      </c>
      <c r="J108" s="53">
        <f>ROUND(422804*(1-0.1997%),0)-289626</f>
        <v>132334</v>
      </c>
      <c r="K108" s="10" t="s">
        <v>17</v>
      </c>
      <c r="L108" s="58">
        <v>45389</v>
      </c>
      <c r="M108" s="10" t="s">
        <v>231</v>
      </c>
      <c r="N108" s="10" t="s">
        <v>19</v>
      </c>
      <c r="O108" s="23" t="s">
        <v>19</v>
      </c>
      <c r="P108" s="10" t="s">
        <v>81</v>
      </c>
      <c r="Q108" s="10" t="s">
        <v>25</v>
      </c>
    </row>
    <row r="109" spans="3:17" ht="195" x14ac:dyDescent="0.35">
      <c r="C109" s="94">
        <v>15</v>
      </c>
      <c r="D109" s="23" t="s">
        <v>227</v>
      </c>
      <c r="E109" s="23">
        <v>26174</v>
      </c>
      <c r="F109" s="10" t="s">
        <v>228</v>
      </c>
      <c r="G109" s="22">
        <v>1</v>
      </c>
      <c r="H109" s="33" t="s">
        <v>263</v>
      </c>
      <c r="I109" s="89" t="s">
        <v>264</v>
      </c>
      <c r="J109" s="53">
        <f>ROUND(10224*(1-0.1997%),0)</f>
        <v>10204</v>
      </c>
      <c r="K109" s="10" t="s">
        <v>17</v>
      </c>
      <c r="L109" s="58" t="s">
        <v>265</v>
      </c>
      <c r="M109" s="10" t="s">
        <v>231</v>
      </c>
      <c r="N109" s="10" t="s">
        <v>19</v>
      </c>
      <c r="O109" s="23" t="s">
        <v>19</v>
      </c>
      <c r="P109" s="10" t="s">
        <v>20</v>
      </c>
      <c r="Q109" s="10" t="s">
        <v>25</v>
      </c>
    </row>
    <row r="110" spans="3:17" ht="246.5" x14ac:dyDescent="0.35">
      <c r="C110" s="94">
        <v>16</v>
      </c>
      <c r="D110" s="23" t="s">
        <v>227</v>
      </c>
      <c r="E110" s="23">
        <v>26174</v>
      </c>
      <c r="F110" s="10" t="s">
        <v>228</v>
      </c>
      <c r="G110" s="22">
        <v>1</v>
      </c>
      <c r="H110" s="33" t="s">
        <v>266</v>
      </c>
      <c r="I110" s="34" t="s">
        <v>267</v>
      </c>
      <c r="J110" s="53">
        <f>ROUND(96711*(1-0.1997%),0)</f>
        <v>96518</v>
      </c>
      <c r="K110" s="10" t="s">
        <v>17</v>
      </c>
      <c r="L110" s="58" t="s">
        <v>15</v>
      </c>
      <c r="M110" s="10" t="s">
        <v>231</v>
      </c>
      <c r="N110" s="10" t="s">
        <v>19</v>
      </c>
      <c r="O110" s="23" t="s">
        <v>19</v>
      </c>
      <c r="P110" s="10" t="s">
        <v>20</v>
      </c>
      <c r="Q110" s="10" t="s">
        <v>25</v>
      </c>
    </row>
    <row r="111" spans="3:17" ht="116" x14ac:dyDescent="0.35">
      <c r="C111" s="94">
        <v>17</v>
      </c>
      <c r="D111" s="23" t="s">
        <v>227</v>
      </c>
      <c r="E111" s="23">
        <v>5398</v>
      </c>
      <c r="F111" s="10" t="s">
        <v>228</v>
      </c>
      <c r="G111" s="22">
        <v>1</v>
      </c>
      <c r="H111" s="33" t="s">
        <v>268</v>
      </c>
      <c r="I111" s="34" t="s">
        <v>269</v>
      </c>
      <c r="J111" s="53">
        <f>ROUND(154510*(1-0.1997%),0)</f>
        <v>154201</v>
      </c>
      <c r="K111" s="10" t="s">
        <v>17</v>
      </c>
      <c r="L111" s="58">
        <v>45571</v>
      </c>
      <c r="M111" s="10" t="s">
        <v>238</v>
      </c>
      <c r="N111" s="10" t="s">
        <v>19</v>
      </c>
      <c r="O111" s="23" t="s">
        <v>19</v>
      </c>
      <c r="P111" s="10" t="s">
        <v>81</v>
      </c>
      <c r="Q111" s="10" t="s">
        <v>25</v>
      </c>
    </row>
    <row r="112" spans="3:17" ht="101.5" x14ac:dyDescent="0.35">
      <c r="C112" s="94">
        <v>18</v>
      </c>
      <c r="D112" s="23" t="s">
        <v>227</v>
      </c>
      <c r="E112" s="23">
        <v>5398</v>
      </c>
      <c r="F112" s="10" t="s">
        <v>228</v>
      </c>
      <c r="G112" s="22">
        <v>1</v>
      </c>
      <c r="H112" s="33" t="s">
        <v>270</v>
      </c>
      <c r="I112" s="34" t="s">
        <v>271</v>
      </c>
      <c r="J112" s="53">
        <f>ROUND(996840*(1-0.1997%),0)</f>
        <v>994849</v>
      </c>
      <c r="K112" s="10" t="s">
        <v>17</v>
      </c>
      <c r="L112" s="58" t="s">
        <v>15</v>
      </c>
      <c r="M112" s="10" t="s">
        <v>231</v>
      </c>
      <c r="N112" s="10" t="s">
        <v>19</v>
      </c>
      <c r="O112" s="23" t="s">
        <v>19</v>
      </c>
      <c r="P112" s="10" t="s">
        <v>20</v>
      </c>
      <c r="Q112" s="10" t="s">
        <v>25</v>
      </c>
    </row>
    <row r="113" spans="3:17" ht="87" x14ac:dyDescent="0.35">
      <c r="C113" s="94">
        <v>19</v>
      </c>
      <c r="D113" s="23" t="s">
        <v>227</v>
      </c>
      <c r="E113" s="23">
        <v>5398</v>
      </c>
      <c r="F113" s="10" t="s">
        <v>228</v>
      </c>
      <c r="G113" s="22">
        <v>1</v>
      </c>
      <c r="H113" s="33" t="s">
        <v>272</v>
      </c>
      <c r="I113" s="34" t="s">
        <v>273</v>
      </c>
      <c r="J113" s="53">
        <f>ROUND(2622063*(1-0.1997%),0)</f>
        <v>2616827</v>
      </c>
      <c r="K113" s="10" t="s">
        <v>17</v>
      </c>
      <c r="L113" s="58" t="s">
        <v>15</v>
      </c>
      <c r="M113" s="10" t="s">
        <v>238</v>
      </c>
      <c r="N113" s="10" t="s">
        <v>19</v>
      </c>
      <c r="O113" s="23" t="s">
        <v>19</v>
      </c>
      <c r="P113" s="10" t="s">
        <v>20</v>
      </c>
      <c r="Q113" s="10" t="s">
        <v>25</v>
      </c>
    </row>
    <row r="114" spans="3:17" ht="87" x14ac:dyDescent="0.35">
      <c r="C114" s="94">
        <v>20</v>
      </c>
      <c r="D114" s="6" t="s">
        <v>227</v>
      </c>
      <c r="E114" s="6">
        <v>5398</v>
      </c>
      <c r="F114" s="7" t="s">
        <v>228</v>
      </c>
      <c r="G114" s="77">
        <v>1</v>
      </c>
      <c r="H114" s="8" t="s">
        <v>274</v>
      </c>
      <c r="I114" s="9" t="s">
        <v>273</v>
      </c>
      <c r="J114" s="52">
        <f>ROUND(1624359*(1-0.1997%),0)</f>
        <v>1621115</v>
      </c>
      <c r="K114" s="7" t="s">
        <v>17</v>
      </c>
      <c r="L114" s="58" t="s">
        <v>15</v>
      </c>
      <c r="M114" s="7" t="s">
        <v>238</v>
      </c>
      <c r="N114" s="7" t="s">
        <v>19</v>
      </c>
      <c r="O114" s="6" t="s">
        <v>19</v>
      </c>
      <c r="P114" s="7" t="s">
        <v>20</v>
      </c>
      <c r="Q114" s="7" t="s">
        <v>25</v>
      </c>
    </row>
    <row r="115" spans="3:17" ht="87" x14ac:dyDescent="0.35">
      <c r="C115" s="94">
        <v>21</v>
      </c>
      <c r="D115" s="23" t="s">
        <v>227</v>
      </c>
      <c r="E115" s="23">
        <v>5398</v>
      </c>
      <c r="F115" s="10" t="s">
        <v>21</v>
      </c>
      <c r="G115" s="22">
        <v>1</v>
      </c>
      <c r="H115" s="33" t="s">
        <v>275</v>
      </c>
      <c r="I115" s="34" t="s">
        <v>276</v>
      </c>
      <c r="J115" s="53">
        <f>ROUND(9712*(1-0.1997%),0)</f>
        <v>9693</v>
      </c>
      <c r="K115" s="10" t="s">
        <v>17</v>
      </c>
      <c r="L115" s="58" t="s">
        <v>15</v>
      </c>
      <c r="M115" s="10" t="s">
        <v>238</v>
      </c>
      <c r="N115" s="10" t="s">
        <v>19</v>
      </c>
      <c r="O115" s="23" t="s">
        <v>19</v>
      </c>
      <c r="P115" s="10" t="s">
        <v>20</v>
      </c>
      <c r="Q115" s="10" t="s">
        <v>25</v>
      </c>
    </row>
    <row r="116" spans="3:17" ht="87" x14ac:dyDescent="0.35">
      <c r="C116" s="94">
        <v>22</v>
      </c>
      <c r="D116" s="23" t="s">
        <v>227</v>
      </c>
      <c r="E116" s="23">
        <v>27200</v>
      </c>
      <c r="F116" s="10" t="s">
        <v>277</v>
      </c>
      <c r="G116" s="22">
        <v>1</v>
      </c>
      <c r="H116" s="33" t="s">
        <v>278</v>
      </c>
      <c r="I116" s="34" t="s">
        <v>279</v>
      </c>
      <c r="J116" s="53">
        <f>ROUND(39961*(1-0.1997%),0)</f>
        <v>39881</v>
      </c>
      <c r="K116" s="10" t="s">
        <v>17</v>
      </c>
      <c r="L116" s="58" t="s">
        <v>15</v>
      </c>
      <c r="M116" s="10" t="s">
        <v>238</v>
      </c>
      <c r="N116" s="10" t="s">
        <v>19</v>
      </c>
      <c r="O116" s="23" t="s">
        <v>19</v>
      </c>
      <c r="P116" s="10" t="s">
        <v>20</v>
      </c>
      <c r="Q116" s="10" t="s">
        <v>25</v>
      </c>
    </row>
    <row r="117" spans="3:17" ht="87" x14ac:dyDescent="0.35">
      <c r="C117" s="94">
        <v>23</v>
      </c>
      <c r="D117" s="23" t="s">
        <v>227</v>
      </c>
      <c r="E117" s="23">
        <v>26174</v>
      </c>
      <c r="F117" s="10" t="s">
        <v>228</v>
      </c>
      <c r="G117" s="22">
        <v>1</v>
      </c>
      <c r="H117" s="33" t="s">
        <v>280</v>
      </c>
      <c r="I117" s="34" t="s">
        <v>281</v>
      </c>
      <c r="J117" s="53">
        <f>ROUND(337379*(1-0.1997%),0)</f>
        <v>336705</v>
      </c>
      <c r="K117" s="10" t="s">
        <v>17</v>
      </c>
      <c r="L117" s="58" t="s">
        <v>15</v>
      </c>
      <c r="M117" s="10" t="s">
        <v>231</v>
      </c>
      <c r="N117" s="10" t="s">
        <v>19</v>
      </c>
      <c r="O117" s="23" t="s">
        <v>19</v>
      </c>
      <c r="P117" s="10" t="s">
        <v>20</v>
      </c>
      <c r="Q117" s="10" t="s">
        <v>25</v>
      </c>
    </row>
    <row r="118" spans="3:17" ht="87" x14ac:dyDescent="0.35">
      <c r="C118" s="94">
        <v>24</v>
      </c>
      <c r="D118" s="23" t="s">
        <v>227</v>
      </c>
      <c r="E118" s="23">
        <v>26174</v>
      </c>
      <c r="F118" s="10" t="s">
        <v>228</v>
      </c>
      <c r="G118" s="22">
        <v>1</v>
      </c>
      <c r="H118" s="33" t="s">
        <v>282</v>
      </c>
      <c r="I118" s="34" t="s">
        <v>281</v>
      </c>
      <c r="J118" s="53">
        <f>ROUND(307231*(1-0.1997%),0)</f>
        <v>306617</v>
      </c>
      <c r="K118" s="10" t="s">
        <v>17</v>
      </c>
      <c r="L118" s="58" t="s">
        <v>15</v>
      </c>
      <c r="M118" s="10" t="s">
        <v>231</v>
      </c>
      <c r="N118" s="10" t="s">
        <v>19</v>
      </c>
      <c r="O118" s="23" t="s">
        <v>19</v>
      </c>
      <c r="P118" s="10" t="s">
        <v>20</v>
      </c>
      <c r="Q118" s="10" t="s">
        <v>25</v>
      </c>
    </row>
    <row r="119" spans="3:17" ht="101.5" x14ac:dyDescent="0.35">
      <c r="C119" s="94">
        <v>25</v>
      </c>
      <c r="D119" s="23" t="s">
        <v>227</v>
      </c>
      <c r="E119" s="23">
        <v>5398</v>
      </c>
      <c r="F119" s="10" t="s">
        <v>228</v>
      </c>
      <c r="G119" s="22">
        <v>1</v>
      </c>
      <c r="H119" s="33" t="s">
        <v>283</v>
      </c>
      <c r="I119" s="34" t="s">
        <v>284</v>
      </c>
      <c r="J119" s="53">
        <f>ROUND(834498*(1-0.1997%),0)</f>
        <v>832832</v>
      </c>
      <c r="K119" s="10" t="s">
        <v>17</v>
      </c>
      <c r="L119" s="58" t="s">
        <v>15</v>
      </c>
      <c r="M119" s="10" t="s">
        <v>238</v>
      </c>
      <c r="N119" s="10" t="s">
        <v>19</v>
      </c>
      <c r="O119" s="23" t="s">
        <v>19</v>
      </c>
      <c r="P119" s="10" t="s">
        <v>20</v>
      </c>
      <c r="Q119" s="10" t="s">
        <v>25</v>
      </c>
    </row>
    <row r="120" spans="3:17" ht="116" x14ac:dyDescent="0.35">
      <c r="C120" s="94">
        <v>26</v>
      </c>
      <c r="D120" s="23" t="s">
        <v>227</v>
      </c>
      <c r="E120" s="23">
        <v>5398</v>
      </c>
      <c r="F120" s="10" t="s">
        <v>228</v>
      </c>
      <c r="G120" s="22">
        <v>1</v>
      </c>
      <c r="H120" s="33" t="s">
        <v>285</v>
      </c>
      <c r="I120" s="34" t="s">
        <v>286</v>
      </c>
      <c r="J120" s="53">
        <f>ROUND(114055*(1-0.1997%),0)</f>
        <v>113827</v>
      </c>
      <c r="K120" s="10" t="s">
        <v>17</v>
      </c>
      <c r="L120" s="58" t="s">
        <v>15</v>
      </c>
      <c r="M120" s="10" t="s">
        <v>238</v>
      </c>
      <c r="N120" s="10" t="s">
        <v>19</v>
      </c>
      <c r="O120" s="23" t="s">
        <v>19</v>
      </c>
      <c r="P120" s="10" t="s">
        <v>20</v>
      </c>
      <c r="Q120" s="10" t="s">
        <v>25</v>
      </c>
    </row>
    <row r="121" spans="3:17" ht="159.5" x14ac:dyDescent="0.35">
      <c r="C121" s="94">
        <v>27</v>
      </c>
      <c r="D121" s="23" t="s">
        <v>227</v>
      </c>
      <c r="E121" s="23">
        <v>5398</v>
      </c>
      <c r="F121" s="10" t="s">
        <v>228</v>
      </c>
      <c r="G121" s="22">
        <v>1</v>
      </c>
      <c r="H121" s="33" t="s">
        <v>287</v>
      </c>
      <c r="I121" s="34" t="s">
        <v>288</v>
      </c>
      <c r="J121" s="53">
        <f>ROUND(466470*(1-0.1997%),0)+73010</f>
        <v>538548</v>
      </c>
      <c r="K121" s="10" t="s">
        <v>17</v>
      </c>
      <c r="L121" s="58" t="s">
        <v>15</v>
      </c>
      <c r="M121" s="10" t="s">
        <v>238</v>
      </c>
      <c r="N121" s="10" t="s">
        <v>19</v>
      </c>
      <c r="O121" s="23" t="s">
        <v>19</v>
      </c>
      <c r="P121" s="10" t="s">
        <v>20</v>
      </c>
      <c r="Q121" s="10" t="s">
        <v>25</v>
      </c>
    </row>
    <row r="122" spans="3:17" ht="87" x14ac:dyDescent="0.35">
      <c r="C122" s="94">
        <v>28</v>
      </c>
      <c r="D122" s="23" t="s">
        <v>227</v>
      </c>
      <c r="E122" s="23">
        <v>5398</v>
      </c>
      <c r="F122" s="10" t="s">
        <v>235</v>
      </c>
      <c r="G122" s="22">
        <v>1</v>
      </c>
      <c r="H122" s="33" t="s">
        <v>289</v>
      </c>
      <c r="I122" s="34" t="s">
        <v>290</v>
      </c>
      <c r="J122" s="53">
        <f>ROUND(324394*(1-0.1997%),0)+70862</f>
        <v>394608</v>
      </c>
      <c r="K122" s="10" t="s">
        <v>17</v>
      </c>
      <c r="L122" s="58" t="s">
        <v>15</v>
      </c>
      <c r="M122" s="10" t="s">
        <v>238</v>
      </c>
      <c r="N122" s="10" t="s">
        <v>19</v>
      </c>
      <c r="O122" s="23" t="s">
        <v>19</v>
      </c>
      <c r="P122" s="10" t="s">
        <v>20</v>
      </c>
      <c r="Q122" s="10" t="s">
        <v>25</v>
      </c>
    </row>
    <row r="123" spans="3:17" ht="130.5" x14ac:dyDescent="0.35">
      <c r="C123" s="94">
        <v>29</v>
      </c>
      <c r="D123" s="23" t="s">
        <v>227</v>
      </c>
      <c r="E123" s="23">
        <v>5398</v>
      </c>
      <c r="F123" s="10" t="s">
        <v>291</v>
      </c>
      <c r="G123" s="22">
        <v>1</v>
      </c>
      <c r="H123" s="33" t="s">
        <v>292</v>
      </c>
      <c r="I123" s="34" t="s">
        <v>293</v>
      </c>
      <c r="J123" s="53">
        <f>ROUND(363896*(1-0.1997%),0)-87169</f>
        <v>276000</v>
      </c>
      <c r="K123" s="10" t="s">
        <v>17</v>
      </c>
      <c r="L123" s="58" t="s">
        <v>15</v>
      </c>
      <c r="M123" s="10" t="s">
        <v>238</v>
      </c>
      <c r="N123" s="10" t="s">
        <v>19</v>
      </c>
      <c r="O123" s="23" t="s">
        <v>19</v>
      </c>
      <c r="P123" s="10" t="s">
        <v>20</v>
      </c>
      <c r="Q123" s="10" t="s">
        <v>25</v>
      </c>
    </row>
    <row r="124" spans="3:17" ht="72.5" x14ac:dyDescent="0.35">
      <c r="C124" s="94">
        <v>30</v>
      </c>
      <c r="D124" s="23" t="s">
        <v>227</v>
      </c>
      <c r="E124" s="23">
        <v>21202</v>
      </c>
      <c r="F124" s="10" t="s">
        <v>228</v>
      </c>
      <c r="G124" s="22">
        <v>1</v>
      </c>
      <c r="H124" s="33" t="s">
        <v>294</v>
      </c>
      <c r="I124" s="34" t="s">
        <v>295</v>
      </c>
      <c r="J124" s="53">
        <f>ROUND(300000*(1-0.1997%),0)</f>
        <v>299401</v>
      </c>
      <c r="K124" s="10" t="s">
        <v>17</v>
      </c>
      <c r="L124" s="58" t="s">
        <v>296</v>
      </c>
      <c r="M124" s="10" t="s">
        <v>238</v>
      </c>
      <c r="N124" s="10" t="s">
        <v>19</v>
      </c>
      <c r="O124" s="23" t="s">
        <v>19</v>
      </c>
      <c r="P124" s="10" t="s">
        <v>149</v>
      </c>
      <c r="Q124" s="10" t="s">
        <v>25</v>
      </c>
    </row>
    <row r="125" spans="3:17" ht="72.5" x14ac:dyDescent="0.35">
      <c r="C125" s="94">
        <v>31</v>
      </c>
      <c r="D125" s="23" t="s">
        <v>227</v>
      </c>
      <c r="E125" s="23">
        <v>5398</v>
      </c>
      <c r="F125" s="10" t="s">
        <v>297</v>
      </c>
      <c r="G125" s="22">
        <v>1</v>
      </c>
      <c r="H125" s="33" t="s">
        <v>298</v>
      </c>
      <c r="I125" s="34" t="s">
        <v>299</v>
      </c>
      <c r="J125" s="53">
        <f>ROUND(2000000*(1-0.1997%),0)+834005</f>
        <v>2830011</v>
      </c>
      <c r="K125" s="10" t="s">
        <v>17</v>
      </c>
      <c r="L125" s="58" t="s">
        <v>300</v>
      </c>
      <c r="M125" s="10" t="s">
        <v>238</v>
      </c>
      <c r="N125" s="10" t="s">
        <v>19</v>
      </c>
      <c r="O125" s="23" t="s">
        <v>19</v>
      </c>
      <c r="P125" s="10" t="s">
        <v>149</v>
      </c>
      <c r="Q125" s="10" t="s">
        <v>25</v>
      </c>
    </row>
    <row r="126" spans="3:17" ht="72.5" x14ac:dyDescent="0.35">
      <c r="C126" s="94">
        <v>32</v>
      </c>
      <c r="D126" s="23" t="s">
        <v>227</v>
      </c>
      <c r="E126" s="23">
        <v>27502</v>
      </c>
      <c r="F126" s="10" t="s">
        <v>228</v>
      </c>
      <c r="G126" s="22">
        <v>1</v>
      </c>
      <c r="H126" s="33" t="s">
        <v>301</v>
      </c>
      <c r="I126" s="34" t="s">
        <v>302</v>
      </c>
      <c r="J126" s="53">
        <f>ROUND(1500000*(1-0.1997%),0)</f>
        <v>1497005</v>
      </c>
      <c r="K126" s="10" t="s">
        <v>17</v>
      </c>
      <c r="L126" s="58" t="s">
        <v>300</v>
      </c>
      <c r="M126" s="10" t="s">
        <v>231</v>
      </c>
      <c r="N126" s="10" t="s">
        <v>19</v>
      </c>
      <c r="O126" s="23" t="s">
        <v>19</v>
      </c>
      <c r="P126" s="10" t="s">
        <v>41</v>
      </c>
      <c r="Q126" s="10" t="s">
        <v>25</v>
      </c>
    </row>
    <row r="127" spans="3:17" ht="72.5" x14ac:dyDescent="0.35">
      <c r="C127" s="94">
        <v>33</v>
      </c>
      <c r="D127" s="28" t="s">
        <v>227</v>
      </c>
      <c r="E127" s="28">
        <v>21202</v>
      </c>
      <c r="F127" s="27" t="s">
        <v>228</v>
      </c>
      <c r="G127" s="25">
        <v>1</v>
      </c>
      <c r="H127" s="78" t="s">
        <v>303</v>
      </c>
      <c r="I127" s="26" t="s">
        <v>304</v>
      </c>
      <c r="J127" s="79">
        <f>ROUND(300000*(1-0.1997%),0)</f>
        <v>299401</v>
      </c>
      <c r="K127" s="27" t="s">
        <v>17</v>
      </c>
      <c r="L127" s="59" t="s">
        <v>305</v>
      </c>
      <c r="M127" s="27" t="s">
        <v>238</v>
      </c>
      <c r="N127" s="27" t="s">
        <v>19</v>
      </c>
      <c r="O127" s="28" t="s">
        <v>19</v>
      </c>
      <c r="P127" s="27" t="s">
        <v>149</v>
      </c>
      <c r="Q127" s="27" t="s">
        <v>25</v>
      </c>
    </row>
    <row r="128" spans="3:17" ht="72.5" x14ac:dyDescent="0.35">
      <c r="C128" s="94">
        <v>34</v>
      </c>
      <c r="D128" s="23" t="s">
        <v>227</v>
      </c>
      <c r="E128" s="23">
        <v>5398</v>
      </c>
      <c r="F128" s="10" t="s">
        <v>235</v>
      </c>
      <c r="G128" s="22">
        <v>1</v>
      </c>
      <c r="H128" s="33" t="s">
        <v>306</v>
      </c>
      <c r="I128" s="34" t="s">
        <v>307</v>
      </c>
      <c r="J128" s="53">
        <f>ROUND(500000*(1-0.1997%),0)</f>
        <v>499002</v>
      </c>
      <c r="K128" s="10" t="s">
        <v>17</v>
      </c>
      <c r="L128" s="58" t="s">
        <v>296</v>
      </c>
      <c r="M128" s="10" t="s">
        <v>238</v>
      </c>
      <c r="N128" s="10" t="s">
        <v>19</v>
      </c>
      <c r="O128" s="23" t="s">
        <v>19</v>
      </c>
      <c r="P128" s="10" t="s">
        <v>149</v>
      </c>
      <c r="Q128" s="10" t="s">
        <v>25</v>
      </c>
    </row>
    <row r="129" spans="3:17" ht="72.5" x14ac:dyDescent="0.35">
      <c r="C129" s="94">
        <v>35</v>
      </c>
      <c r="D129" s="23" t="s">
        <v>227</v>
      </c>
      <c r="E129" s="23">
        <v>5398</v>
      </c>
      <c r="F129" s="10" t="s">
        <v>277</v>
      </c>
      <c r="G129" s="22">
        <v>1</v>
      </c>
      <c r="H129" s="33" t="s">
        <v>308</v>
      </c>
      <c r="I129" s="34" t="s">
        <v>309</v>
      </c>
      <c r="J129" s="53">
        <f>ROUND(2300000*(1-0.1997%),0)-314848</f>
        <v>1980559</v>
      </c>
      <c r="K129" s="10" t="s">
        <v>17</v>
      </c>
      <c r="L129" s="58" t="s">
        <v>310</v>
      </c>
      <c r="M129" s="10" t="s">
        <v>238</v>
      </c>
      <c r="N129" s="10" t="s">
        <v>19</v>
      </c>
      <c r="O129" s="23" t="s">
        <v>19</v>
      </c>
      <c r="P129" s="10" t="s">
        <v>149</v>
      </c>
      <c r="Q129" s="10" t="s">
        <v>25</v>
      </c>
    </row>
    <row r="130" spans="3:17" ht="72.5" x14ac:dyDescent="0.35">
      <c r="C130" s="94">
        <v>36</v>
      </c>
      <c r="D130" s="23" t="s">
        <v>227</v>
      </c>
      <c r="E130" s="23">
        <v>5398</v>
      </c>
      <c r="F130" s="10" t="s">
        <v>180</v>
      </c>
      <c r="G130" s="22">
        <v>1</v>
      </c>
      <c r="H130" s="33" t="s">
        <v>311</v>
      </c>
      <c r="I130" s="34" t="s">
        <v>312</v>
      </c>
      <c r="J130" s="53">
        <f>ROUND(70000*(1-0.1997%),0)</f>
        <v>69860</v>
      </c>
      <c r="K130" s="10" t="s">
        <v>17</v>
      </c>
      <c r="L130" s="58" t="s">
        <v>313</v>
      </c>
      <c r="M130" s="10" t="s">
        <v>238</v>
      </c>
      <c r="N130" s="10" t="s">
        <v>25</v>
      </c>
      <c r="O130" s="23" t="s">
        <v>25</v>
      </c>
      <c r="P130" s="10" t="s">
        <v>41</v>
      </c>
      <c r="Q130" s="10" t="s">
        <v>25</v>
      </c>
    </row>
    <row r="131" spans="3:17" ht="159.5" x14ac:dyDescent="0.35">
      <c r="C131" s="94">
        <v>37</v>
      </c>
      <c r="D131" s="23" t="s">
        <v>227</v>
      </c>
      <c r="E131" s="23">
        <v>390359</v>
      </c>
      <c r="F131" s="10" t="s">
        <v>180</v>
      </c>
      <c r="G131" s="22">
        <v>1</v>
      </c>
      <c r="H131" s="33" t="s">
        <v>314</v>
      </c>
      <c r="I131" s="34" t="s">
        <v>315</v>
      </c>
      <c r="J131" s="53">
        <f>ROUND(380000*(1-0.1997%),0)</f>
        <v>379241</v>
      </c>
      <c r="K131" s="10" t="s">
        <v>17</v>
      </c>
      <c r="L131" s="58" t="s">
        <v>313</v>
      </c>
      <c r="M131" s="10" t="s">
        <v>238</v>
      </c>
      <c r="N131" s="10" t="s">
        <v>19</v>
      </c>
      <c r="O131" s="23" t="s">
        <v>25</v>
      </c>
      <c r="P131" s="10" t="s">
        <v>41</v>
      </c>
      <c r="Q131" s="10" t="s">
        <v>25</v>
      </c>
    </row>
    <row r="132" spans="3:17" ht="87" x14ac:dyDescent="0.35">
      <c r="C132" s="94">
        <v>38</v>
      </c>
      <c r="D132" s="23" t="s">
        <v>227</v>
      </c>
      <c r="E132" s="23">
        <v>390359</v>
      </c>
      <c r="F132" s="10" t="s">
        <v>180</v>
      </c>
      <c r="G132" s="22">
        <v>1</v>
      </c>
      <c r="H132" s="33" t="s">
        <v>316</v>
      </c>
      <c r="I132" s="34" t="s">
        <v>315</v>
      </c>
      <c r="J132" s="53">
        <f>ROUND(50000*(1-0.1997%),0)</f>
        <v>49900</v>
      </c>
      <c r="K132" s="10" t="s">
        <v>17</v>
      </c>
      <c r="L132" s="58" t="s">
        <v>313</v>
      </c>
      <c r="M132" s="10" t="s">
        <v>238</v>
      </c>
      <c r="N132" s="10" t="s">
        <v>19</v>
      </c>
      <c r="O132" s="23" t="s">
        <v>25</v>
      </c>
      <c r="P132" s="10" t="s">
        <v>41</v>
      </c>
      <c r="Q132" s="10" t="s">
        <v>25</v>
      </c>
    </row>
    <row r="133" spans="3:17" ht="116" x14ac:dyDescent="0.35">
      <c r="C133" s="94">
        <v>39</v>
      </c>
      <c r="D133" s="23" t="s">
        <v>227</v>
      </c>
      <c r="E133" s="23">
        <v>150566</v>
      </c>
      <c r="F133" s="10" t="s">
        <v>277</v>
      </c>
      <c r="G133" s="22">
        <v>500</v>
      </c>
      <c r="H133" s="33" t="s">
        <v>317</v>
      </c>
      <c r="I133" s="34" t="s">
        <v>318</v>
      </c>
      <c r="J133" s="53">
        <f>ROUND(2660000*(1-0.1997%),0)</f>
        <v>2654688</v>
      </c>
      <c r="K133" s="10" t="s">
        <v>80</v>
      </c>
      <c r="L133" s="58" t="s">
        <v>305</v>
      </c>
      <c r="M133" s="10" t="s">
        <v>238</v>
      </c>
      <c r="N133" s="10" t="s">
        <v>19</v>
      </c>
      <c r="O133" s="23" t="s">
        <v>25</v>
      </c>
      <c r="P133" s="10" t="s">
        <v>149</v>
      </c>
      <c r="Q133" s="10" t="s">
        <v>25</v>
      </c>
    </row>
    <row r="134" spans="3:17" ht="116" x14ac:dyDescent="0.35">
      <c r="C134" s="94">
        <v>40</v>
      </c>
      <c r="D134" s="23" t="s">
        <v>227</v>
      </c>
      <c r="E134" s="23">
        <v>150566</v>
      </c>
      <c r="F134" s="10" t="s">
        <v>277</v>
      </c>
      <c r="G134" s="22">
        <v>100</v>
      </c>
      <c r="H134" s="33" t="s">
        <v>319</v>
      </c>
      <c r="I134" s="34" t="s">
        <v>320</v>
      </c>
      <c r="J134" s="54">
        <f>ROUND(1200000*(1-0.1997%),0)</f>
        <v>1197604</v>
      </c>
      <c r="K134" s="10" t="s">
        <v>80</v>
      </c>
      <c r="L134" s="58" t="s">
        <v>305</v>
      </c>
      <c r="M134" s="10" t="s">
        <v>238</v>
      </c>
      <c r="N134" s="10" t="s">
        <v>19</v>
      </c>
      <c r="O134" s="23" t="s">
        <v>25</v>
      </c>
      <c r="P134" s="10" t="s">
        <v>149</v>
      </c>
      <c r="Q134" s="10" t="s">
        <v>25</v>
      </c>
    </row>
    <row r="135" spans="3:17" ht="72.5" x14ac:dyDescent="0.35">
      <c r="C135" s="94">
        <v>41</v>
      </c>
      <c r="D135" s="23" t="s">
        <v>227</v>
      </c>
      <c r="E135" s="23">
        <v>13676</v>
      </c>
      <c r="F135" s="10" t="s">
        <v>228</v>
      </c>
      <c r="G135" s="22">
        <v>1</v>
      </c>
      <c r="H135" s="33" t="s">
        <v>321</v>
      </c>
      <c r="I135" s="34" t="s">
        <v>322</v>
      </c>
      <c r="J135" s="54">
        <f>ROUND(5000000*(1-0.1997%),0)+1</f>
        <v>4990016</v>
      </c>
      <c r="K135" s="10" t="s">
        <v>17</v>
      </c>
      <c r="L135" s="58" t="s">
        <v>305</v>
      </c>
      <c r="M135" s="10" t="s">
        <v>231</v>
      </c>
      <c r="N135" s="10" t="s">
        <v>19</v>
      </c>
      <c r="O135" s="23" t="s">
        <v>25</v>
      </c>
      <c r="P135" s="10" t="s">
        <v>149</v>
      </c>
      <c r="Q135" s="10" t="s">
        <v>25</v>
      </c>
    </row>
    <row r="136" spans="3:17" ht="72.5" x14ac:dyDescent="0.35">
      <c r="C136" s="94">
        <v>42</v>
      </c>
      <c r="D136" s="23" t="s">
        <v>227</v>
      </c>
      <c r="E136" s="23">
        <v>21202</v>
      </c>
      <c r="F136" s="10" t="s">
        <v>297</v>
      </c>
      <c r="G136" s="22">
        <v>1</v>
      </c>
      <c r="H136" s="33" t="s">
        <v>323</v>
      </c>
      <c r="I136" s="34" t="s">
        <v>324</v>
      </c>
      <c r="J136" s="54">
        <f>ROUND(304955*(1-0.1997%),0)</f>
        <v>304346</v>
      </c>
      <c r="K136" s="10" t="s">
        <v>73</v>
      </c>
      <c r="L136" s="58" t="s">
        <v>325</v>
      </c>
      <c r="M136" s="10" t="s">
        <v>238</v>
      </c>
      <c r="N136" s="10" t="s">
        <v>19</v>
      </c>
      <c r="O136" s="23" t="s">
        <v>25</v>
      </c>
      <c r="P136" s="10" t="s">
        <v>149</v>
      </c>
      <c r="Q136" s="10" t="s">
        <v>25</v>
      </c>
    </row>
    <row r="137" spans="3:17" ht="72.5" x14ac:dyDescent="0.35">
      <c r="C137" s="94">
        <v>43</v>
      </c>
      <c r="D137" s="23" t="s">
        <v>227</v>
      </c>
      <c r="E137" s="23">
        <v>150100</v>
      </c>
      <c r="F137" s="10" t="s">
        <v>228</v>
      </c>
      <c r="G137" s="22">
        <v>1</v>
      </c>
      <c r="H137" s="33" t="s">
        <v>326</v>
      </c>
      <c r="I137" s="34" t="s">
        <v>327</v>
      </c>
      <c r="J137" s="54">
        <f>ROUND(5636104*(1-0.1997%),0)</f>
        <v>5624849</v>
      </c>
      <c r="K137" s="10" t="s">
        <v>17</v>
      </c>
      <c r="L137" s="58" t="s">
        <v>305</v>
      </c>
      <c r="M137" s="10" t="s">
        <v>238</v>
      </c>
      <c r="N137" s="10" t="s">
        <v>19</v>
      </c>
      <c r="O137" s="23" t="s">
        <v>25</v>
      </c>
      <c r="P137" s="10" t="s">
        <v>149</v>
      </c>
      <c r="Q137" s="10" t="s">
        <v>25</v>
      </c>
    </row>
    <row r="138" spans="3:17" ht="72.5" x14ac:dyDescent="0.35">
      <c r="C138" s="94">
        <v>44</v>
      </c>
      <c r="D138" s="23" t="s">
        <v>227</v>
      </c>
      <c r="E138" s="23">
        <v>20710</v>
      </c>
      <c r="F138" s="10" t="s">
        <v>228</v>
      </c>
      <c r="G138" s="22">
        <v>1</v>
      </c>
      <c r="H138" s="33" t="s">
        <v>328</v>
      </c>
      <c r="I138" s="34" t="s">
        <v>329</v>
      </c>
      <c r="J138" s="54">
        <f>ROUND(4335240*(1-0.1997%),0)</f>
        <v>4326583</v>
      </c>
      <c r="K138" s="10" t="s">
        <v>73</v>
      </c>
      <c r="L138" s="58" t="s">
        <v>305</v>
      </c>
      <c r="M138" s="10" t="s">
        <v>238</v>
      </c>
      <c r="N138" s="10" t="s">
        <v>19</v>
      </c>
      <c r="O138" s="23" t="s">
        <v>25</v>
      </c>
      <c r="P138" s="10" t="s">
        <v>149</v>
      </c>
      <c r="Q138" s="10" t="s">
        <v>25</v>
      </c>
    </row>
    <row r="139" spans="3:17" ht="87" x14ac:dyDescent="0.35">
      <c r="C139" s="94">
        <v>1</v>
      </c>
      <c r="D139" s="35" t="s">
        <v>330</v>
      </c>
      <c r="E139" s="36">
        <v>25518</v>
      </c>
      <c r="F139" s="36" t="s">
        <v>331</v>
      </c>
      <c r="G139" s="41">
        <v>1</v>
      </c>
      <c r="H139" s="37" t="s">
        <v>332</v>
      </c>
      <c r="I139" s="38" t="s">
        <v>333</v>
      </c>
      <c r="J139" s="55">
        <f>ROUND(236930*(1-0.1997%),0)+1</f>
        <v>236458</v>
      </c>
      <c r="K139" s="42" t="s">
        <v>17</v>
      </c>
      <c r="L139" s="60" t="s">
        <v>15</v>
      </c>
      <c r="M139" s="36" t="s">
        <v>18</v>
      </c>
      <c r="N139" s="43" t="s">
        <v>25</v>
      </c>
      <c r="O139" s="44" t="s">
        <v>19</v>
      </c>
      <c r="P139" s="42" t="s">
        <v>20</v>
      </c>
      <c r="Q139" s="43" t="s">
        <v>25</v>
      </c>
    </row>
    <row r="140" spans="3:17" ht="87" x14ac:dyDescent="0.35">
      <c r="C140" s="94">
        <v>2</v>
      </c>
      <c r="D140" s="35" t="s">
        <v>330</v>
      </c>
      <c r="E140" s="36">
        <v>25518</v>
      </c>
      <c r="F140" s="36" t="s">
        <v>331</v>
      </c>
      <c r="G140" s="41">
        <v>1</v>
      </c>
      <c r="H140" s="37" t="s">
        <v>334</v>
      </c>
      <c r="I140" s="38" t="s">
        <v>333</v>
      </c>
      <c r="J140" s="55">
        <f>ROUND(121301*(1-0.1997%),0)+1</f>
        <v>121060</v>
      </c>
      <c r="K140" s="42" t="s">
        <v>17</v>
      </c>
      <c r="L140" s="60" t="s">
        <v>15</v>
      </c>
      <c r="M140" s="36" t="s">
        <v>18</v>
      </c>
      <c r="N140" s="43" t="s">
        <v>25</v>
      </c>
      <c r="O140" s="44" t="s">
        <v>19</v>
      </c>
      <c r="P140" s="42" t="s">
        <v>20</v>
      </c>
      <c r="Q140" s="43" t="s">
        <v>25</v>
      </c>
    </row>
    <row r="141" spans="3:17" ht="58" x14ac:dyDescent="0.35">
      <c r="C141" s="94">
        <v>3</v>
      </c>
      <c r="D141" s="35" t="s">
        <v>330</v>
      </c>
      <c r="E141" s="36">
        <v>21903</v>
      </c>
      <c r="F141" s="36" t="s">
        <v>331</v>
      </c>
      <c r="G141" s="41">
        <v>1</v>
      </c>
      <c r="H141" s="37" t="s">
        <v>335</v>
      </c>
      <c r="I141" s="38" t="s">
        <v>333</v>
      </c>
      <c r="J141" s="55">
        <f>ROUND(22440*(1-0.1997%),0)</f>
        <v>22395</v>
      </c>
      <c r="K141" s="42" t="s">
        <v>17</v>
      </c>
      <c r="L141" s="60">
        <v>45601</v>
      </c>
      <c r="M141" s="39" t="s">
        <v>18</v>
      </c>
      <c r="N141" s="43" t="s">
        <v>25</v>
      </c>
      <c r="O141" s="44" t="s">
        <v>19</v>
      </c>
      <c r="P141" s="80" t="s">
        <v>81</v>
      </c>
      <c r="Q141" s="43" t="s">
        <v>25</v>
      </c>
    </row>
    <row r="142" spans="3:17" ht="87" x14ac:dyDescent="0.35">
      <c r="C142" s="94">
        <v>4</v>
      </c>
      <c r="D142" s="35" t="s">
        <v>330</v>
      </c>
      <c r="E142" s="36">
        <v>25550</v>
      </c>
      <c r="F142" s="36" t="s">
        <v>331</v>
      </c>
      <c r="G142" s="41">
        <v>1</v>
      </c>
      <c r="H142" s="37" t="s">
        <v>336</v>
      </c>
      <c r="I142" s="38" t="s">
        <v>333</v>
      </c>
      <c r="J142" s="55">
        <f>ROUND(2831647*(1-0.1997%),0)+1-50000</f>
        <v>2775993</v>
      </c>
      <c r="K142" s="42" t="s">
        <v>17</v>
      </c>
      <c r="L142" s="60" t="s">
        <v>15</v>
      </c>
      <c r="M142" s="39" t="s">
        <v>18</v>
      </c>
      <c r="N142" s="43" t="s">
        <v>19</v>
      </c>
      <c r="O142" s="44" t="s">
        <v>19</v>
      </c>
      <c r="P142" s="42" t="s">
        <v>20</v>
      </c>
      <c r="Q142" s="43" t="s">
        <v>25</v>
      </c>
    </row>
    <row r="143" spans="3:17" ht="72.5" x14ac:dyDescent="0.35">
      <c r="C143" s="94">
        <v>5</v>
      </c>
      <c r="D143" s="35" t="s">
        <v>330</v>
      </c>
      <c r="E143" s="36" t="s">
        <v>337</v>
      </c>
      <c r="F143" s="36" t="s">
        <v>331</v>
      </c>
      <c r="G143" s="41">
        <v>1</v>
      </c>
      <c r="H143" s="37" t="s">
        <v>338</v>
      </c>
      <c r="I143" s="38" t="s">
        <v>333</v>
      </c>
      <c r="J143" s="55">
        <f>ROUND(884923*(1-0.1997%),0)-6384</f>
        <v>876772</v>
      </c>
      <c r="K143" s="42" t="s">
        <v>17</v>
      </c>
      <c r="L143" s="81">
        <v>45425</v>
      </c>
      <c r="M143" s="36" t="s">
        <v>18</v>
      </c>
      <c r="N143" s="42" t="s">
        <v>19</v>
      </c>
      <c r="O143" s="44" t="s">
        <v>19</v>
      </c>
      <c r="P143" s="42" t="s">
        <v>41</v>
      </c>
      <c r="Q143" s="42" t="s">
        <v>25</v>
      </c>
    </row>
    <row r="144" spans="3:17" ht="58" x14ac:dyDescent="0.35">
      <c r="C144" s="94">
        <v>6</v>
      </c>
      <c r="D144" s="35" t="s">
        <v>330</v>
      </c>
      <c r="E144" s="36">
        <v>24015</v>
      </c>
      <c r="F144" s="36" t="s">
        <v>331</v>
      </c>
      <c r="G144" s="41">
        <v>1</v>
      </c>
      <c r="H144" s="37" t="s">
        <v>339</v>
      </c>
      <c r="I144" s="38" t="s">
        <v>333</v>
      </c>
      <c r="J144" s="55">
        <f>ROUND(3196715*(1-0.1997%),0)-93616</f>
        <v>3096715</v>
      </c>
      <c r="K144" s="42" t="s">
        <v>17</v>
      </c>
      <c r="L144" s="60" t="s">
        <v>15</v>
      </c>
      <c r="M144" s="36" t="s">
        <v>18</v>
      </c>
      <c r="N144" s="42" t="s">
        <v>19</v>
      </c>
      <c r="O144" s="44" t="s">
        <v>19</v>
      </c>
      <c r="P144" s="42" t="s">
        <v>81</v>
      </c>
      <c r="Q144" s="42" t="s">
        <v>25</v>
      </c>
    </row>
    <row r="145" spans="3:17" ht="58" x14ac:dyDescent="0.35">
      <c r="C145" s="94">
        <v>7</v>
      </c>
      <c r="D145" s="35" t="s">
        <v>330</v>
      </c>
      <c r="E145" s="36">
        <v>15008</v>
      </c>
      <c r="F145" s="36" t="s">
        <v>331</v>
      </c>
      <c r="G145" s="41">
        <v>1</v>
      </c>
      <c r="H145" s="37" t="s">
        <v>340</v>
      </c>
      <c r="I145" s="38" t="s">
        <v>333</v>
      </c>
      <c r="J145" s="55">
        <v>150000</v>
      </c>
      <c r="K145" s="42" t="s">
        <v>17</v>
      </c>
      <c r="L145" s="60">
        <v>45474</v>
      </c>
      <c r="M145" s="36" t="s">
        <v>18</v>
      </c>
      <c r="N145" s="42" t="s">
        <v>19</v>
      </c>
      <c r="O145" s="44" t="s">
        <v>19</v>
      </c>
      <c r="P145" s="42" t="s">
        <v>149</v>
      </c>
      <c r="Q145" s="42" t="s">
        <v>25</v>
      </c>
    </row>
    <row r="146" spans="3:17" ht="87" x14ac:dyDescent="0.35">
      <c r="C146" s="94">
        <v>8</v>
      </c>
      <c r="D146" s="35" t="s">
        <v>330</v>
      </c>
      <c r="E146" s="36">
        <v>25518</v>
      </c>
      <c r="F146" s="36" t="s">
        <v>331</v>
      </c>
      <c r="G146" s="41">
        <v>1</v>
      </c>
      <c r="H146" s="37" t="s">
        <v>341</v>
      </c>
      <c r="I146" s="38" t="s">
        <v>333</v>
      </c>
      <c r="J146" s="55">
        <f>ROUND(106524*(1-0.1997%),0)+1</f>
        <v>106312</v>
      </c>
      <c r="K146" s="42" t="s">
        <v>17</v>
      </c>
      <c r="L146" s="60" t="s">
        <v>15</v>
      </c>
      <c r="M146" s="36" t="s">
        <v>18</v>
      </c>
      <c r="N146" s="42" t="s">
        <v>19</v>
      </c>
      <c r="O146" s="44" t="s">
        <v>19</v>
      </c>
      <c r="P146" s="42" t="s">
        <v>20</v>
      </c>
      <c r="Q146" s="42" t="s">
        <v>25</v>
      </c>
    </row>
    <row r="147" spans="3:17" ht="87" x14ac:dyDescent="0.35">
      <c r="C147" s="94">
        <v>9</v>
      </c>
      <c r="D147" s="35" t="s">
        <v>330</v>
      </c>
      <c r="E147" s="36">
        <v>22764</v>
      </c>
      <c r="F147" s="36" t="s">
        <v>331</v>
      </c>
      <c r="G147" s="41">
        <v>1</v>
      </c>
      <c r="H147" s="37" t="s">
        <v>342</v>
      </c>
      <c r="I147" s="38" t="s">
        <v>333</v>
      </c>
      <c r="J147" s="55">
        <f>ROUND(300000*(1-0.1997%),0)</f>
        <v>299401</v>
      </c>
      <c r="K147" s="42" t="s">
        <v>17</v>
      </c>
      <c r="L147" s="60" t="s">
        <v>15</v>
      </c>
      <c r="M147" s="36" t="s">
        <v>18</v>
      </c>
      <c r="N147" s="42" t="s">
        <v>19</v>
      </c>
      <c r="O147" s="44" t="s">
        <v>19</v>
      </c>
      <c r="P147" s="42" t="s">
        <v>20</v>
      </c>
      <c r="Q147" s="42" t="s">
        <v>25</v>
      </c>
    </row>
    <row r="148" spans="3:17" ht="87" x14ac:dyDescent="0.35">
      <c r="C148" s="94">
        <v>10</v>
      </c>
      <c r="D148" s="35" t="s">
        <v>330</v>
      </c>
      <c r="E148" s="36">
        <v>22764</v>
      </c>
      <c r="F148" s="36" t="s">
        <v>331</v>
      </c>
      <c r="G148" s="41">
        <v>1</v>
      </c>
      <c r="H148" s="37" t="s">
        <v>343</v>
      </c>
      <c r="I148" s="38" t="s">
        <v>333</v>
      </c>
      <c r="J148" s="55">
        <f>ROUND(24319*(1-0.1997%),0)</f>
        <v>24270</v>
      </c>
      <c r="K148" s="42" t="s">
        <v>17</v>
      </c>
      <c r="L148" s="60" t="s">
        <v>15</v>
      </c>
      <c r="M148" s="36" t="s">
        <v>18</v>
      </c>
      <c r="N148" s="42" t="s">
        <v>19</v>
      </c>
      <c r="O148" s="44" t="s">
        <v>19</v>
      </c>
      <c r="P148" s="42" t="s">
        <v>20</v>
      </c>
      <c r="Q148" s="42" t="s">
        <v>25</v>
      </c>
    </row>
    <row r="149" spans="3:17" ht="58" x14ac:dyDescent="0.35">
      <c r="C149" s="94">
        <v>11</v>
      </c>
      <c r="D149" s="35" t="s">
        <v>330</v>
      </c>
      <c r="E149" s="36">
        <v>5720</v>
      </c>
      <c r="F149" s="36" t="s">
        <v>344</v>
      </c>
      <c r="G149" s="41">
        <v>1</v>
      </c>
      <c r="H149" s="40" t="s">
        <v>345</v>
      </c>
      <c r="I149" s="38" t="s">
        <v>333</v>
      </c>
      <c r="J149" s="55">
        <f>ROUND(121060*(1-0.1997%),0)</f>
        <v>120818</v>
      </c>
      <c r="K149" s="42" t="s">
        <v>80</v>
      </c>
      <c r="L149" s="81">
        <v>45383</v>
      </c>
      <c r="M149" s="36" t="s">
        <v>18</v>
      </c>
      <c r="N149" s="42" t="s">
        <v>19</v>
      </c>
      <c r="O149" s="44" t="s">
        <v>19</v>
      </c>
      <c r="P149" s="42" t="s">
        <v>149</v>
      </c>
      <c r="Q149" s="42" t="s">
        <v>25</v>
      </c>
    </row>
    <row r="150" spans="3:17" ht="87" x14ac:dyDescent="0.35">
      <c r="C150" s="94">
        <v>12</v>
      </c>
      <c r="D150" s="35" t="s">
        <v>330</v>
      </c>
      <c r="E150" s="36">
        <v>23094</v>
      </c>
      <c r="F150" s="36" t="s">
        <v>330</v>
      </c>
      <c r="G150" s="41">
        <v>1</v>
      </c>
      <c r="H150" s="37" t="s">
        <v>346</v>
      </c>
      <c r="I150" s="38" t="s">
        <v>333</v>
      </c>
      <c r="J150" s="55">
        <f>ROUND(312991*(1-0.1997%),0)</f>
        <v>312366</v>
      </c>
      <c r="K150" s="42" t="s">
        <v>17</v>
      </c>
      <c r="L150" s="60" t="s">
        <v>15</v>
      </c>
      <c r="M150" s="36" t="s">
        <v>18</v>
      </c>
      <c r="N150" s="42" t="s">
        <v>19</v>
      </c>
      <c r="O150" s="44" t="s">
        <v>19</v>
      </c>
      <c r="P150" s="42" t="s">
        <v>20</v>
      </c>
      <c r="Q150" s="42" t="s">
        <v>25</v>
      </c>
    </row>
    <row r="151" spans="3:17" ht="58" x14ac:dyDescent="0.35">
      <c r="C151" s="94">
        <v>13</v>
      </c>
      <c r="D151" s="35" t="s">
        <v>330</v>
      </c>
      <c r="E151" s="36">
        <v>22764</v>
      </c>
      <c r="F151" s="36" t="s">
        <v>331</v>
      </c>
      <c r="G151" s="41">
        <v>1</v>
      </c>
      <c r="H151" s="37" t="s">
        <v>347</v>
      </c>
      <c r="I151" s="38" t="s">
        <v>333</v>
      </c>
      <c r="J151" s="55">
        <f>ROUND(9000*(1-0.1997%),0)</f>
        <v>8982</v>
      </c>
      <c r="K151" s="42" t="s">
        <v>80</v>
      </c>
      <c r="L151" s="60" t="s">
        <v>15</v>
      </c>
      <c r="M151" s="36" t="s">
        <v>18</v>
      </c>
      <c r="N151" s="42" t="s">
        <v>25</v>
      </c>
      <c r="O151" s="44" t="s">
        <v>19</v>
      </c>
      <c r="P151" s="42" t="s">
        <v>29</v>
      </c>
      <c r="Q151" s="42" t="s">
        <v>25</v>
      </c>
    </row>
    <row r="152" spans="3:17" ht="58" x14ac:dyDescent="0.35">
      <c r="C152" s="94">
        <v>14</v>
      </c>
      <c r="D152" s="35" t="s">
        <v>330</v>
      </c>
      <c r="E152" s="36">
        <v>16195</v>
      </c>
      <c r="F152" s="36" t="s">
        <v>331</v>
      </c>
      <c r="G152" s="41">
        <v>1</v>
      </c>
      <c r="H152" s="37" t="s">
        <v>348</v>
      </c>
      <c r="I152" s="38" t="s">
        <v>333</v>
      </c>
      <c r="J152" s="55">
        <f>ROUND(349*(1-0.1997%),0)</f>
        <v>348</v>
      </c>
      <c r="K152" s="42" t="s">
        <v>80</v>
      </c>
      <c r="L152" s="60">
        <v>45352</v>
      </c>
      <c r="M152" s="36" t="s">
        <v>18</v>
      </c>
      <c r="N152" s="42" t="s">
        <v>25</v>
      </c>
      <c r="O152" s="82" t="s">
        <v>19</v>
      </c>
      <c r="P152" s="42" t="s">
        <v>29</v>
      </c>
      <c r="Q152" s="42" t="s">
        <v>25</v>
      </c>
    </row>
    <row r="153" spans="3:17" ht="58" x14ac:dyDescent="0.35">
      <c r="C153" s="94">
        <v>15</v>
      </c>
      <c r="D153" s="35" t="s">
        <v>330</v>
      </c>
      <c r="E153" s="36">
        <v>16195</v>
      </c>
      <c r="F153" s="36" t="s">
        <v>331</v>
      </c>
      <c r="G153" s="41">
        <v>1</v>
      </c>
      <c r="H153" s="37" t="s">
        <v>349</v>
      </c>
      <c r="I153" s="38" t="s">
        <v>333</v>
      </c>
      <c r="J153" s="55">
        <f>ROUND(4000*(1-0.1997%),0)</f>
        <v>3992</v>
      </c>
      <c r="K153" s="42" t="s">
        <v>80</v>
      </c>
      <c r="L153" s="60" t="s">
        <v>15</v>
      </c>
      <c r="M153" s="36" t="s">
        <v>18</v>
      </c>
      <c r="N153" s="42" t="s">
        <v>25</v>
      </c>
      <c r="O153" s="83" t="s">
        <v>25</v>
      </c>
      <c r="P153" s="42" t="s">
        <v>29</v>
      </c>
      <c r="Q153" s="42" t="s">
        <v>25</v>
      </c>
    </row>
    <row r="154" spans="3:17" ht="58" x14ac:dyDescent="0.35">
      <c r="C154" s="94">
        <v>16</v>
      </c>
      <c r="D154" s="35" t="s">
        <v>330</v>
      </c>
      <c r="E154" s="36">
        <v>3662</v>
      </c>
      <c r="F154" s="36" t="s">
        <v>344</v>
      </c>
      <c r="G154" s="41">
        <v>527</v>
      </c>
      <c r="H154" s="37" t="s">
        <v>350</v>
      </c>
      <c r="I154" s="38" t="s">
        <v>333</v>
      </c>
      <c r="J154" s="55">
        <f>ROUND(28000*(1-0.1997%),0)</f>
        <v>27944</v>
      </c>
      <c r="K154" s="42" t="s">
        <v>80</v>
      </c>
      <c r="L154" s="60">
        <v>45536</v>
      </c>
      <c r="M154" s="36" t="s">
        <v>18</v>
      </c>
      <c r="N154" s="43" t="s">
        <v>25</v>
      </c>
      <c r="O154" s="82" t="s">
        <v>25</v>
      </c>
      <c r="P154" s="42" t="s">
        <v>149</v>
      </c>
      <c r="Q154" s="43" t="s">
        <v>25</v>
      </c>
    </row>
    <row r="155" spans="3:17" ht="58" x14ac:dyDescent="0.35">
      <c r="C155" s="94">
        <v>17</v>
      </c>
      <c r="D155" s="35" t="s">
        <v>330</v>
      </c>
      <c r="E155" s="36">
        <v>16195</v>
      </c>
      <c r="F155" s="36" t="s">
        <v>331</v>
      </c>
      <c r="G155" s="41">
        <v>10</v>
      </c>
      <c r="H155" s="37" t="s">
        <v>351</v>
      </c>
      <c r="I155" s="38" t="s">
        <v>333</v>
      </c>
      <c r="J155" s="55">
        <f>ROUND(2000*(1-0.1997%),0)</f>
        <v>1996</v>
      </c>
      <c r="K155" s="42" t="s">
        <v>17</v>
      </c>
      <c r="L155" s="60" t="s">
        <v>15</v>
      </c>
      <c r="M155" s="36" t="s">
        <v>18</v>
      </c>
      <c r="N155" s="42" t="s">
        <v>25</v>
      </c>
      <c r="O155" s="83" t="s">
        <v>25</v>
      </c>
      <c r="P155" s="42" t="s">
        <v>29</v>
      </c>
      <c r="Q155" s="42" t="s">
        <v>25</v>
      </c>
    </row>
    <row r="156" spans="3:17" ht="72.5" x14ac:dyDescent="0.35">
      <c r="C156" s="94">
        <v>18</v>
      </c>
      <c r="D156" s="35" t="s">
        <v>330</v>
      </c>
      <c r="E156" s="36">
        <v>90255</v>
      </c>
      <c r="F156" s="36" t="s">
        <v>344</v>
      </c>
      <c r="G156" s="41">
        <v>1</v>
      </c>
      <c r="H156" s="37" t="s">
        <v>352</v>
      </c>
      <c r="I156" s="38" t="s">
        <v>333</v>
      </c>
      <c r="J156" s="55">
        <f>ROUND(30000*(1-0.1997%),0)</f>
        <v>29940</v>
      </c>
      <c r="K156" s="42" t="s">
        <v>17</v>
      </c>
      <c r="L156" s="60">
        <v>45536</v>
      </c>
      <c r="M156" s="36" t="s">
        <v>353</v>
      </c>
      <c r="N156" s="42" t="s">
        <v>19</v>
      </c>
      <c r="O156" s="44" t="s">
        <v>25</v>
      </c>
      <c r="P156" s="42" t="s">
        <v>149</v>
      </c>
      <c r="Q156" s="42" t="s">
        <v>25</v>
      </c>
    </row>
    <row r="157" spans="3:17" ht="87" x14ac:dyDescent="0.35">
      <c r="C157" s="94">
        <v>19</v>
      </c>
      <c r="D157" s="35" t="s">
        <v>330</v>
      </c>
      <c r="E157" s="36">
        <v>23094</v>
      </c>
      <c r="F157" s="36" t="s">
        <v>344</v>
      </c>
      <c r="G157" s="41">
        <v>1</v>
      </c>
      <c r="H157" s="40" t="s">
        <v>354</v>
      </c>
      <c r="I157" s="38" t="s">
        <v>333</v>
      </c>
      <c r="J157" s="55">
        <f>ROUND(60856*(1-0.1997%),0)</f>
        <v>60734</v>
      </c>
      <c r="K157" s="42" t="s">
        <v>17</v>
      </c>
      <c r="L157" s="60" t="s">
        <v>15</v>
      </c>
      <c r="M157" s="36" t="s">
        <v>353</v>
      </c>
      <c r="N157" s="42" t="s">
        <v>25</v>
      </c>
      <c r="O157" s="44" t="s">
        <v>25</v>
      </c>
      <c r="P157" s="42" t="s">
        <v>20</v>
      </c>
      <c r="Q157" s="42" t="s">
        <v>25</v>
      </c>
    </row>
    <row r="158" spans="3:17" ht="72.5" x14ac:dyDescent="0.35">
      <c r="C158" s="94">
        <v>20</v>
      </c>
      <c r="D158" s="35" t="s">
        <v>330</v>
      </c>
      <c r="E158" s="36">
        <v>344561</v>
      </c>
      <c r="F158" s="36" t="s">
        <v>344</v>
      </c>
      <c r="G158" s="41">
        <v>60000</v>
      </c>
      <c r="H158" s="37" t="s">
        <v>355</v>
      </c>
      <c r="I158" s="38" t="s">
        <v>333</v>
      </c>
      <c r="J158" s="55">
        <f>ROUND(300000*(1-0.1997%),0)</f>
        <v>299401</v>
      </c>
      <c r="K158" s="42" t="s">
        <v>80</v>
      </c>
      <c r="L158" s="60">
        <v>45505</v>
      </c>
      <c r="M158" s="36" t="s">
        <v>353</v>
      </c>
      <c r="N158" s="42" t="s">
        <v>25</v>
      </c>
      <c r="O158" s="44" t="s">
        <v>25</v>
      </c>
      <c r="P158" s="42" t="s">
        <v>149</v>
      </c>
      <c r="Q158" s="42" t="s">
        <v>25</v>
      </c>
    </row>
    <row r="159" spans="3:17" ht="72.5" x14ac:dyDescent="0.35">
      <c r="C159" s="94">
        <v>21</v>
      </c>
      <c r="D159" s="35" t="s">
        <v>330</v>
      </c>
      <c r="E159" s="36">
        <v>344561</v>
      </c>
      <c r="F159" s="36" t="s">
        <v>344</v>
      </c>
      <c r="G159" s="41">
        <v>2000</v>
      </c>
      <c r="H159" s="37" t="s">
        <v>356</v>
      </c>
      <c r="I159" s="38" t="s">
        <v>333</v>
      </c>
      <c r="J159" s="55">
        <f>ROUND(30000*(1-0.1997%),0)</f>
        <v>29940</v>
      </c>
      <c r="K159" s="42" t="s">
        <v>80</v>
      </c>
      <c r="L159" s="60">
        <v>45505</v>
      </c>
      <c r="M159" s="36" t="s">
        <v>353</v>
      </c>
      <c r="N159" s="42" t="s">
        <v>25</v>
      </c>
      <c r="O159" s="44" t="s">
        <v>25</v>
      </c>
      <c r="P159" s="42" t="s">
        <v>149</v>
      </c>
      <c r="Q159" s="42" t="s">
        <v>25</v>
      </c>
    </row>
    <row r="160" spans="3:17" ht="72.5" x14ac:dyDescent="0.35">
      <c r="C160" s="94">
        <v>22</v>
      </c>
      <c r="D160" s="35" t="s">
        <v>330</v>
      </c>
      <c r="E160" s="36">
        <v>291740</v>
      </c>
      <c r="F160" s="36" t="s">
        <v>344</v>
      </c>
      <c r="G160" s="41">
        <v>15000</v>
      </c>
      <c r="H160" s="37" t="s">
        <v>357</v>
      </c>
      <c r="I160" s="38" t="s">
        <v>333</v>
      </c>
      <c r="J160" s="55">
        <f>ROUND(150000*(1-0.1997%),0)</f>
        <v>149700</v>
      </c>
      <c r="K160" s="42" t="s">
        <v>80</v>
      </c>
      <c r="L160" s="60">
        <v>45505</v>
      </c>
      <c r="M160" s="36" t="s">
        <v>353</v>
      </c>
      <c r="N160" s="42" t="s">
        <v>25</v>
      </c>
      <c r="O160" s="44" t="s">
        <v>25</v>
      </c>
      <c r="P160" s="42" t="s">
        <v>149</v>
      </c>
      <c r="Q160" s="42" t="s">
        <v>25</v>
      </c>
    </row>
    <row r="161" spans="3:17" ht="72.5" x14ac:dyDescent="0.35">
      <c r="C161" s="94">
        <v>23</v>
      </c>
      <c r="D161" s="35" t="s">
        <v>330</v>
      </c>
      <c r="E161" s="36">
        <v>605999</v>
      </c>
      <c r="F161" s="36" t="s">
        <v>344</v>
      </c>
      <c r="G161" s="41">
        <v>10000</v>
      </c>
      <c r="H161" s="37" t="s">
        <v>358</v>
      </c>
      <c r="I161" s="38" t="s">
        <v>333</v>
      </c>
      <c r="J161" s="55">
        <f>ROUND(80000*(1-0.1997%),0)</f>
        <v>79840</v>
      </c>
      <c r="K161" s="42" t="s">
        <v>80</v>
      </c>
      <c r="L161" s="60">
        <v>45505</v>
      </c>
      <c r="M161" s="36" t="s">
        <v>353</v>
      </c>
      <c r="N161" s="42" t="s">
        <v>25</v>
      </c>
      <c r="O161" s="44" t="s">
        <v>25</v>
      </c>
      <c r="P161" s="42" t="s">
        <v>149</v>
      </c>
      <c r="Q161" s="42" t="s">
        <v>25</v>
      </c>
    </row>
    <row r="162" spans="3:17" ht="72.5" x14ac:dyDescent="0.35">
      <c r="C162" s="94">
        <v>24</v>
      </c>
      <c r="D162" s="35" t="s">
        <v>330</v>
      </c>
      <c r="E162" s="36">
        <v>127450</v>
      </c>
      <c r="F162" s="36" t="s">
        <v>344</v>
      </c>
      <c r="G162" s="41">
        <v>10</v>
      </c>
      <c r="H162" s="37" t="s">
        <v>359</v>
      </c>
      <c r="I162" s="38" t="s">
        <v>333</v>
      </c>
      <c r="J162" s="55">
        <f>ROUND(5000*(1-0.1997%),0)</f>
        <v>4990</v>
      </c>
      <c r="K162" s="42" t="s">
        <v>80</v>
      </c>
      <c r="L162" s="60">
        <v>45505</v>
      </c>
      <c r="M162" s="36" t="s">
        <v>353</v>
      </c>
      <c r="N162" s="42" t="s">
        <v>25</v>
      </c>
      <c r="O162" s="44" t="s">
        <v>25</v>
      </c>
      <c r="P162" s="42" t="s">
        <v>149</v>
      </c>
      <c r="Q162" s="42" t="s">
        <v>25</v>
      </c>
    </row>
    <row r="163" spans="3:17" ht="72.5" x14ac:dyDescent="0.35">
      <c r="C163" s="94">
        <v>25</v>
      </c>
      <c r="D163" s="35" t="s">
        <v>330</v>
      </c>
      <c r="E163" s="36">
        <v>127450</v>
      </c>
      <c r="F163" s="36" t="s">
        <v>344</v>
      </c>
      <c r="G163" s="41">
        <v>50</v>
      </c>
      <c r="H163" s="37" t="s">
        <v>360</v>
      </c>
      <c r="I163" s="38" t="s">
        <v>333</v>
      </c>
      <c r="J163" s="55">
        <f>ROUND(18000*(1-0.1997%),0)</f>
        <v>17964</v>
      </c>
      <c r="K163" s="42" t="s">
        <v>80</v>
      </c>
      <c r="L163" s="60">
        <v>45505</v>
      </c>
      <c r="M163" s="36" t="s">
        <v>353</v>
      </c>
      <c r="N163" s="42" t="s">
        <v>25</v>
      </c>
      <c r="O163" s="44" t="s">
        <v>25</v>
      </c>
      <c r="P163" s="42" t="s">
        <v>149</v>
      </c>
      <c r="Q163" s="42" t="s">
        <v>25</v>
      </c>
    </row>
    <row r="164" spans="3:17" ht="72.5" x14ac:dyDescent="0.35">
      <c r="C164" s="94">
        <v>26</v>
      </c>
      <c r="D164" s="35" t="s">
        <v>330</v>
      </c>
      <c r="E164" s="36">
        <v>604547</v>
      </c>
      <c r="F164" s="36" t="s">
        <v>344</v>
      </c>
      <c r="G164" s="41">
        <v>150</v>
      </c>
      <c r="H164" s="37" t="s">
        <v>361</v>
      </c>
      <c r="I164" s="38" t="s">
        <v>333</v>
      </c>
      <c r="J164" s="55">
        <f>ROUND(45000*(1-0.1997%),0)</f>
        <v>44910</v>
      </c>
      <c r="K164" s="42" t="s">
        <v>80</v>
      </c>
      <c r="L164" s="60">
        <v>45505</v>
      </c>
      <c r="M164" s="36" t="s">
        <v>353</v>
      </c>
      <c r="N164" s="42" t="s">
        <v>25</v>
      </c>
      <c r="O164" s="44" t="s">
        <v>25</v>
      </c>
      <c r="P164" s="42" t="s">
        <v>149</v>
      </c>
      <c r="Q164" s="42" t="s">
        <v>25</v>
      </c>
    </row>
    <row r="165" spans="3:17" ht="72.5" x14ac:dyDescent="0.35">
      <c r="C165" s="94">
        <v>27</v>
      </c>
      <c r="D165" s="35" t="s">
        <v>330</v>
      </c>
      <c r="E165" s="36">
        <v>606000</v>
      </c>
      <c r="F165" s="36" t="s">
        <v>344</v>
      </c>
      <c r="G165" s="41">
        <v>300</v>
      </c>
      <c r="H165" s="37" t="s">
        <v>362</v>
      </c>
      <c r="I165" s="38" t="s">
        <v>333</v>
      </c>
      <c r="J165" s="55">
        <f>ROUND(15000*(1-0.1997%),0)</f>
        <v>14970</v>
      </c>
      <c r="K165" s="42" t="s">
        <v>80</v>
      </c>
      <c r="L165" s="60">
        <v>45505</v>
      </c>
      <c r="M165" s="36" t="s">
        <v>353</v>
      </c>
      <c r="N165" s="42" t="s">
        <v>25</v>
      </c>
      <c r="O165" s="44" t="s">
        <v>25</v>
      </c>
      <c r="P165" s="42" t="s">
        <v>149</v>
      </c>
      <c r="Q165" s="42" t="s">
        <v>25</v>
      </c>
    </row>
    <row r="166" spans="3:17" ht="72.5" x14ac:dyDescent="0.35">
      <c r="C166" s="94">
        <v>28</v>
      </c>
      <c r="D166" s="35" t="s">
        <v>330</v>
      </c>
      <c r="E166" s="36">
        <v>304599</v>
      </c>
      <c r="F166" s="36" t="s">
        <v>344</v>
      </c>
      <c r="G166" s="41">
        <v>100</v>
      </c>
      <c r="H166" s="37" t="s">
        <v>363</v>
      </c>
      <c r="I166" s="38" t="s">
        <v>333</v>
      </c>
      <c r="J166" s="55">
        <f>ROUND(50000*(1-0.1997%),0)</f>
        <v>49900</v>
      </c>
      <c r="K166" s="42" t="s">
        <v>80</v>
      </c>
      <c r="L166" s="60">
        <v>45505</v>
      </c>
      <c r="M166" s="36" t="s">
        <v>353</v>
      </c>
      <c r="N166" s="42" t="s">
        <v>25</v>
      </c>
      <c r="O166" s="44" t="s">
        <v>25</v>
      </c>
      <c r="P166" s="42" t="s">
        <v>149</v>
      </c>
      <c r="Q166" s="42" t="s">
        <v>25</v>
      </c>
    </row>
    <row r="167" spans="3:17" ht="72.5" x14ac:dyDescent="0.35">
      <c r="C167" s="94">
        <v>29</v>
      </c>
      <c r="D167" s="35" t="s">
        <v>330</v>
      </c>
      <c r="E167" s="36">
        <v>304599</v>
      </c>
      <c r="F167" s="36" t="s">
        <v>344</v>
      </c>
      <c r="G167" s="41">
        <v>25</v>
      </c>
      <c r="H167" s="37" t="s">
        <v>364</v>
      </c>
      <c r="I167" s="38" t="s">
        <v>333</v>
      </c>
      <c r="J167" s="55">
        <f>ROUND(10000*(1-0.1997%),0)</f>
        <v>9980</v>
      </c>
      <c r="K167" s="42" t="s">
        <v>80</v>
      </c>
      <c r="L167" s="60">
        <v>45505</v>
      </c>
      <c r="M167" s="36" t="s">
        <v>353</v>
      </c>
      <c r="N167" s="42" t="s">
        <v>25</v>
      </c>
      <c r="O167" s="44" t="s">
        <v>25</v>
      </c>
      <c r="P167" s="42" t="s">
        <v>149</v>
      </c>
      <c r="Q167" s="42" t="s">
        <v>25</v>
      </c>
    </row>
    <row r="168" spans="3:17" ht="72.5" x14ac:dyDescent="0.35">
      <c r="C168" s="94">
        <v>30</v>
      </c>
      <c r="D168" s="35" t="s">
        <v>330</v>
      </c>
      <c r="E168" s="36">
        <v>276414</v>
      </c>
      <c r="F168" s="36" t="s">
        <v>344</v>
      </c>
      <c r="G168" s="41">
        <v>150</v>
      </c>
      <c r="H168" s="37" t="s">
        <v>365</v>
      </c>
      <c r="I168" s="38" t="s">
        <v>333</v>
      </c>
      <c r="J168" s="55">
        <f>ROUND(50000*(1-0.1997%),0)</f>
        <v>49900</v>
      </c>
      <c r="K168" s="42" t="s">
        <v>80</v>
      </c>
      <c r="L168" s="60">
        <v>45505</v>
      </c>
      <c r="M168" s="36" t="s">
        <v>353</v>
      </c>
      <c r="N168" s="42" t="s">
        <v>25</v>
      </c>
      <c r="O168" s="44" t="s">
        <v>25</v>
      </c>
      <c r="P168" s="42" t="s">
        <v>149</v>
      </c>
      <c r="Q168" s="42" t="s">
        <v>25</v>
      </c>
    </row>
    <row r="169" spans="3:17" ht="72.5" x14ac:dyDescent="0.35">
      <c r="C169" s="94">
        <v>31</v>
      </c>
      <c r="D169" s="35" t="s">
        <v>330</v>
      </c>
      <c r="E169" s="36">
        <v>458224</v>
      </c>
      <c r="F169" s="36" t="s">
        <v>344</v>
      </c>
      <c r="G169" s="41">
        <v>20</v>
      </c>
      <c r="H169" s="37" t="s">
        <v>366</v>
      </c>
      <c r="I169" s="38" t="s">
        <v>333</v>
      </c>
      <c r="J169" s="55">
        <f>ROUND(10000*(1-0.1997%),0)</f>
        <v>9980</v>
      </c>
      <c r="K169" s="42" t="s">
        <v>80</v>
      </c>
      <c r="L169" s="60">
        <v>45505</v>
      </c>
      <c r="M169" s="36" t="s">
        <v>353</v>
      </c>
      <c r="N169" s="42" t="s">
        <v>25</v>
      </c>
      <c r="O169" s="44" t="s">
        <v>25</v>
      </c>
      <c r="P169" s="42" t="s">
        <v>149</v>
      </c>
      <c r="Q169" s="42" t="s">
        <v>25</v>
      </c>
    </row>
    <row r="170" spans="3:17" ht="72.5" x14ac:dyDescent="0.35">
      <c r="C170" s="94">
        <v>32</v>
      </c>
      <c r="D170" s="35" t="s">
        <v>330</v>
      </c>
      <c r="E170" s="36" t="s">
        <v>367</v>
      </c>
      <c r="F170" s="36" t="s">
        <v>344</v>
      </c>
      <c r="G170" s="41">
        <v>30</v>
      </c>
      <c r="H170" s="37" t="s">
        <v>368</v>
      </c>
      <c r="I170" s="38" t="s">
        <v>333</v>
      </c>
      <c r="J170" s="55">
        <f>ROUND(50000*(1-0.1997%),0)</f>
        <v>49900</v>
      </c>
      <c r="K170" s="42" t="s">
        <v>80</v>
      </c>
      <c r="L170" s="60">
        <v>45566</v>
      </c>
      <c r="M170" s="36" t="s">
        <v>353</v>
      </c>
      <c r="N170" s="42" t="s">
        <v>19</v>
      </c>
      <c r="O170" s="44" t="s">
        <v>25</v>
      </c>
      <c r="P170" s="42" t="s">
        <v>149</v>
      </c>
      <c r="Q170" s="42" t="s">
        <v>19</v>
      </c>
    </row>
    <row r="171" spans="3:17" ht="72.5" x14ac:dyDescent="0.35">
      <c r="C171" s="94">
        <v>33</v>
      </c>
      <c r="D171" s="35" t="s">
        <v>330</v>
      </c>
      <c r="E171" s="36">
        <v>602826</v>
      </c>
      <c r="F171" s="36" t="s">
        <v>344</v>
      </c>
      <c r="G171" s="41">
        <v>30</v>
      </c>
      <c r="H171" s="37" t="s">
        <v>369</v>
      </c>
      <c r="I171" s="38" t="s">
        <v>333</v>
      </c>
      <c r="J171" s="55">
        <f>ROUND(12000*(1-0.1997%),0)</f>
        <v>11976</v>
      </c>
      <c r="K171" s="42" t="s">
        <v>80</v>
      </c>
      <c r="L171" s="60">
        <v>45566</v>
      </c>
      <c r="M171" s="36" t="s">
        <v>353</v>
      </c>
      <c r="N171" s="42" t="s">
        <v>25</v>
      </c>
      <c r="O171" s="44" t="s">
        <v>25</v>
      </c>
      <c r="P171" s="42" t="s">
        <v>149</v>
      </c>
      <c r="Q171" s="42" t="s">
        <v>19</v>
      </c>
    </row>
    <row r="172" spans="3:17" ht="72.5" x14ac:dyDescent="0.35">
      <c r="C172" s="94">
        <v>34</v>
      </c>
      <c r="D172" s="35" t="s">
        <v>330</v>
      </c>
      <c r="E172" s="36">
        <v>291676</v>
      </c>
      <c r="F172" s="36" t="s">
        <v>344</v>
      </c>
      <c r="G172" s="41">
        <v>20</v>
      </c>
      <c r="H172" s="37" t="s">
        <v>370</v>
      </c>
      <c r="I172" s="38" t="s">
        <v>333</v>
      </c>
      <c r="J172" s="55">
        <f>ROUND(5000*(1-0.1997%),0)</f>
        <v>4990</v>
      </c>
      <c r="K172" s="42" t="s">
        <v>80</v>
      </c>
      <c r="L172" s="60">
        <v>45566</v>
      </c>
      <c r="M172" s="36" t="s">
        <v>353</v>
      </c>
      <c r="N172" s="42" t="s">
        <v>25</v>
      </c>
      <c r="O172" s="44" t="s">
        <v>25</v>
      </c>
      <c r="P172" s="42" t="s">
        <v>149</v>
      </c>
      <c r="Q172" s="42" t="s">
        <v>19</v>
      </c>
    </row>
    <row r="173" spans="3:17" ht="72.5" x14ac:dyDescent="0.35">
      <c r="C173" s="94">
        <v>35</v>
      </c>
      <c r="D173" s="35" t="s">
        <v>330</v>
      </c>
      <c r="E173" s="36">
        <v>17540</v>
      </c>
      <c r="F173" s="36" t="s">
        <v>344</v>
      </c>
      <c r="G173" s="41">
        <v>20</v>
      </c>
      <c r="H173" s="37" t="s">
        <v>371</v>
      </c>
      <c r="I173" s="38" t="s">
        <v>333</v>
      </c>
      <c r="J173" s="55">
        <f>ROUND(8000*(1-0.1997%),0)</f>
        <v>7984</v>
      </c>
      <c r="K173" s="42" t="s">
        <v>80</v>
      </c>
      <c r="L173" s="60">
        <v>45566</v>
      </c>
      <c r="M173" s="36" t="s">
        <v>353</v>
      </c>
      <c r="N173" s="42" t="s">
        <v>25</v>
      </c>
      <c r="O173" s="44" t="s">
        <v>25</v>
      </c>
      <c r="P173" s="42" t="s">
        <v>149</v>
      </c>
      <c r="Q173" s="42" t="s">
        <v>19</v>
      </c>
    </row>
    <row r="174" spans="3:17" ht="72.5" x14ac:dyDescent="0.35">
      <c r="C174" s="94">
        <v>36</v>
      </c>
      <c r="D174" s="35" t="s">
        <v>330</v>
      </c>
      <c r="E174" s="36">
        <v>484191</v>
      </c>
      <c r="F174" s="36" t="s">
        <v>344</v>
      </c>
      <c r="G174" s="41">
        <v>2</v>
      </c>
      <c r="H174" s="37" t="s">
        <v>372</v>
      </c>
      <c r="I174" s="38" t="s">
        <v>333</v>
      </c>
      <c r="J174" s="55">
        <f>ROUND(12000*(1-0.1997%),0)</f>
        <v>11976</v>
      </c>
      <c r="K174" s="42" t="s">
        <v>73</v>
      </c>
      <c r="L174" s="60">
        <v>45536</v>
      </c>
      <c r="M174" s="36" t="s">
        <v>353</v>
      </c>
      <c r="N174" s="42" t="s">
        <v>25</v>
      </c>
      <c r="O174" s="44" t="s">
        <v>25</v>
      </c>
      <c r="P174" s="42" t="s">
        <v>149</v>
      </c>
      <c r="Q174" s="42" t="s">
        <v>19</v>
      </c>
    </row>
    <row r="175" spans="3:17" ht="72.5" x14ac:dyDescent="0.35">
      <c r="C175" s="94">
        <v>37</v>
      </c>
      <c r="D175" s="35" t="s">
        <v>330</v>
      </c>
      <c r="E175" s="36" t="s">
        <v>373</v>
      </c>
      <c r="F175" s="36" t="s">
        <v>344</v>
      </c>
      <c r="G175" s="41">
        <v>4</v>
      </c>
      <c r="H175" s="37" t="s">
        <v>374</v>
      </c>
      <c r="I175" s="38" t="s">
        <v>333</v>
      </c>
      <c r="J175" s="55">
        <f>ROUND(25000*(1-0.1997%),0)</f>
        <v>24950</v>
      </c>
      <c r="K175" s="42" t="s">
        <v>73</v>
      </c>
      <c r="L175" s="60">
        <v>45536</v>
      </c>
      <c r="M175" s="36" t="s">
        <v>353</v>
      </c>
      <c r="N175" s="42" t="s">
        <v>25</v>
      </c>
      <c r="O175" s="44" t="s">
        <v>25</v>
      </c>
      <c r="P175" s="42" t="s">
        <v>149</v>
      </c>
      <c r="Q175" s="42" t="s">
        <v>19</v>
      </c>
    </row>
    <row r="176" spans="3:17" ht="72.5" x14ac:dyDescent="0.35">
      <c r="C176" s="94">
        <v>38</v>
      </c>
      <c r="D176" s="35" t="s">
        <v>330</v>
      </c>
      <c r="E176" s="36">
        <v>284158</v>
      </c>
      <c r="F176" s="36" t="s">
        <v>344</v>
      </c>
      <c r="G176" s="41">
        <v>8</v>
      </c>
      <c r="H176" s="37" t="s">
        <v>375</v>
      </c>
      <c r="I176" s="38" t="s">
        <v>333</v>
      </c>
      <c r="J176" s="55">
        <f>ROUND(45000*(1-0.1997%),0)</f>
        <v>44910</v>
      </c>
      <c r="K176" s="42" t="s">
        <v>73</v>
      </c>
      <c r="L176" s="60">
        <v>45536</v>
      </c>
      <c r="M176" s="36" t="s">
        <v>353</v>
      </c>
      <c r="N176" s="42" t="s">
        <v>19</v>
      </c>
      <c r="O176" s="44" t="s">
        <v>25</v>
      </c>
      <c r="P176" s="42" t="s">
        <v>149</v>
      </c>
      <c r="Q176" s="42" t="s">
        <v>19</v>
      </c>
    </row>
    <row r="177" spans="3:17" ht="72.5" x14ac:dyDescent="0.35">
      <c r="C177" s="94">
        <v>39</v>
      </c>
      <c r="D177" s="35" t="s">
        <v>330</v>
      </c>
      <c r="E177" s="36">
        <v>284214</v>
      </c>
      <c r="F177" s="36" t="s">
        <v>344</v>
      </c>
      <c r="G177" s="41">
        <v>20</v>
      </c>
      <c r="H177" s="37" t="s">
        <v>376</v>
      </c>
      <c r="I177" s="38" t="s">
        <v>333</v>
      </c>
      <c r="J177" s="55">
        <f>ROUND(40000*(1-0.1997%),0)</f>
        <v>39920</v>
      </c>
      <c r="K177" s="42" t="s">
        <v>80</v>
      </c>
      <c r="L177" s="60">
        <v>45566</v>
      </c>
      <c r="M177" s="36" t="s">
        <v>353</v>
      </c>
      <c r="N177" s="42" t="s">
        <v>19</v>
      </c>
      <c r="O177" s="44" t="s">
        <v>25</v>
      </c>
      <c r="P177" s="42" t="s">
        <v>149</v>
      </c>
      <c r="Q177" s="42" t="s">
        <v>19</v>
      </c>
    </row>
    <row r="178" spans="3:17" ht="72.5" x14ac:dyDescent="0.35">
      <c r="C178" s="94">
        <v>40</v>
      </c>
      <c r="D178" s="35" t="s">
        <v>330</v>
      </c>
      <c r="E178" s="36">
        <v>603802</v>
      </c>
      <c r="F178" s="36" t="s">
        <v>344</v>
      </c>
      <c r="G178" s="41">
        <v>40</v>
      </c>
      <c r="H178" s="37" t="s">
        <v>377</v>
      </c>
      <c r="I178" s="38" t="s">
        <v>333</v>
      </c>
      <c r="J178" s="55">
        <f>ROUND(5000*(1-0.1997%),0)</f>
        <v>4990</v>
      </c>
      <c r="K178" s="42" t="s">
        <v>80</v>
      </c>
      <c r="L178" s="60">
        <v>45566</v>
      </c>
      <c r="M178" s="36" t="s">
        <v>353</v>
      </c>
      <c r="N178" s="42" t="s">
        <v>25</v>
      </c>
      <c r="O178" s="44" t="s">
        <v>25</v>
      </c>
      <c r="P178" s="42" t="s">
        <v>149</v>
      </c>
      <c r="Q178" s="42" t="s">
        <v>19</v>
      </c>
    </row>
    <row r="179" spans="3:17" ht="72.5" x14ac:dyDescent="0.35">
      <c r="C179" s="94">
        <v>41</v>
      </c>
      <c r="D179" s="35" t="s">
        <v>330</v>
      </c>
      <c r="E179" s="36">
        <v>485734</v>
      </c>
      <c r="F179" s="36" t="s">
        <v>344</v>
      </c>
      <c r="G179" s="41">
        <v>18</v>
      </c>
      <c r="H179" s="37" t="s">
        <v>378</v>
      </c>
      <c r="I179" s="38" t="s">
        <v>333</v>
      </c>
      <c r="J179" s="55">
        <f>ROUND(12000*(1-0.1997%),0)</f>
        <v>11976</v>
      </c>
      <c r="K179" s="42" t="s">
        <v>80</v>
      </c>
      <c r="L179" s="60">
        <v>45566</v>
      </c>
      <c r="M179" s="36" t="s">
        <v>353</v>
      </c>
      <c r="N179" s="42" t="s">
        <v>25</v>
      </c>
      <c r="O179" s="44" t="s">
        <v>25</v>
      </c>
      <c r="P179" s="42" t="s">
        <v>149</v>
      </c>
      <c r="Q179" s="42" t="s">
        <v>19</v>
      </c>
    </row>
    <row r="180" spans="3:17" ht="72.5" x14ac:dyDescent="0.35">
      <c r="C180" s="94">
        <v>42</v>
      </c>
      <c r="D180" s="35" t="s">
        <v>330</v>
      </c>
      <c r="E180" s="36">
        <v>607525</v>
      </c>
      <c r="F180" s="36" t="s">
        <v>344</v>
      </c>
      <c r="G180" s="41">
        <v>20</v>
      </c>
      <c r="H180" s="37" t="s">
        <v>379</v>
      </c>
      <c r="I180" s="38" t="s">
        <v>333</v>
      </c>
      <c r="J180" s="55">
        <f>ROUND(10000*(1-0.1997%),0)</f>
        <v>9980</v>
      </c>
      <c r="K180" s="42" t="s">
        <v>80</v>
      </c>
      <c r="L180" s="60">
        <v>45566</v>
      </c>
      <c r="M180" s="36" t="s">
        <v>353</v>
      </c>
      <c r="N180" s="42" t="s">
        <v>25</v>
      </c>
      <c r="O180" s="44" t="s">
        <v>25</v>
      </c>
      <c r="P180" s="42" t="s">
        <v>149</v>
      </c>
      <c r="Q180" s="42" t="s">
        <v>19</v>
      </c>
    </row>
    <row r="181" spans="3:17" ht="72.5" x14ac:dyDescent="0.35">
      <c r="C181" s="94">
        <v>43</v>
      </c>
      <c r="D181" s="35" t="s">
        <v>330</v>
      </c>
      <c r="E181" s="36">
        <v>299812</v>
      </c>
      <c r="F181" s="36" t="s">
        <v>344</v>
      </c>
      <c r="G181" s="41">
        <v>20</v>
      </c>
      <c r="H181" s="37" t="s">
        <v>380</v>
      </c>
      <c r="I181" s="38" t="s">
        <v>333</v>
      </c>
      <c r="J181" s="55">
        <f>ROUND(8000*(1-0.1997%),0)</f>
        <v>7984</v>
      </c>
      <c r="K181" s="42" t="s">
        <v>80</v>
      </c>
      <c r="L181" s="60">
        <v>45566</v>
      </c>
      <c r="M181" s="36" t="s">
        <v>353</v>
      </c>
      <c r="N181" s="42" t="s">
        <v>25</v>
      </c>
      <c r="O181" s="44" t="s">
        <v>25</v>
      </c>
      <c r="P181" s="42" t="s">
        <v>149</v>
      </c>
      <c r="Q181" s="42" t="s">
        <v>19</v>
      </c>
    </row>
    <row r="182" spans="3:17" ht="72.5" x14ac:dyDescent="0.35">
      <c r="C182" s="94">
        <v>44</v>
      </c>
      <c r="D182" s="35" t="s">
        <v>330</v>
      </c>
      <c r="E182" s="36">
        <v>290377</v>
      </c>
      <c r="F182" s="36" t="s">
        <v>344</v>
      </c>
      <c r="G182" s="41">
        <v>12</v>
      </c>
      <c r="H182" s="37" t="s">
        <v>381</v>
      </c>
      <c r="I182" s="38" t="s">
        <v>333</v>
      </c>
      <c r="J182" s="55">
        <f>ROUND(10000*(1-0.1997%),0)</f>
        <v>9980</v>
      </c>
      <c r="K182" s="42" t="s">
        <v>80</v>
      </c>
      <c r="L182" s="60">
        <v>45566</v>
      </c>
      <c r="M182" s="36" t="s">
        <v>353</v>
      </c>
      <c r="N182" s="42" t="s">
        <v>25</v>
      </c>
      <c r="O182" s="44" t="s">
        <v>25</v>
      </c>
      <c r="P182" s="42" t="s">
        <v>149</v>
      </c>
      <c r="Q182" s="42" t="s">
        <v>19</v>
      </c>
    </row>
    <row r="183" spans="3:17" ht="72.5" x14ac:dyDescent="0.35">
      <c r="C183" s="94">
        <v>45</v>
      </c>
      <c r="D183" s="35" t="s">
        <v>330</v>
      </c>
      <c r="E183" s="36">
        <v>427208</v>
      </c>
      <c r="F183" s="36" t="s">
        <v>344</v>
      </c>
      <c r="G183" s="41">
        <v>40</v>
      </c>
      <c r="H183" s="37" t="s">
        <v>382</v>
      </c>
      <c r="I183" s="38" t="s">
        <v>333</v>
      </c>
      <c r="J183" s="55">
        <f>ROUND(5000*(1-0.1997%),0)</f>
        <v>4990</v>
      </c>
      <c r="K183" s="42" t="s">
        <v>73</v>
      </c>
      <c r="L183" s="60">
        <v>45566</v>
      </c>
      <c r="M183" s="36" t="s">
        <v>353</v>
      </c>
      <c r="N183" s="42" t="s">
        <v>25</v>
      </c>
      <c r="O183" s="44" t="s">
        <v>25</v>
      </c>
      <c r="P183" s="42" t="s">
        <v>149</v>
      </c>
      <c r="Q183" s="42" t="s">
        <v>19</v>
      </c>
    </row>
    <row r="184" spans="3:17" ht="72.5" x14ac:dyDescent="0.35">
      <c r="C184" s="94">
        <v>46</v>
      </c>
      <c r="D184" s="35" t="s">
        <v>330</v>
      </c>
      <c r="E184" s="36">
        <v>427207</v>
      </c>
      <c r="F184" s="36" t="s">
        <v>344</v>
      </c>
      <c r="G184" s="41">
        <v>40</v>
      </c>
      <c r="H184" s="37" t="s">
        <v>383</v>
      </c>
      <c r="I184" s="38" t="s">
        <v>333</v>
      </c>
      <c r="J184" s="55">
        <f>ROUND(5000*(1-0.1997%),0)</f>
        <v>4990</v>
      </c>
      <c r="K184" s="42" t="s">
        <v>73</v>
      </c>
      <c r="L184" s="60">
        <v>45566</v>
      </c>
      <c r="M184" s="36" t="s">
        <v>353</v>
      </c>
      <c r="N184" s="42" t="s">
        <v>25</v>
      </c>
      <c r="O184" s="44" t="s">
        <v>25</v>
      </c>
      <c r="P184" s="42" t="s">
        <v>149</v>
      </c>
      <c r="Q184" s="42" t="s">
        <v>19</v>
      </c>
    </row>
    <row r="185" spans="3:17" ht="72.5" x14ac:dyDescent="0.35">
      <c r="C185" s="94">
        <v>47</v>
      </c>
      <c r="D185" s="35" t="s">
        <v>330</v>
      </c>
      <c r="E185" s="36">
        <v>20583</v>
      </c>
      <c r="F185" s="36" t="s">
        <v>344</v>
      </c>
      <c r="G185" s="41">
        <v>1</v>
      </c>
      <c r="H185" s="37" t="s">
        <v>384</v>
      </c>
      <c r="I185" s="38" t="s">
        <v>333</v>
      </c>
      <c r="J185" s="55">
        <f>ROUND(50000*(1-0.1997%),0)</f>
        <v>49900</v>
      </c>
      <c r="K185" s="42" t="s">
        <v>17</v>
      </c>
      <c r="L185" s="60">
        <v>45536</v>
      </c>
      <c r="M185" s="36" t="s">
        <v>353</v>
      </c>
      <c r="N185" s="42" t="s">
        <v>25</v>
      </c>
      <c r="O185" s="44" t="s">
        <v>25</v>
      </c>
      <c r="P185" s="42" t="s">
        <v>149</v>
      </c>
      <c r="Q185" s="42" t="s">
        <v>25</v>
      </c>
    </row>
    <row r="186" spans="3:17" ht="72.5" x14ac:dyDescent="0.35">
      <c r="C186" s="94">
        <v>48</v>
      </c>
      <c r="D186" s="35" t="s">
        <v>330</v>
      </c>
      <c r="E186" s="36">
        <v>238430</v>
      </c>
      <c r="F186" s="36" t="s">
        <v>344</v>
      </c>
      <c r="G186" s="41">
        <v>1</v>
      </c>
      <c r="H186" s="37" t="s">
        <v>385</v>
      </c>
      <c r="I186" s="38" t="s">
        <v>333</v>
      </c>
      <c r="J186" s="55">
        <f>ROUND(20000*(1-0.1997%),0)</f>
        <v>19960</v>
      </c>
      <c r="K186" s="42" t="s">
        <v>73</v>
      </c>
      <c r="L186" s="60">
        <v>45597</v>
      </c>
      <c r="M186" s="36" t="s">
        <v>353</v>
      </c>
      <c r="N186" s="42" t="s">
        <v>19</v>
      </c>
      <c r="O186" s="44" t="s">
        <v>25</v>
      </c>
      <c r="P186" s="42" t="s">
        <v>149</v>
      </c>
      <c r="Q186" s="42" t="s">
        <v>25</v>
      </c>
    </row>
    <row r="187" spans="3:17" ht="72.5" x14ac:dyDescent="0.35">
      <c r="C187" s="94">
        <v>49</v>
      </c>
      <c r="D187" s="35" t="s">
        <v>330</v>
      </c>
      <c r="E187" s="36">
        <v>298598</v>
      </c>
      <c r="F187" s="36" t="s">
        <v>344</v>
      </c>
      <c r="G187" s="84">
        <v>1</v>
      </c>
      <c r="H187" s="37" t="s">
        <v>386</v>
      </c>
      <c r="I187" s="85" t="s">
        <v>333</v>
      </c>
      <c r="J187" s="86">
        <f>ROUND(200000*(1-0.1997%),0)+1</f>
        <v>199602</v>
      </c>
      <c r="K187" s="36" t="s">
        <v>17</v>
      </c>
      <c r="L187" s="87">
        <v>45474</v>
      </c>
      <c r="M187" s="88" t="s">
        <v>353</v>
      </c>
      <c r="N187" s="36" t="s">
        <v>19</v>
      </c>
      <c r="O187" s="35" t="s">
        <v>25</v>
      </c>
      <c r="P187" s="36" t="s">
        <v>149</v>
      </c>
      <c r="Q187" s="36" t="s">
        <v>25</v>
      </c>
    </row>
    <row r="188" spans="3:17" ht="72.5" x14ac:dyDescent="0.35">
      <c r="C188" s="94">
        <v>50</v>
      </c>
      <c r="D188" s="35" t="s">
        <v>330</v>
      </c>
      <c r="E188" s="36">
        <v>483232</v>
      </c>
      <c r="F188" s="36" t="s">
        <v>344</v>
      </c>
      <c r="G188" s="84">
        <v>1</v>
      </c>
      <c r="H188" s="37" t="s">
        <v>387</v>
      </c>
      <c r="I188" s="85" t="s">
        <v>333</v>
      </c>
      <c r="J188" s="86">
        <f>ROUND(350000*(1-0.1997%),0)+1</f>
        <v>349302</v>
      </c>
      <c r="K188" s="36" t="s">
        <v>17</v>
      </c>
      <c r="L188" s="87">
        <v>45474</v>
      </c>
      <c r="M188" s="88" t="s">
        <v>353</v>
      </c>
      <c r="N188" s="36" t="s">
        <v>19</v>
      </c>
      <c r="O188" s="35" t="s">
        <v>25</v>
      </c>
      <c r="P188" s="36" t="s">
        <v>149</v>
      </c>
      <c r="Q188" s="36" t="s">
        <v>25</v>
      </c>
    </row>
    <row r="189" spans="3:17" ht="72.5" x14ac:dyDescent="0.35">
      <c r="C189" s="94">
        <v>51</v>
      </c>
      <c r="D189" s="35" t="s">
        <v>330</v>
      </c>
      <c r="E189" s="36">
        <v>340517</v>
      </c>
      <c r="F189" s="36" t="s">
        <v>344</v>
      </c>
      <c r="G189" s="84">
        <v>1</v>
      </c>
      <c r="H189" s="37" t="s">
        <v>388</v>
      </c>
      <c r="I189" s="85" t="s">
        <v>333</v>
      </c>
      <c r="J189" s="86">
        <f>ROUND(230000*(1-0.1997%),0)</f>
        <v>229541</v>
      </c>
      <c r="K189" s="36" t="s">
        <v>17</v>
      </c>
      <c r="L189" s="87">
        <v>45474</v>
      </c>
      <c r="M189" s="88" t="s">
        <v>353</v>
      </c>
      <c r="N189" s="36" t="s">
        <v>19</v>
      </c>
      <c r="O189" s="35" t="s">
        <v>25</v>
      </c>
      <c r="P189" s="36" t="s">
        <v>149</v>
      </c>
      <c r="Q189" s="36" t="s">
        <v>25</v>
      </c>
    </row>
    <row r="190" spans="3:17" ht="72.5" x14ac:dyDescent="0.35">
      <c r="C190" s="94">
        <v>52</v>
      </c>
      <c r="D190" s="35" t="s">
        <v>330</v>
      </c>
      <c r="E190" s="36">
        <v>15105</v>
      </c>
      <c r="F190" s="36" t="s">
        <v>344</v>
      </c>
      <c r="G190" s="41">
        <v>1</v>
      </c>
      <c r="H190" s="37" t="s">
        <v>389</v>
      </c>
      <c r="I190" s="38" t="s">
        <v>333</v>
      </c>
      <c r="J190" s="55">
        <f>ROUND(20000*(1-0.1997%),0)</f>
        <v>19960</v>
      </c>
      <c r="K190" s="42" t="s">
        <v>17</v>
      </c>
      <c r="L190" s="60">
        <v>45536</v>
      </c>
      <c r="M190" s="36" t="s">
        <v>353</v>
      </c>
      <c r="N190" s="42" t="s">
        <v>19</v>
      </c>
      <c r="O190" s="44" t="s">
        <v>25</v>
      </c>
      <c r="P190" s="42" t="s">
        <v>149</v>
      </c>
      <c r="Q190" s="42" t="s">
        <v>25</v>
      </c>
    </row>
    <row r="191" spans="3:17" ht="72.5" x14ac:dyDescent="0.35">
      <c r="C191" s="94">
        <v>53</v>
      </c>
      <c r="D191" s="35" t="s">
        <v>330</v>
      </c>
      <c r="E191" s="36">
        <v>461427</v>
      </c>
      <c r="F191" s="36" t="s">
        <v>344</v>
      </c>
      <c r="G191" s="41">
        <v>10</v>
      </c>
      <c r="H191" s="37" t="s">
        <v>390</v>
      </c>
      <c r="I191" s="38" t="s">
        <v>333</v>
      </c>
      <c r="J191" s="55">
        <f>ROUND(60000*(1-0.1997%),0)</f>
        <v>59880</v>
      </c>
      <c r="K191" s="42" t="s">
        <v>17</v>
      </c>
      <c r="L191" s="60">
        <v>45566</v>
      </c>
      <c r="M191" s="36" t="s">
        <v>353</v>
      </c>
      <c r="N191" s="42" t="s">
        <v>19</v>
      </c>
      <c r="O191" s="44" t="s">
        <v>25</v>
      </c>
      <c r="P191" s="42" t="s">
        <v>149</v>
      </c>
      <c r="Q191" s="42" t="s">
        <v>19</v>
      </c>
    </row>
    <row r="192" spans="3:17" ht="72.5" x14ac:dyDescent="0.35">
      <c r="C192" s="94">
        <v>54</v>
      </c>
      <c r="D192" s="35" t="s">
        <v>330</v>
      </c>
      <c r="E192" s="36" t="s">
        <v>391</v>
      </c>
      <c r="F192" s="36" t="s">
        <v>344</v>
      </c>
      <c r="G192" s="41">
        <v>500</v>
      </c>
      <c r="H192" s="37" t="s">
        <v>392</v>
      </c>
      <c r="I192" s="38" t="s">
        <v>333</v>
      </c>
      <c r="J192" s="55">
        <f>ROUND(150000*(1-0.1997%),0)</f>
        <v>149700</v>
      </c>
      <c r="K192" s="42" t="s">
        <v>17</v>
      </c>
      <c r="L192" s="60">
        <v>45566</v>
      </c>
      <c r="M192" s="36" t="s">
        <v>353</v>
      </c>
      <c r="N192" s="42" t="s">
        <v>19</v>
      </c>
      <c r="O192" s="44" t="s">
        <v>25</v>
      </c>
      <c r="P192" s="42" t="s">
        <v>149</v>
      </c>
      <c r="Q192" s="42" t="s">
        <v>19</v>
      </c>
    </row>
    <row r="193" spans="3:17" ht="72.5" x14ac:dyDescent="0.35">
      <c r="C193" s="94">
        <v>55</v>
      </c>
      <c r="D193" s="35" t="s">
        <v>330</v>
      </c>
      <c r="E193" s="36">
        <v>233358</v>
      </c>
      <c r="F193" s="36" t="s">
        <v>344</v>
      </c>
      <c r="G193" s="41">
        <v>1</v>
      </c>
      <c r="H193" s="37" t="s">
        <v>393</v>
      </c>
      <c r="I193" s="38" t="s">
        <v>333</v>
      </c>
      <c r="J193" s="55">
        <f>ROUND(6000*(1-0.1997%),0)</f>
        <v>5988</v>
      </c>
      <c r="K193" s="42" t="s">
        <v>80</v>
      </c>
      <c r="L193" s="60">
        <v>45566</v>
      </c>
      <c r="M193" s="36" t="s">
        <v>353</v>
      </c>
      <c r="N193" s="43" t="s">
        <v>25</v>
      </c>
      <c r="O193" s="82" t="s">
        <v>25</v>
      </c>
      <c r="P193" s="42" t="s">
        <v>149</v>
      </c>
      <c r="Q193" s="43" t="s">
        <v>25</v>
      </c>
    </row>
    <row r="194" spans="3:17" ht="58" x14ac:dyDescent="0.35">
      <c r="C194" s="94">
        <v>56</v>
      </c>
      <c r="D194" s="35" t="s">
        <v>330</v>
      </c>
      <c r="E194" s="36">
        <v>59099</v>
      </c>
      <c r="F194" s="36" t="s">
        <v>344</v>
      </c>
      <c r="G194" s="41">
        <v>1</v>
      </c>
      <c r="H194" s="37" t="s">
        <v>394</v>
      </c>
      <c r="I194" s="38" t="s">
        <v>333</v>
      </c>
      <c r="J194" s="55">
        <f>ROUND(100000*(1-0.1997%),0)</f>
        <v>99800</v>
      </c>
      <c r="K194" s="42" t="s">
        <v>80</v>
      </c>
      <c r="L194" s="60">
        <v>45536</v>
      </c>
      <c r="M194" s="36" t="s">
        <v>395</v>
      </c>
      <c r="N194" s="43" t="s">
        <v>19</v>
      </c>
      <c r="O194" s="82" t="s">
        <v>25</v>
      </c>
      <c r="P194" s="42" t="s">
        <v>149</v>
      </c>
      <c r="Q194" s="43" t="s">
        <v>25</v>
      </c>
    </row>
    <row r="195" spans="3:17" ht="72.5" x14ac:dyDescent="0.35">
      <c r="C195" s="94">
        <v>57</v>
      </c>
      <c r="D195" s="35" t="s">
        <v>330</v>
      </c>
      <c r="E195" s="36">
        <v>99830</v>
      </c>
      <c r="F195" s="36" t="s">
        <v>344</v>
      </c>
      <c r="G195" s="41">
        <v>20</v>
      </c>
      <c r="H195" s="37" t="s">
        <v>396</v>
      </c>
      <c r="I195" s="38" t="s">
        <v>333</v>
      </c>
      <c r="J195" s="55">
        <f>ROUND(120000*(1-0.1997%),0)</f>
        <v>119760</v>
      </c>
      <c r="K195" s="42" t="s">
        <v>17</v>
      </c>
      <c r="L195" s="60">
        <v>45505</v>
      </c>
      <c r="M195" s="36" t="s">
        <v>353</v>
      </c>
      <c r="N195" s="43" t="s">
        <v>19</v>
      </c>
      <c r="O195" s="82" t="s">
        <v>25</v>
      </c>
      <c r="P195" s="42" t="s">
        <v>149</v>
      </c>
      <c r="Q195" s="43" t="s">
        <v>25</v>
      </c>
    </row>
    <row r="196" spans="3:17" ht="72.5" x14ac:dyDescent="0.35">
      <c r="C196" s="94">
        <v>58</v>
      </c>
      <c r="D196" s="35" t="s">
        <v>330</v>
      </c>
      <c r="E196" s="36">
        <v>483882</v>
      </c>
      <c r="F196" s="36" t="s">
        <v>344</v>
      </c>
      <c r="G196" s="41">
        <v>5</v>
      </c>
      <c r="H196" s="37" t="s">
        <v>397</v>
      </c>
      <c r="I196" s="38" t="s">
        <v>333</v>
      </c>
      <c r="J196" s="55">
        <f>ROUND(130000*(1-0.1997%),0)</f>
        <v>129740</v>
      </c>
      <c r="K196" s="42" t="s">
        <v>17</v>
      </c>
      <c r="L196" s="60">
        <v>45505</v>
      </c>
      <c r="M196" s="36" t="s">
        <v>353</v>
      </c>
      <c r="N196" s="43" t="s">
        <v>19</v>
      </c>
      <c r="O196" s="82" t="s">
        <v>25</v>
      </c>
      <c r="P196" s="42" t="s">
        <v>149</v>
      </c>
      <c r="Q196" s="43" t="s">
        <v>25</v>
      </c>
    </row>
    <row r="197" spans="3:17" ht="72.5" x14ac:dyDescent="0.35">
      <c r="C197" s="94">
        <v>59</v>
      </c>
      <c r="D197" s="35" t="s">
        <v>330</v>
      </c>
      <c r="E197" s="36">
        <v>12604</v>
      </c>
      <c r="F197" s="36" t="s">
        <v>344</v>
      </c>
      <c r="G197" s="41">
        <v>4</v>
      </c>
      <c r="H197" s="37" t="s">
        <v>398</v>
      </c>
      <c r="I197" s="38" t="s">
        <v>333</v>
      </c>
      <c r="J197" s="55">
        <f>ROUND(8000*(1-0.1997%),0)</f>
        <v>7984</v>
      </c>
      <c r="K197" s="42" t="s">
        <v>80</v>
      </c>
      <c r="L197" s="60">
        <v>45597</v>
      </c>
      <c r="M197" s="36" t="s">
        <v>353</v>
      </c>
      <c r="N197" s="43" t="s">
        <v>25</v>
      </c>
      <c r="O197" s="82" t="s">
        <v>25</v>
      </c>
      <c r="P197" s="42" t="s">
        <v>149</v>
      </c>
      <c r="Q197" s="43" t="s">
        <v>19</v>
      </c>
    </row>
    <row r="198" spans="3:17" ht="58" x14ac:dyDescent="0.35">
      <c r="C198" s="94">
        <v>60</v>
      </c>
      <c r="D198" s="35" t="s">
        <v>330</v>
      </c>
      <c r="E198" s="36">
        <v>24333</v>
      </c>
      <c r="F198" s="36" t="s">
        <v>344</v>
      </c>
      <c r="G198" s="41">
        <v>4</v>
      </c>
      <c r="H198" s="37" t="s">
        <v>399</v>
      </c>
      <c r="I198" s="38" t="s">
        <v>333</v>
      </c>
      <c r="J198" s="55">
        <f>ROUND(70000*(1-0.1997%),0)</f>
        <v>69860</v>
      </c>
      <c r="K198" s="42" t="s">
        <v>17</v>
      </c>
      <c r="L198" s="60">
        <v>45627</v>
      </c>
      <c r="M198" s="36" t="s">
        <v>395</v>
      </c>
      <c r="N198" s="42" t="s">
        <v>19</v>
      </c>
      <c r="O198" s="44" t="s">
        <v>25</v>
      </c>
      <c r="P198" s="42" t="s">
        <v>149</v>
      </c>
      <c r="Q198" s="42" t="s">
        <v>19</v>
      </c>
    </row>
    <row r="199" spans="3:17" ht="87" x14ac:dyDescent="0.35">
      <c r="C199" s="94">
        <v>1</v>
      </c>
      <c r="D199" s="48" t="s">
        <v>400</v>
      </c>
      <c r="E199" s="5">
        <v>14052</v>
      </c>
      <c r="F199" s="45" t="s">
        <v>401</v>
      </c>
      <c r="G199" s="46" t="s">
        <v>15</v>
      </c>
      <c r="H199" s="47" t="s">
        <v>402</v>
      </c>
      <c r="I199" s="50" t="s">
        <v>403</v>
      </c>
      <c r="J199" s="12">
        <f>ROUND(13200*(1-0.1997%),0)</f>
        <v>13174</v>
      </c>
      <c r="K199" s="5" t="s">
        <v>80</v>
      </c>
      <c r="L199" s="61">
        <v>45748</v>
      </c>
      <c r="M199" s="51" t="s">
        <v>404</v>
      </c>
      <c r="N199" s="5" t="s">
        <v>19</v>
      </c>
      <c r="O199" s="48" t="s">
        <v>19</v>
      </c>
      <c r="P199" s="5" t="s">
        <v>20</v>
      </c>
      <c r="Q199" s="5" t="s">
        <v>25</v>
      </c>
    </row>
    <row r="200" spans="3:17" ht="58" x14ac:dyDescent="0.35">
      <c r="C200" s="94">
        <v>2</v>
      </c>
      <c r="D200" s="48" t="s">
        <v>400</v>
      </c>
      <c r="E200" s="5">
        <v>12920</v>
      </c>
      <c r="F200" s="5" t="s">
        <v>400</v>
      </c>
      <c r="G200" s="46" t="s">
        <v>15</v>
      </c>
      <c r="H200" s="49" t="s">
        <v>405</v>
      </c>
      <c r="I200" s="50" t="s">
        <v>406</v>
      </c>
      <c r="J200" s="98">
        <v>26886934</v>
      </c>
      <c r="K200" s="5" t="s">
        <v>17</v>
      </c>
      <c r="L200" s="61">
        <v>45292</v>
      </c>
      <c r="M200" s="51" t="s">
        <v>404</v>
      </c>
      <c r="N200" s="5" t="s">
        <v>19</v>
      </c>
      <c r="O200" s="48" t="s">
        <v>19</v>
      </c>
      <c r="P200" s="5" t="s">
        <v>81</v>
      </c>
      <c r="Q200" s="5" t="s">
        <v>25</v>
      </c>
    </row>
    <row r="201" spans="3:17" ht="58" x14ac:dyDescent="0.35">
      <c r="C201" s="94">
        <v>3</v>
      </c>
      <c r="D201" s="48" t="s">
        <v>400</v>
      </c>
      <c r="E201" s="5">
        <v>14052</v>
      </c>
      <c r="F201" s="5" t="s">
        <v>401</v>
      </c>
      <c r="G201" s="46" t="s">
        <v>15</v>
      </c>
      <c r="H201" s="49" t="s">
        <v>407</v>
      </c>
      <c r="I201" s="50" t="s">
        <v>408</v>
      </c>
      <c r="J201" s="12">
        <f>ROUND(24473*(1-0.1997%),0)+1</f>
        <v>24425</v>
      </c>
      <c r="K201" s="5" t="s">
        <v>80</v>
      </c>
      <c r="L201" s="61">
        <v>45383</v>
      </c>
      <c r="M201" s="51" t="s">
        <v>404</v>
      </c>
      <c r="N201" s="5" t="s">
        <v>19</v>
      </c>
      <c r="O201" s="48" t="s">
        <v>25</v>
      </c>
      <c r="P201" s="5" t="s">
        <v>149</v>
      </c>
      <c r="Q201" s="5" t="s">
        <v>25</v>
      </c>
    </row>
    <row r="202" spans="3:17" ht="72.5" x14ac:dyDescent="0.35">
      <c r="C202" s="94">
        <v>4</v>
      </c>
      <c r="D202" s="48" t="s">
        <v>400</v>
      </c>
      <c r="E202" s="5" t="s">
        <v>14</v>
      </c>
      <c r="F202" s="5" t="s">
        <v>401</v>
      </c>
      <c r="G202" s="46" t="s">
        <v>15</v>
      </c>
      <c r="H202" s="50" t="s">
        <v>409</v>
      </c>
      <c r="I202" s="50" t="s">
        <v>410</v>
      </c>
      <c r="J202" s="12">
        <v>15000</v>
      </c>
      <c r="K202" s="5" t="s">
        <v>80</v>
      </c>
      <c r="L202" s="61">
        <v>45444</v>
      </c>
      <c r="M202" s="51" t="s">
        <v>404</v>
      </c>
      <c r="N202" s="5" t="s">
        <v>25</v>
      </c>
      <c r="O202" s="48" t="s">
        <v>25</v>
      </c>
      <c r="P202" s="5" t="s">
        <v>41</v>
      </c>
      <c r="Q202" s="5" t="s">
        <v>25</v>
      </c>
    </row>
    <row r="203" spans="3:17" ht="72.5" x14ac:dyDescent="0.35">
      <c r="C203" s="94">
        <v>5</v>
      </c>
      <c r="D203" s="48" t="s">
        <v>400</v>
      </c>
      <c r="E203" s="5" t="s">
        <v>14</v>
      </c>
      <c r="F203" s="5" t="s">
        <v>401</v>
      </c>
      <c r="G203" s="3" t="s">
        <v>15</v>
      </c>
      <c r="H203" s="49" t="s">
        <v>411</v>
      </c>
      <c r="I203" s="50" t="s">
        <v>410</v>
      </c>
      <c r="J203" s="12">
        <v>10000</v>
      </c>
      <c r="K203" s="5" t="s">
        <v>80</v>
      </c>
      <c r="L203" s="61">
        <v>45444</v>
      </c>
      <c r="M203" s="51" t="s">
        <v>404</v>
      </c>
      <c r="N203" s="5" t="s">
        <v>25</v>
      </c>
      <c r="O203" s="48" t="s">
        <v>25</v>
      </c>
      <c r="P203" s="5" t="s">
        <v>41</v>
      </c>
      <c r="Q203" s="5" t="s">
        <v>25</v>
      </c>
    </row>
    <row r="204" spans="3:17" ht="72.5" x14ac:dyDescent="0.35">
      <c r="C204" s="94">
        <v>6</v>
      </c>
      <c r="D204" s="48" t="s">
        <v>400</v>
      </c>
      <c r="E204" s="5" t="s">
        <v>14</v>
      </c>
      <c r="F204" s="5" t="s">
        <v>401</v>
      </c>
      <c r="G204" s="3" t="s">
        <v>15</v>
      </c>
      <c r="H204" s="49" t="s">
        <v>412</v>
      </c>
      <c r="I204" s="50" t="s">
        <v>410</v>
      </c>
      <c r="J204" s="12">
        <v>15000</v>
      </c>
      <c r="K204" s="5" t="s">
        <v>80</v>
      </c>
      <c r="L204" s="61">
        <v>45444</v>
      </c>
      <c r="M204" s="51" t="s">
        <v>404</v>
      </c>
      <c r="N204" s="5" t="s">
        <v>25</v>
      </c>
      <c r="O204" s="48" t="s">
        <v>25</v>
      </c>
      <c r="P204" s="5" t="s">
        <v>41</v>
      </c>
      <c r="Q204" s="5" t="s">
        <v>25</v>
      </c>
    </row>
    <row r="205" spans="3:17" ht="58" x14ac:dyDescent="0.35">
      <c r="C205" s="94">
        <v>7</v>
      </c>
      <c r="D205" s="48" t="s">
        <v>400</v>
      </c>
      <c r="E205" s="5">
        <v>428265</v>
      </c>
      <c r="F205" s="5" t="s">
        <v>401</v>
      </c>
      <c r="G205" s="46">
        <v>1</v>
      </c>
      <c r="H205" s="49" t="s">
        <v>413</v>
      </c>
      <c r="I205" s="50" t="s">
        <v>410</v>
      </c>
      <c r="J205" s="12">
        <v>10000</v>
      </c>
      <c r="K205" s="5" t="s">
        <v>80</v>
      </c>
      <c r="L205" s="61">
        <v>45444</v>
      </c>
      <c r="M205" s="51" t="s">
        <v>404</v>
      </c>
      <c r="N205" s="5" t="s">
        <v>25</v>
      </c>
      <c r="O205" s="48" t="s">
        <v>25</v>
      </c>
      <c r="P205" s="5" t="s">
        <v>149</v>
      </c>
      <c r="Q205" s="5" t="s">
        <v>25</v>
      </c>
    </row>
    <row r="206" spans="3:17" ht="58" x14ac:dyDescent="0.35">
      <c r="C206" s="94">
        <v>8</v>
      </c>
      <c r="D206" s="48" t="s">
        <v>400</v>
      </c>
      <c r="E206" s="5">
        <v>389951</v>
      </c>
      <c r="F206" s="48" t="s">
        <v>401</v>
      </c>
      <c r="G206" s="3">
        <v>6</v>
      </c>
      <c r="H206" s="49" t="s">
        <v>414</v>
      </c>
      <c r="I206" s="50" t="s">
        <v>410</v>
      </c>
      <c r="J206" s="12">
        <v>6000</v>
      </c>
      <c r="K206" s="5" t="s">
        <v>80</v>
      </c>
      <c r="L206" s="61">
        <v>45444</v>
      </c>
      <c r="M206" s="51" t="s">
        <v>404</v>
      </c>
      <c r="N206" s="5" t="s">
        <v>25</v>
      </c>
      <c r="O206" s="48" t="s">
        <v>25</v>
      </c>
      <c r="P206" s="5" t="s">
        <v>149</v>
      </c>
      <c r="Q206" s="5" t="s">
        <v>25</v>
      </c>
    </row>
    <row r="207" spans="3:17" ht="58" x14ac:dyDescent="0.35">
      <c r="C207" s="94">
        <v>9</v>
      </c>
      <c r="D207" s="48" t="s">
        <v>400</v>
      </c>
      <c r="E207" s="5">
        <v>429214</v>
      </c>
      <c r="F207" s="48" t="s">
        <v>401</v>
      </c>
      <c r="G207" s="3">
        <v>1</v>
      </c>
      <c r="H207" s="49" t="s">
        <v>415</v>
      </c>
      <c r="I207" s="50" t="s">
        <v>410</v>
      </c>
      <c r="J207" s="12">
        <v>4000</v>
      </c>
      <c r="K207" s="5" t="s">
        <v>80</v>
      </c>
      <c r="L207" s="61">
        <v>45444</v>
      </c>
      <c r="M207" s="51" t="s">
        <v>404</v>
      </c>
      <c r="N207" s="5" t="s">
        <v>25</v>
      </c>
      <c r="O207" s="48" t="s">
        <v>25</v>
      </c>
      <c r="P207" s="5" t="s">
        <v>149</v>
      </c>
      <c r="Q207" s="5" t="s">
        <v>25</v>
      </c>
    </row>
  </sheetData>
  <mergeCells count="2">
    <mergeCell ref="I105:I106"/>
    <mergeCell ref="C1:Q1"/>
  </mergeCells>
  <conditionalFormatting sqref="H5">
    <cfRule type="duplicateValues" dxfId="7" priority="9"/>
  </conditionalFormatting>
  <conditionalFormatting sqref="H6:H10">
    <cfRule type="duplicateValues" dxfId="6" priority="10"/>
  </conditionalFormatting>
  <conditionalFormatting sqref="H11:H22">
    <cfRule type="duplicateValues" dxfId="5" priority="8"/>
  </conditionalFormatting>
  <conditionalFormatting sqref="H23:H33 H35:H44 H46:H51 H53:H54 H56:H57 H59:H81">
    <cfRule type="duplicateValues" dxfId="4" priority="7"/>
  </conditionalFormatting>
  <conditionalFormatting sqref="H82:H94">
    <cfRule type="duplicateValues" dxfId="3" priority="6"/>
  </conditionalFormatting>
  <conditionalFormatting sqref="H95:H138">
    <cfRule type="duplicateValues" dxfId="2" priority="3"/>
  </conditionalFormatting>
  <conditionalFormatting sqref="H139:H198">
    <cfRule type="duplicateValues" dxfId="1" priority="2"/>
  </conditionalFormatting>
  <conditionalFormatting sqref="H199:H207">
    <cfRule type="duplicateValues" dxfId="0" priority="1"/>
  </conditionalFormatting>
  <dataValidations count="4">
    <dataValidation type="whole" operator="greaterThanOrEqual" allowBlank="1" showInputMessage="1" showErrorMessage="1" error="Inserir somente números inteiros" sqref="J139:J207 J11:J94">
      <formula1>0</formula1>
    </dataValidation>
    <dataValidation type="whole" operator="greaterThanOrEqual" allowBlank="1" showInputMessage="1" showErrorMessage="1" error="Inserir somente números inteiros" sqref="J95:J138">
      <formula1>0</formula1>
      <formula2>0</formula2>
    </dataValidation>
    <dataValidation type="list" allowBlank="1" showInputMessage="1" showErrorMessage="1" sqref="S69:S70">
      <formula1>$S$69:$S$70</formula1>
    </dataValidation>
    <dataValidation type="list" allowBlank="1" showInputMessage="1" showErrorMessage="1" sqref="Q5:Q67 Q69:Q207">
      <formula1>$S$68:$T$68</formula1>
    </dataValidation>
  </dataValidations>
  <pageMargins left="0.511811024" right="0.511811024" top="0.78740157499999996" bottom="0.78740157499999996" header="0.31496062000000002" footer="0.31496062000000002"/>
  <pageSetup paperSize="9" scale="6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'C:\Users\gabmello\Downloads\[Planilha_PAC_2024_Consolidada_23_10_2023 (1).xlsx]Dados'!#REF!</xm:f>
          </x14:formula1>
          <xm:sqref>K6:K10 N6:P10</xm:sqref>
        </x14:dataValidation>
        <x14:dataValidation type="list" allowBlank="1" showInputMessage="1" showErrorMessage="1">
          <x14:formula1>
            <xm:f>'C:\Users\mariassi\Downloads\[Planilha_PAC_2024_Compartilhaveis__4_ (15).xlsx]Dados'!#REF!</xm:f>
          </x14:formula1>
          <xm:sqref>K11:K207 N11:P207</xm:sqref>
        </x14:dataValidation>
        <x14:dataValidation type="list" allowBlank="1" showInputMessage="1" showErrorMessage="1">
          <x14:formula1>
            <xm:f>Planilha1!$A$1:$A$2</xm:f>
          </x14:formula1>
          <xm:sqref>Q68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A852CA0363734A8BED36645186A6D8" ma:contentTypeVersion="13" ma:contentTypeDescription="Create a new document." ma:contentTypeScope="" ma:versionID="e7a03697c964037efb2bf092007b7af5">
  <xsd:schema xmlns:xsd="http://www.w3.org/2001/XMLSchema" xmlns:xs="http://www.w3.org/2001/XMLSchema" xmlns:p="http://schemas.microsoft.com/office/2006/metadata/properties" xmlns:ns3="4db40606-82c6-4f5e-a137-8897208adc7b" xmlns:ns4="6e65491e-ecb5-4c1c-a1ff-1dc9ea7803e4" targetNamespace="http://schemas.microsoft.com/office/2006/metadata/properties" ma:root="true" ma:fieldsID="386661be682d6e509352714aa1deadd5" ns3:_="" ns4:_="">
    <xsd:import namespace="4db40606-82c6-4f5e-a137-8897208adc7b"/>
    <xsd:import namespace="6e65491e-ecb5-4c1c-a1ff-1dc9ea7803e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b40606-82c6-4f5e-a137-8897208adc7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65491e-ecb5-4c1c-a1ff-1dc9ea7803e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e65491e-ecb5-4c1c-a1ff-1dc9ea7803e4" xsi:nil="true"/>
  </documentManagement>
</p:properties>
</file>

<file path=customXml/itemProps1.xml><?xml version="1.0" encoding="utf-8"?>
<ds:datastoreItem xmlns:ds="http://schemas.openxmlformats.org/officeDocument/2006/customXml" ds:itemID="{8A6056A7-387A-4B87-9A4F-61077151D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b40606-82c6-4f5e-a137-8897208adc7b"/>
    <ds:schemaRef ds:uri="6e65491e-ecb5-4c1c-a1ff-1dc9ea780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079857-03F0-451F-A994-CB49E58FCC64}">
  <ds:schemaRefs>
    <ds:schemaRef ds:uri="http://schemas.microsoft.com/sharepoint/v3/contenttype/forms"/>
  </ds:schemaRefs>
</ds:datastoreItem>
</file>

<file path=customXml/itemProps3.xml><?xml version="1.0" encoding="utf-8"?>
<ds:datastoreItem xmlns:ds="http://schemas.openxmlformats.org/officeDocument/2006/customXml" ds:itemID="{C54BF1F4-2A1A-4238-8512-4984264B1B51}">
  <ds:schemaRefs>
    <ds:schemaRef ds:uri="http://purl.org/dc/dcmitype/"/>
    <ds:schemaRef ds:uri="http://purl.org/dc/elements/1.1/"/>
    <ds:schemaRef ds:uri="http://schemas.openxmlformats.org/package/2006/metadata/core-properties"/>
    <ds:schemaRef ds:uri="http://schemas.microsoft.com/office/2006/documentManagement/types"/>
    <ds:schemaRef ds:uri="http://purl.org/dc/terms/"/>
    <ds:schemaRef ds:uri="http://schemas.microsoft.com/office/2006/metadata/properties"/>
    <ds:schemaRef ds:uri="4db40606-82c6-4f5e-a137-8897208adc7b"/>
    <ds:schemaRef ds:uri="http://www.w3.org/XML/1998/namespace"/>
    <ds:schemaRef ds:uri="http://schemas.microsoft.com/office/infopath/2007/PartnerControls"/>
    <ds:schemaRef ds:uri="6e65491e-ecb5-4c1c-a1ff-1dc9ea7803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Planilha1</vt:lpstr>
      <vt:lpstr>PAC 2024</vt:lpstr>
    </vt:vector>
  </TitlesOfParts>
  <Company>Tribunal Regional Federal 3ª Região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ASSIS MACIEL</dc:creator>
  <cp:lastModifiedBy>RODRIGO CORRAL CABARCOS FILHO</cp:lastModifiedBy>
  <cp:lastPrinted>2023-11-08T18:58:46Z</cp:lastPrinted>
  <dcterms:created xsi:type="dcterms:W3CDTF">2023-11-08T18:35:56Z</dcterms:created>
  <dcterms:modified xsi:type="dcterms:W3CDTF">2023-11-09T20:12:42Z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0x010100A8A852CA0363734A8BED36645186A6D8</vt:lpwstr>
  </property>
</Properties>
</file>