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o\Desktop\ENCONTRO DE OBRAS - 2022\"/>
    </mc:Choice>
  </mc:AlternateContent>
  <xr:revisionPtr revIDLastSave="0" documentId="13_ncr:1_{8D733AAF-7FD0-4205-AD20-380A620723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 Orçamentária - Projeto" sheetId="3" r:id="rId1"/>
    <sheet name="Planilha Orçamentária - Serviço" sheetId="9" r:id="rId2"/>
    <sheet name="BDI Engenharia Consultiva" sheetId="6" r:id="rId3"/>
    <sheet name="Cronograma Físico-Financeiro" sheetId="4" r:id="rId4"/>
    <sheet name="CAPA" sheetId="1" r:id="rId5"/>
    <sheet name="Orçamento Sintético" sheetId="2" r:id="rId6"/>
  </sheets>
  <definedNames>
    <definedName name="\0">#REF!</definedName>
    <definedName name="_A100935">#REF!</definedName>
    <definedName name="_A1009350">#REF!</definedName>
    <definedName name="_BD2">#REF!</definedName>
    <definedName name="_MAT1">#REF!</definedName>
    <definedName name="A">#REF!</definedName>
    <definedName name="_xlnm.Print_Area" localSheetId="2">'BDI Engenharia Consultiva'!$A$1:$M$46</definedName>
    <definedName name="_xlnm.Print_Area" localSheetId="4">CAPA!$A$1:$E$29</definedName>
    <definedName name="_xlnm.Print_Area" localSheetId="3">'Cronograma Físico-Financeiro'!$A$1:$I$36</definedName>
    <definedName name="_xlnm.Print_Area" localSheetId="5">'Orçamento Sintético'!$A$1:$G$34</definedName>
    <definedName name="_xlnm.Print_Area" localSheetId="0">'Planilha Orçamentária - Projeto'!$A$1:$L$167</definedName>
    <definedName name="_xlnm.Print_Area" localSheetId="1">'Planilha Orçamentária - Serviço'!$A$1:$J$40</definedName>
    <definedName name="_xlnm.Print_Area">#REF!</definedName>
    <definedName name="Área_impressão_IM">#REF!</definedName>
    <definedName name="BANCO">#REF!</definedName>
    <definedName name="bdi">#REF!</definedName>
    <definedName name="Bomba_putzmeister">#REF!</definedName>
    <definedName name="Código">#REF!</definedName>
    <definedName name="EQPTO">#REF!</definedName>
    <definedName name="ESCAV.MEC.CLAM.SHEL.DEP.LAT">#REF!</definedName>
    <definedName name="ESCAV.MEC.RETRO.DEP.LAT">#REF!</definedName>
    <definedName name="Excel_BuiltIn_Print_Area_1_1">#REF!</definedName>
    <definedName name="gen">#REF!</definedName>
    <definedName name="insumos">#REF!</definedName>
    <definedName name="ITEM">#REF!</definedName>
    <definedName name="MAT">#REF!</definedName>
    <definedName name="MO">#REF!</definedName>
    <definedName name="PL_ABC">#REF!</definedName>
    <definedName name="planilha">#REF!</definedName>
    <definedName name="RES_CPS">#REF!</definedName>
    <definedName name="serv">#REF!</definedName>
    <definedName name="tab">#REF!</definedName>
    <definedName name="_xlnm.Print_Titles" localSheetId="3">'Cronograma Físico-Financeiro'!$16:$16</definedName>
    <definedName name="_xlnm.Print_Titles" localSheetId="5">'Orçamento Sintético'!$16:$16</definedName>
    <definedName name="_xlnm.Print_Titles" localSheetId="0">'Planilha Orçamentária - Projeto'!$17:$19</definedName>
    <definedName name="total">#REF!</definedName>
    <definedName name="Z_77FD295D_1BCD_41C6_B306_76E0FF93C8E4_.wvu.Cols" localSheetId="5" hidden="1">'Orçamento Sintético'!$C:$E</definedName>
    <definedName name="Z_77FD295D_1BCD_41C6_B306_76E0FF93C8E4_.wvu.PrintArea" localSheetId="4" hidden="1">CAPA!$A$6:$E$29</definedName>
    <definedName name="Z_77FD295D_1BCD_41C6_B306_76E0FF93C8E4_.wvu.PrintArea" localSheetId="3" hidden="1">'Cronograma Físico-Financeiro'!$A$10:$I$26</definedName>
    <definedName name="Z_77FD295D_1BCD_41C6_B306_76E0FF93C8E4_.wvu.PrintArea" localSheetId="5" hidden="1">'Orçamento Sintético'!$A$5:$G$22</definedName>
    <definedName name="Z_77FD295D_1BCD_41C6_B306_76E0FF93C8E4_.wvu.PrintArea" localSheetId="0" hidden="1">'Planilha Orçamentária - Projeto'!$A$1:$M$132</definedName>
    <definedName name="Z_77FD295D_1BCD_41C6_B306_76E0FF93C8E4_.wvu.PrintTitles" localSheetId="3" hidden="1">'Cronograma Físico-Financeiro'!$16:$16</definedName>
    <definedName name="Z_77FD295D_1BCD_41C6_B306_76E0FF93C8E4_.wvu.PrintTitles" localSheetId="5" hidden="1">'Orçamento Sintético'!$16:$16</definedName>
    <definedName name="Z_77FD295D_1BCD_41C6_B306_76E0FF93C8E4_.wvu.PrintTitles" localSheetId="0" hidden="1">'Planilha Orçamentária - Projeto'!$18:$19</definedName>
  </definedNames>
  <calcPr calcId="191029"/>
  <customWorkbookViews>
    <customWorkbookView name="lucio - Modo de exibição pessoal" guid="{77FD295D-1BCD-41C6-B306-76E0FF93C8E4}" mergeInterval="0" personalView="1" maximized="1" xWindow="1" yWindow="1" windowWidth="1920" windowHeight="90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9" l="1"/>
  <c r="D26" i="9"/>
  <c r="L22" i="3"/>
  <c r="N12" i="3"/>
  <c r="H9" i="9" l="1"/>
  <c r="J8" i="9"/>
  <c r="F8" i="9"/>
  <c r="B9" i="9"/>
  <c r="A8" i="9"/>
  <c r="C11" i="9"/>
  <c r="C13" i="9" s="1"/>
  <c r="S13" i="9" s="1"/>
  <c r="A6" i="9"/>
  <c r="A3" i="9"/>
  <c r="J14" i="9"/>
  <c r="F19" i="9" s="1"/>
  <c r="H32" i="6"/>
  <c r="H31" i="6"/>
  <c r="H30" i="6"/>
  <c r="H29" i="6"/>
  <c r="H28" i="6"/>
  <c r="H19" i="6"/>
  <c r="H33" i="6" s="1"/>
  <c r="F26" i="9" l="1"/>
  <c r="H26" i="9" s="1"/>
  <c r="H22" i="9"/>
  <c r="F23" i="9"/>
  <c r="P18" i="9"/>
  <c r="O18" i="9"/>
  <c r="V15" i="9"/>
  <c r="R18" i="9" s="1"/>
  <c r="V14" i="9"/>
  <c r="Q18" i="9" s="1"/>
  <c r="V16" i="9"/>
  <c r="S18" i="9" s="1"/>
  <c r="L12" i="9"/>
  <c r="H24" i="6"/>
  <c r="J24" i="6" s="1"/>
  <c r="H14" i="9" l="1"/>
  <c r="K12" i="9"/>
  <c r="O22" i="6"/>
  <c r="L14" i="3" s="1"/>
  <c r="L11" i="3"/>
  <c r="H25" i="9" l="1"/>
  <c r="F27" i="2"/>
  <c r="D23" i="9"/>
  <c r="H23" i="9" s="1"/>
  <c r="K128" i="3"/>
  <c r="L128" i="3" s="1"/>
  <c r="K127" i="3"/>
  <c r="L127" i="3" s="1"/>
  <c r="K126" i="3"/>
  <c r="L126" i="3" s="1"/>
  <c r="K125" i="3"/>
  <c r="L125" i="3" s="1"/>
  <c r="K124" i="3"/>
  <c r="L124" i="3" s="1"/>
  <c r="K129" i="3"/>
  <c r="L129" i="3" s="1"/>
  <c r="K121" i="3"/>
  <c r="L121" i="3" s="1"/>
  <c r="K111" i="3"/>
  <c r="L111" i="3" s="1"/>
  <c r="K112" i="3"/>
  <c r="L112" i="3" s="1"/>
  <c r="K113" i="3"/>
  <c r="L113" i="3" s="1"/>
  <c r="K110" i="3"/>
  <c r="L110" i="3" s="1"/>
  <c r="K109" i="3"/>
  <c r="L109" i="3" s="1"/>
  <c r="K108" i="3"/>
  <c r="L108" i="3" s="1"/>
  <c r="K107" i="3"/>
  <c r="L107" i="3" s="1"/>
  <c r="K106" i="3"/>
  <c r="L106" i="3" s="1"/>
  <c r="K105" i="3"/>
  <c r="L105" i="3" s="1"/>
  <c r="K104" i="3"/>
  <c r="L104" i="3" s="1"/>
  <c r="K103" i="3"/>
  <c r="L103" i="3" s="1"/>
  <c r="K102" i="3"/>
  <c r="L102" i="3" s="1"/>
  <c r="K101" i="3"/>
  <c r="L101" i="3" s="1"/>
  <c r="K100" i="3"/>
  <c r="L100" i="3" s="1"/>
  <c r="K99" i="3"/>
  <c r="L99" i="3" s="1"/>
  <c r="K97" i="3"/>
  <c r="K98" i="3"/>
  <c r="L98" i="3" s="1"/>
  <c r="K96" i="3"/>
  <c r="K95" i="3"/>
  <c r="L95" i="3" s="1"/>
  <c r="K94" i="3"/>
  <c r="L94" i="3" s="1"/>
  <c r="K93" i="3"/>
  <c r="L93" i="3" s="1"/>
  <c r="K92" i="3"/>
  <c r="L92" i="3" s="1"/>
  <c r="K91" i="3"/>
  <c r="L91" i="3" s="1"/>
  <c r="K90" i="3"/>
  <c r="L90" i="3" s="1"/>
  <c r="K87" i="3"/>
  <c r="L87" i="3" s="1"/>
  <c r="K81" i="3"/>
  <c r="L81" i="3" s="1"/>
  <c r="K80" i="3"/>
  <c r="L80" i="3" s="1"/>
  <c r="K79" i="3"/>
  <c r="L79" i="3" s="1"/>
  <c r="K77" i="3"/>
  <c r="L77" i="3" s="1"/>
  <c r="K76" i="3"/>
  <c r="L76" i="3" s="1"/>
  <c r="K75" i="3"/>
  <c r="L75" i="3" s="1"/>
  <c r="K73" i="3"/>
  <c r="L73" i="3" s="1"/>
  <c r="K74" i="3"/>
  <c r="L74" i="3" s="1"/>
  <c r="K72" i="3"/>
  <c r="L72" i="3" s="1"/>
  <c r="K71" i="3"/>
  <c r="L71" i="3" s="1"/>
  <c r="K70" i="3"/>
  <c r="L70" i="3" s="1"/>
  <c r="K69" i="3"/>
  <c r="L69" i="3" s="1"/>
  <c r="K68" i="3"/>
  <c r="L68" i="3" s="1"/>
  <c r="K67" i="3"/>
  <c r="L67" i="3" s="1"/>
  <c r="K66" i="3"/>
  <c r="L66" i="3" s="1"/>
  <c r="K65" i="3"/>
  <c r="L65" i="3" s="1"/>
  <c r="K64" i="3"/>
  <c r="L64" i="3" s="1"/>
  <c r="K63" i="3"/>
  <c r="L63" i="3" s="1"/>
  <c r="K62" i="3"/>
  <c r="L62" i="3" s="1"/>
  <c r="K61" i="3"/>
  <c r="L61" i="3" s="1"/>
  <c r="K60" i="3"/>
  <c r="L60" i="3" s="1"/>
  <c r="K59" i="3"/>
  <c r="K58" i="3"/>
  <c r="K78" i="3"/>
  <c r="L78" i="3" s="1"/>
  <c r="K54" i="3"/>
  <c r="L54" i="3" s="1"/>
  <c r="K53" i="3"/>
  <c r="L53" i="3" s="1"/>
  <c r="K52" i="3"/>
  <c r="L52" i="3" s="1"/>
  <c r="K51" i="3"/>
  <c r="L51" i="3" s="1"/>
  <c r="K50" i="3"/>
  <c r="L50" i="3" s="1"/>
  <c r="K49" i="3"/>
  <c r="L49" i="3" s="1"/>
  <c r="K48" i="3"/>
  <c r="L48" i="3" s="1"/>
  <c r="K47" i="3"/>
  <c r="L47" i="3" s="1"/>
  <c r="K46" i="3"/>
  <c r="L46" i="3" s="1"/>
  <c r="K45" i="3"/>
  <c r="L45" i="3" s="1"/>
  <c r="K44" i="3"/>
  <c r="L44" i="3" s="1"/>
  <c r="K43" i="3"/>
  <c r="L43" i="3" s="1"/>
  <c r="K42" i="3"/>
  <c r="L42" i="3" s="1"/>
  <c r="K41" i="3"/>
  <c r="L41" i="3" s="1"/>
  <c r="K40" i="3"/>
  <c r="L40" i="3" s="1"/>
  <c r="K38" i="3"/>
  <c r="L38" i="3" s="1"/>
  <c r="K37" i="3"/>
  <c r="L37" i="3" s="1"/>
  <c r="K36" i="3"/>
  <c r="L36" i="3" s="1"/>
  <c r="K39" i="3"/>
  <c r="L39" i="3" s="1"/>
  <c r="K35" i="3"/>
  <c r="L35" i="3" s="1"/>
  <c r="K31" i="3"/>
  <c r="K32" i="3"/>
  <c r="K33" i="3"/>
  <c r="L33" i="3" s="1"/>
  <c r="K34" i="3"/>
  <c r="L34" i="3" s="1"/>
  <c r="K28" i="3"/>
  <c r="L28" i="3" s="1"/>
  <c r="K27" i="3"/>
  <c r="L27" i="3" s="1"/>
  <c r="K26" i="3"/>
  <c r="L26" i="3" s="1"/>
  <c r="K25" i="3"/>
  <c r="L25" i="3" s="1"/>
  <c r="K23" i="3"/>
  <c r="L23" i="3" s="1"/>
  <c r="K24" i="3"/>
  <c r="L24" i="3" s="1"/>
  <c r="K22" i="3"/>
  <c r="G19" i="3"/>
  <c r="C14" i="3"/>
  <c r="A4" i="1"/>
  <c r="A3" i="4"/>
  <c r="A3" i="2"/>
  <c r="B12" i="1"/>
  <c r="B13" i="1"/>
  <c r="B8" i="4"/>
  <c r="A34" i="4"/>
  <c r="F11" i="2"/>
  <c r="F10" i="2"/>
  <c r="A6" i="2"/>
  <c r="A5" i="2"/>
  <c r="D13" i="1"/>
  <c r="C7" i="1"/>
  <c r="C9" i="4"/>
  <c r="E16" i="4" s="1"/>
  <c r="A33" i="4"/>
  <c r="A33" i="2"/>
  <c r="A32" i="2"/>
  <c r="A23" i="1"/>
  <c r="A22" i="1"/>
  <c r="B9" i="2"/>
  <c r="I24" i="4"/>
  <c r="H24" i="4"/>
  <c r="G24" i="4"/>
  <c r="F24" i="4"/>
  <c r="E24" i="4"/>
  <c r="A11" i="4"/>
  <c r="D12" i="1"/>
  <c r="A7" i="4"/>
  <c r="A10" i="1"/>
  <c r="C6" i="1"/>
  <c r="H21" i="9" l="1"/>
  <c r="F26" i="2" s="1"/>
  <c r="L31" i="3"/>
  <c r="N30" i="3"/>
  <c r="O55" i="3" s="1"/>
  <c r="N55" i="3" s="1"/>
  <c r="K55" i="3" s="1"/>
  <c r="L55" i="3" s="1"/>
  <c r="L59" i="3"/>
  <c r="N57" i="3"/>
  <c r="L96" i="3"/>
  <c r="N89" i="3"/>
  <c r="L97" i="3"/>
  <c r="K18" i="4"/>
  <c r="I20" i="4"/>
  <c r="H19" i="4"/>
  <c r="F17" i="4"/>
  <c r="K19" i="3"/>
  <c r="I93" i="3" s="1"/>
  <c r="K21" i="3"/>
  <c r="K123" i="3"/>
  <c r="L32" i="3"/>
  <c r="D22" i="4"/>
  <c r="B16" i="4"/>
  <c r="B17" i="4"/>
  <c r="B18" i="4"/>
  <c r="B19" i="4"/>
  <c r="B20" i="4"/>
  <c r="F28" i="2" l="1"/>
  <c r="H28" i="9"/>
  <c r="K30" i="3"/>
  <c r="O82" i="3"/>
  <c r="O83" i="3"/>
  <c r="O86" i="3"/>
  <c r="O84" i="3"/>
  <c r="O85" i="3"/>
  <c r="O120" i="3"/>
  <c r="O117" i="3"/>
  <c r="O119" i="3"/>
  <c r="O116" i="3"/>
  <c r="O118" i="3"/>
  <c r="O114" i="3"/>
  <c r="O115" i="3"/>
  <c r="L18" i="4"/>
  <c r="G18" i="4" s="1"/>
  <c r="E93" i="3"/>
  <c r="G93" i="3" s="1"/>
  <c r="G27" i="2" l="1"/>
  <c r="G26" i="2"/>
  <c r="N115" i="3"/>
  <c r="K115" i="3" s="1"/>
  <c r="L115" i="3" s="1"/>
  <c r="N119" i="3"/>
  <c r="K119" i="3" s="1"/>
  <c r="L119" i="3" s="1"/>
  <c r="N114" i="3"/>
  <c r="K114" i="3" s="1"/>
  <c r="L114" i="3" s="1"/>
  <c r="N117" i="3"/>
  <c r="K117" i="3" s="1"/>
  <c r="L117" i="3" s="1"/>
  <c r="N118" i="3"/>
  <c r="K118" i="3" s="1"/>
  <c r="L118" i="3" s="1"/>
  <c r="N116" i="3"/>
  <c r="K116" i="3" s="1"/>
  <c r="L116" i="3" s="1"/>
  <c r="N120" i="3"/>
  <c r="K120" i="3" s="1"/>
  <c r="L120" i="3" s="1"/>
  <c r="N84" i="3"/>
  <c r="K84" i="3" s="1"/>
  <c r="L84" i="3" s="1"/>
  <c r="N86" i="3"/>
  <c r="K86" i="3" s="1"/>
  <c r="L86" i="3" s="1"/>
  <c r="N85" i="3"/>
  <c r="K85" i="3" s="1"/>
  <c r="L85" i="3" s="1"/>
  <c r="N83" i="3"/>
  <c r="K83" i="3" s="1"/>
  <c r="L83" i="3" s="1"/>
  <c r="N82" i="3"/>
  <c r="K82" i="3" s="1"/>
  <c r="L82" i="3" s="1"/>
  <c r="G28" i="2" l="1"/>
  <c r="K57" i="3"/>
  <c r="K89" i="3"/>
  <c r="I91" i="3"/>
  <c r="I99" i="3"/>
  <c r="I107" i="3"/>
  <c r="I115" i="3"/>
  <c r="I59" i="3"/>
  <c r="I67" i="3"/>
  <c r="I75" i="3"/>
  <c r="I83" i="3"/>
  <c r="I34" i="3"/>
  <c r="I42" i="3"/>
  <c r="I50" i="3"/>
  <c r="I24" i="3"/>
  <c r="I128" i="3"/>
  <c r="I112" i="3"/>
  <c r="I39" i="3"/>
  <c r="I22" i="3"/>
  <c r="I95" i="3"/>
  <c r="I119" i="3"/>
  <c r="I79" i="3"/>
  <c r="I46" i="3"/>
  <c r="I102" i="3"/>
  <c r="I70" i="3"/>
  <c r="I45" i="3"/>
  <c r="I124" i="3"/>
  <c r="I98" i="3"/>
  <c r="I106" i="3"/>
  <c r="I114" i="3"/>
  <c r="I66" i="3"/>
  <c r="I74" i="3"/>
  <c r="I82" i="3"/>
  <c r="I33" i="3"/>
  <c r="I41" i="3"/>
  <c r="I49" i="3"/>
  <c r="I23" i="3"/>
  <c r="I104" i="3"/>
  <c r="I120" i="3"/>
  <c r="I64" i="3"/>
  <c r="I80" i="3"/>
  <c r="I58" i="3"/>
  <c r="I55" i="3"/>
  <c r="I127" i="3"/>
  <c r="I63" i="3"/>
  <c r="I38" i="3"/>
  <c r="I28" i="3"/>
  <c r="I110" i="3"/>
  <c r="I78" i="3"/>
  <c r="I53" i="3"/>
  <c r="I129" i="3"/>
  <c r="I97" i="3"/>
  <c r="I105" i="3"/>
  <c r="I113" i="3"/>
  <c r="I121" i="3"/>
  <c r="I65" i="3"/>
  <c r="I73" i="3"/>
  <c r="I81" i="3"/>
  <c r="I32" i="3"/>
  <c r="I40" i="3"/>
  <c r="I48" i="3"/>
  <c r="I31" i="3"/>
  <c r="I96" i="3"/>
  <c r="I72" i="3"/>
  <c r="I47" i="3"/>
  <c r="I94" i="3"/>
  <c r="I37" i="3"/>
  <c r="I125" i="3"/>
  <c r="I101" i="3"/>
  <c r="I109" i="3"/>
  <c r="I117" i="3"/>
  <c r="I61" i="3"/>
  <c r="I69" i="3"/>
  <c r="I77" i="3"/>
  <c r="I85" i="3"/>
  <c r="I36" i="3"/>
  <c r="I44" i="3"/>
  <c r="I52" i="3"/>
  <c r="I26" i="3"/>
  <c r="I92" i="3"/>
  <c r="I100" i="3"/>
  <c r="I108" i="3"/>
  <c r="I116" i="3"/>
  <c r="I60" i="3"/>
  <c r="I68" i="3"/>
  <c r="I76" i="3"/>
  <c r="I84" i="3"/>
  <c r="I35" i="3"/>
  <c r="I43" i="3"/>
  <c r="I51" i="3"/>
  <c r="I25" i="3"/>
  <c r="I103" i="3"/>
  <c r="I111" i="3"/>
  <c r="I71" i="3"/>
  <c r="I87" i="3"/>
  <c r="I54" i="3"/>
  <c r="I126" i="3"/>
  <c r="I118" i="3"/>
  <c r="I62" i="3"/>
  <c r="I86" i="3"/>
  <c r="I27" i="3"/>
  <c r="I90" i="3"/>
  <c r="L89" i="3"/>
  <c r="L30" i="3"/>
  <c r="M12" i="3" l="1"/>
  <c r="K12" i="3" s="1"/>
  <c r="L12" i="3" s="1"/>
  <c r="I131" i="3" s="1"/>
  <c r="I123" i="3"/>
  <c r="E124" i="3"/>
  <c r="G124" i="3" s="1"/>
  <c r="E127" i="3"/>
  <c r="G127" i="3" s="1"/>
  <c r="E125" i="3"/>
  <c r="G125" i="3" s="1"/>
  <c r="E126" i="3"/>
  <c r="G126" i="3" s="1"/>
  <c r="E128" i="3"/>
  <c r="G128" i="3" s="1"/>
  <c r="E129" i="3"/>
  <c r="G129" i="3" s="1"/>
  <c r="E91" i="3"/>
  <c r="G91" i="3" s="1"/>
  <c r="E44" i="3"/>
  <c r="G44" i="3" s="1"/>
  <c r="E74" i="3"/>
  <c r="G74" i="3" s="1"/>
  <c r="E41" i="3"/>
  <c r="G41" i="3" s="1"/>
  <c r="E68" i="3"/>
  <c r="G68" i="3" s="1"/>
  <c r="E112" i="3"/>
  <c r="G112" i="3" s="1"/>
  <c r="E66" i="3"/>
  <c r="G66" i="3" s="1"/>
  <c r="E100" i="3"/>
  <c r="G100" i="3" s="1"/>
  <c r="E50" i="3"/>
  <c r="G50" i="3" s="1"/>
  <c r="E39" i="3"/>
  <c r="G39" i="3" s="1"/>
  <c r="E115" i="3"/>
  <c r="G115" i="3" s="1"/>
  <c r="E33" i="3"/>
  <c r="G33" i="3" s="1"/>
  <c r="E120" i="3"/>
  <c r="G120" i="3" s="1"/>
  <c r="E22" i="3"/>
  <c r="G22" i="3" s="1"/>
  <c r="I21" i="3"/>
  <c r="E107" i="3"/>
  <c r="G107" i="3" s="1"/>
  <c r="E92" i="3"/>
  <c r="G92" i="3" s="1"/>
  <c r="E81" i="3"/>
  <c r="G81" i="3" s="1"/>
  <c r="E104" i="3"/>
  <c r="G104" i="3" s="1"/>
  <c r="E95" i="3"/>
  <c r="G95" i="3" s="1"/>
  <c r="E86" i="3"/>
  <c r="G86" i="3" s="1"/>
  <c r="E97" i="3"/>
  <c r="G97" i="3" s="1"/>
  <c r="E121" i="3"/>
  <c r="G121" i="3" s="1"/>
  <c r="E83" i="3"/>
  <c r="G83" i="3" s="1"/>
  <c r="E96" i="3"/>
  <c r="G96" i="3" s="1"/>
  <c r="E63" i="3"/>
  <c r="G63" i="3" s="1"/>
  <c r="E119" i="3"/>
  <c r="G119" i="3" s="1"/>
  <c r="E99" i="3"/>
  <c r="G99" i="3" s="1"/>
  <c r="E26" i="3"/>
  <c r="G26" i="3" s="1"/>
  <c r="E73" i="3"/>
  <c r="G73" i="3" s="1"/>
  <c r="E49" i="3"/>
  <c r="G49" i="3" s="1"/>
  <c r="E76" i="3"/>
  <c r="G76" i="3" s="1"/>
  <c r="E38" i="3"/>
  <c r="G38" i="3" s="1"/>
  <c r="E79" i="3"/>
  <c r="G79" i="3" s="1"/>
  <c r="E98" i="3"/>
  <c r="G98" i="3" s="1"/>
  <c r="E113" i="3"/>
  <c r="G113" i="3" s="1"/>
  <c r="E75" i="3"/>
  <c r="G75" i="3" s="1"/>
  <c r="E42" i="3"/>
  <c r="G42" i="3" s="1"/>
  <c r="E84" i="3"/>
  <c r="G84" i="3" s="1"/>
  <c r="E35" i="3"/>
  <c r="G35" i="3" s="1"/>
  <c r="E47" i="3"/>
  <c r="G47" i="3" s="1"/>
  <c r="E25" i="3"/>
  <c r="G25" i="3" s="1"/>
  <c r="E87" i="3"/>
  <c r="G87" i="3" s="1"/>
  <c r="E46" i="3"/>
  <c r="G46" i="3" s="1"/>
  <c r="E36" i="3"/>
  <c r="G36" i="3" s="1"/>
  <c r="E27" i="3"/>
  <c r="G27" i="3" s="1"/>
  <c r="E59" i="3"/>
  <c r="G59" i="3" s="1"/>
  <c r="E34" i="3"/>
  <c r="G34" i="3" s="1"/>
  <c r="E31" i="3"/>
  <c r="G31" i="3" s="1"/>
  <c r="I30" i="3"/>
  <c r="E80" i="3"/>
  <c r="G80" i="3" s="1"/>
  <c r="E37" i="3"/>
  <c r="G37" i="3" s="1"/>
  <c r="E102" i="3"/>
  <c r="G102" i="3" s="1"/>
  <c r="E105" i="3"/>
  <c r="G105" i="3" s="1"/>
  <c r="E52" i="3"/>
  <c r="G52" i="3" s="1"/>
  <c r="E65" i="3"/>
  <c r="G65" i="3" s="1"/>
  <c r="E108" i="3"/>
  <c r="G108" i="3" s="1"/>
  <c r="E32" i="3"/>
  <c r="G32" i="3" s="1"/>
  <c r="E60" i="3"/>
  <c r="G60" i="3" s="1"/>
  <c r="E48" i="3"/>
  <c r="G48" i="3" s="1"/>
  <c r="E64" i="3"/>
  <c r="G64" i="3" s="1"/>
  <c r="E43" i="3"/>
  <c r="G43" i="3" s="1"/>
  <c r="E51" i="3"/>
  <c r="G51" i="3" s="1"/>
  <c r="E94" i="3"/>
  <c r="G94" i="3" s="1"/>
  <c r="E111" i="3"/>
  <c r="G111" i="3" s="1"/>
  <c r="E71" i="3"/>
  <c r="G71" i="3" s="1"/>
  <c r="E28" i="3"/>
  <c r="G28" i="3" s="1"/>
  <c r="E69" i="3"/>
  <c r="G69" i="3" s="1"/>
  <c r="E78" i="3"/>
  <c r="G78" i="3" s="1"/>
  <c r="E70" i="3"/>
  <c r="G70" i="3" s="1"/>
  <c r="E106" i="3"/>
  <c r="G106" i="3" s="1"/>
  <c r="I89" i="3"/>
  <c r="E67" i="3"/>
  <c r="G67" i="3" s="1"/>
  <c r="E116" i="3"/>
  <c r="G116" i="3" s="1"/>
  <c r="E23" i="3"/>
  <c r="G23" i="3" s="1"/>
  <c r="E72" i="3"/>
  <c r="G72" i="3" s="1"/>
  <c r="E55" i="3"/>
  <c r="G55" i="3" s="1"/>
  <c r="E109" i="3"/>
  <c r="G109" i="3" s="1"/>
  <c r="E61" i="3"/>
  <c r="G61" i="3" s="1"/>
  <c r="E118" i="3"/>
  <c r="G118" i="3" s="1"/>
  <c r="E77" i="3"/>
  <c r="G77" i="3" s="1"/>
  <c r="E53" i="3"/>
  <c r="G53" i="3" s="1"/>
  <c r="E45" i="3"/>
  <c r="G45" i="3" s="1"/>
  <c r="E114" i="3"/>
  <c r="G114" i="3" s="1"/>
  <c r="E82" i="3"/>
  <c r="G82" i="3" s="1"/>
  <c r="E40" i="3"/>
  <c r="G40" i="3" s="1"/>
  <c r="E24" i="3"/>
  <c r="G24" i="3" s="1"/>
  <c r="E58" i="3"/>
  <c r="G58" i="3" s="1"/>
  <c r="I57" i="3"/>
  <c r="E103" i="3"/>
  <c r="G103" i="3" s="1"/>
  <c r="E101" i="3"/>
  <c r="G101" i="3" s="1"/>
  <c r="E117" i="3"/>
  <c r="G117" i="3" s="1"/>
  <c r="E54" i="3"/>
  <c r="G54" i="3" s="1"/>
  <c r="E110" i="3"/>
  <c r="G110" i="3" s="1"/>
  <c r="E62" i="3"/>
  <c r="G62" i="3" s="1"/>
  <c r="E85" i="3"/>
  <c r="G85" i="3" s="1"/>
  <c r="E90" i="3"/>
  <c r="G90" i="3" s="1"/>
  <c r="L142" i="3"/>
  <c r="L146" i="3"/>
  <c r="L144" i="3"/>
  <c r="L145" i="3"/>
  <c r="L147" i="3"/>
  <c r="L150" i="3"/>
  <c r="L143" i="3"/>
  <c r="L141" i="3"/>
  <c r="I132" i="3" l="1"/>
  <c r="E57" i="3"/>
  <c r="G57" i="3" s="1"/>
  <c r="E89" i="3"/>
  <c r="G89" i="3" s="1"/>
  <c r="C17" i="4"/>
  <c r="F23" i="4" s="1"/>
  <c r="F18" i="2"/>
  <c r="C19" i="4"/>
  <c r="H23" i="4" s="1"/>
  <c r="F20" i="2"/>
  <c r="E30" i="3"/>
  <c r="G30" i="3" s="1"/>
  <c r="L133" i="3" l="1"/>
  <c r="L132" i="3"/>
  <c r="L57" i="3"/>
  <c r="C18" i="4" l="1"/>
  <c r="G23" i="4" s="1"/>
  <c r="F19" i="2"/>
  <c r="L123" i="3" l="1"/>
  <c r="L149" i="3" l="1"/>
  <c r="N148" i="3" s="1"/>
  <c r="F21" i="2"/>
  <c r="C20" i="4"/>
  <c r="I23" i="4" s="1"/>
  <c r="E123" i="3"/>
  <c r="G123" i="3" s="1"/>
  <c r="E26" i="4" l="1"/>
  <c r="F26" i="4" l="1"/>
  <c r="G26" i="4" s="1"/>
  <c r="H26" i="4" s="1"/>
  <c r="I26" i="4" s="1"/>
  <c r="L21" i="3" l="1"/>
  <c r="F22" i="2" l="1"/>
  <c r="F30" i="2" s="1"/>
  <c r="E16" i="1" s="1"/>
  <c r="F17" i="2"/>
  <c r="C16" i="4"/>
  <c r="E21" i="3"/>
  <c r="G21" i="3" s="1"/>
  <c r="G21" i="2" l="1"/>
  <c r="G20" i="2"/>
  <c r="G19" i="2"/>
  <c r="G18" i="2"/>
  <c r="K141" i="3"/>
  <c r="K143" i="3"/>
  <c r="K145" i="3"/>
  <c r="G17" i="2"/>
  <c r="K142" i="3"/>
  <c r="K149" i="3"/>
  <c r="K146" i="3"/>
  <c r="K144" i="3"/>
  <c r="L148" i="3"/>
  <c r="L152" i="3" s="1"/>
  <c r="K152" i="3" s="1"/>
  <c r="K147" i="3"/>
  <c r="K150" i="3"/>
  <c r="C22" i="4"/>
  <c r="E23" i="4"/>
  <c r="E25" i="4" s="1"/>
  <c r="F25" i="4" s="1"/>
  <c r="G25" i="4" s="1"/>
  <c r="H25" i="4" s="1"/>
  <c r="I25" i="4" s="1"/>
  <c r="K148" i="3" l="1"/>
  <c r="G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mantunes</author>
  </authors>
  <commentList>
    <comment ref="A3" authorId="0" shapeId="0" xr:uid="{00000000-0006-0000-0000-000001000000}">
      <text>
        <r>
          <rPr>
            <sz val="11"/>
            <color indexed="81"/>
            <rFont val="Tahoma"/>
            <family val="2"/>
          </rPr>
          <t>Insira o nome do Órgão contratante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Insira o título da contração. Ex. "Elaboração de projetos para a construção da Seção Judiciária de Goiás/GO".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3000000}">
      <text>
        <r>
          <rPr>
            <sz val="10"/>
            <color indexed="81"/>
            <rFont val="Tahoma"/>
            <family val="2"/>
          </rPr>
          <t xml:space="preserve">Insira o endereço onde será </t>
        </r>
        <r>
          <rPr>
            <b/>
            <sz val="10"/>
            <color indexed="81"/>
            <rFont val="Tahoma"/>
            <family val="2"/>
          </rPr>
          <t>executada a obra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04000000}">
      <text>
        <r>
          <rPr>
            <sz val="10"/>
            <color indexed="81"/>
            <rFont val="Tahoma"/>
            <family val="2"/>
          </rPr>
          <t>Insira o nome da empresa proponente</t>
        </r>
      </text>
    </comment>
    <comment ref="G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Insira o nome do Responsável Técnico da proposta.</t>
        </r>
      </text>
    </comment>
    <comment ref="L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Insira o número do CREA/CAU do Responsável Técnico pela proposta.</t>
        </r>
      </text>
    </comment>
    <comment ref="B9" authorId="0" shapeId="0" xr:uid="{00000000-0006-0000-0000-000007000000}">
      <text>
        <r>
          <rPr>
            <sz val="10"/>
            <color indexed="81"/>
            <rFont val="Tahoma"/>
            <family val="2"/>
          </rPr>
          <t>Insira o número do CNPJ</t>
        </r>
      </text>
    </comment>
    <comment ref="I9" authorId="0" shapeId="0" xr:uid="{00000000-0006-0000-0000-000008000000}">
      <text>
        <r>
          <rPr>
            <sz val="10"/>
            <color indexed="81"/>
            <rFont val="Tahoma"/>
            <family val="2"/>
          </rPr>
          <t>Insira a data de apresentação da proposta.</t>
        </r>
      </text>
    </comment>
    <comment ref="C1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Insira a área estimada a ser projetada, de acordo com o programa de necessidades detalhado.</t>
        </r>
      </text>
    </comment>
    <comment ref="C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Insira o valor do SINAPI Regional.</t>
        </r>
      </text>
    </comment>
    <comment ref="C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Insira o mês e o ano de referência da coleta de preços - SINAPI REGIONAL</t>
        </r>
      </text>
    </comment>
    <comment ref="I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Insira o prazo para a execução dos projetos.</t>
        </r>
      </text>
    </comment>
    <comment ref="L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DE ACORDO COM A PLANILHA DE BDI</t>
        </r>
      </text>
    </comment>
    <comment ref="D22" authorId="0" shapeId="0" xr:uid="{00000000-0006-0000-0000-00000E000000}">
      <text>
        <r>
          <rPr>
            <b/>
            <sz val="10"/>
            <color indexed="81"/>
            <rFont val="Tahoma"/>
            <family val="2"/>
          </rPr>
          <t>Preenchimento pela Administração do Órgão contratante. 
Colocar "1" para projeto a ser contratado e "0" para projeto que não será contratado.</t>
        </r>
      </text>
    </comment>
    <comment ref="L2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7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mantunes</author>
    <author>Lucio Castelo Branco</author>
  </authors>
  <commentList>
    <comment ref="A3" authorId="0" shapeId="0" xr:uid="{C09EC336-9828-470F-B583-012B89959515}">
      <text>
        <r>
          <rPr>
            <sz val="11"/>
            <color indexed="81"/>
            <rFont val="Tahoma"/>
            <family val="2"/>
          </rPr>
          <t>Insira o nome do Órgão contratante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7D6545FA-A982-45F1-AAD0-16264CE30B28}">
      <text>
        <r>
          <rPr>
            <b/>
            <sz val="10"/>
            <color indexed="81"/>
            <rFont val="Tahoma"/>
            <family val="2"/>
          </rPr>
          <t>Insira o título da contração. Ex. "Elaboração de projetos para a construção da Seção Judiciária de Goiás/GO".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B794702-0BFD-4632-9DBA-0F48F4E8FE8C}">
      <text>
        <r>
          <rPr>
            <sz val="10"/>
            <color indexed="81"/>
            <rFont val="Tahoma"/>
            <family val="2"/>
          </rPr>
          <t xml:space="preserve">Insira o endereço onde será </t>
        </r>
        <r>
          <rPr>
            <b/>
            <sz val="10"/>
            <color indexed="81"/>
            <rFont val="Tahoma"/>
            <family val="2"/>
          </rPr>
          <t>executada a obra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244E2D57-62C0-4A51-B55F-17C207A103C9}">
      <text>
        <r>
          <rPr>
            <sz val="10"/>
            <color indexed="81"/>
            <rFont val="Tahoma"/>
            <family val="2"/>
          </rPr>
          <t>Insira o nome da empresa proponente</t>
        </r>
      </text>
    </comment>
    <comment ref="F8" authorId="0" shapeId="0" xr:uid="{01C79AF0-1EB5-432A-B868-37CD8B6F9A3A}">
      <text>
        <r>
          <rPr>
            <b/>
            <sz val="9"/>
            <color indexed="81"/>
            <rFont val="Tahoma"/>
            <family val="2"/>
          </rPr>
          <t>Insira o nome do Responsável Técnico da proposta.</t>
        </r>
      </text>
    </comment>
    <comment ref="J8" authorId="0" shapeId="0" xr:uid="{21559075-EFB4-42C3-9487-3849ED0D9FCB}">
      <text>
        <r>
          <rPr>
            <b/>
            <sz val="9"/>
            <color indexed="81"/>
            <rFont val="Tahoma"/>
            <family val="2"/>
          </rPr>
          <t>Insira o número do CREA/CAU do Responsável Técnico pela proposta.</t>
        </r>
      </text>
    </comment>
    <comment ref="B9" authorId="0" shapeId="0" xr:uid="{685001BF-113A-4574-8323-11BAEEDD2FDC}">
      <text>
        <r>
          <rPr>
            <sz val="10"/>
            <color indexed="81"/>
            <rFont val="Tahoma"/>
            <family val="2"/>
          </rPr>
          <t>Insira o número do CNPJ</t>
        </r>
      </text>
    </comment>
    <comment ref="H9" authorId="0" shapeId="0" xr:uid="{552AE352-8DD4-4DCA-81AD-ABFE04E2B157}">
      <text>
        <r>
          <rPr>
            <sz val="10"/>
            <color indexed="81"/>
            <rFont val="Tahoma"/>
            <family val="2"/>
          </rPr>
          <t>Insira a data de apresentação da proposta.</t>
        </r>
      </text>
    </comment>
    <comment ref="C11" authorId="0" shapeId="0" xr:uid="{47744438-BE00-418C-9216-1F47AA868685}">
      <text>
        <r>
          <rPr>
            <b/>
            <sz val="9"/>
            <color indexed="81"/>
            <rFont val="Tahoma"/>
            <family val="2"/>
          </rPr>
          <t>Área estimada a ser projetada, de acordo com o programa de necessidades detalhado.</t>
        </r>
      </text>
    </comment>
    <comment ref="C12" authorId="0" shapeId="0" xr:uid="{EC0F8B33-DF0C-4200-ADA8-74740F22E017}">
      <text>
        <r>
          <rPr>
            <b/>
            <sz val="9"/>
            <color indexed="81"/>
            <rFont val="Tahoma"/>
            <family val="2"/>
          </rPr>
          <t>Insira o número de pavimentos do edifício. &gt;=1.</t>
        </r>
      </text>
    </comment>
    <comment ref="J12" authorId="1" shapeId="0" xr:uid="{5F8F75B5-C9F2-4452-89D5-F4428CBBD4B3}">
      <text>
        <r>
          <rPr>
            <b/>
            <sz val="9"/>
            <color indexed="81"/>
            <rFont val="Segoe UI"/>
            <family val="2"/>
          </rPr>
          <t>Inserir a área de projeção horizontal da edificação a ser considerada no nº de furos de sondagem SPT.</t>
        </r>
      </text>
    </comment>
    <comment ref="C14" authorId="1" shapeId="0" xr:uid="{F9ABDE34-A135-4E60-9981-A4E6D55406BC}">
      <text>
        <r>
          <rPr>
            <sz val="9"/>
            <color indexed="81"/>
            <rFont val="Segoe UI"/>
            <family val="2"/>
          </rPr>
          <t>INSERIR A ÁREA DO TERRENO ONDE SERÁ CONSTRUÍDA A EDIFICAÇÃO.</t>
        </r>
      </text>
    </comment>
    <comment ref="H14" authorId="0" shapeId="0" xr:uid="{B4AEE0AC-2857-435D-9DD8-7EE06EAAB0E2}">
      <text>
        <r>
          <rPr>
            <b/>
            <sz val="9"/>
            <color indexed="81"/>
            <rFont val="Tahoma"/>
            <family val="2"/>
          </rPr>
          <t>RESULTADO AUTOMÁTICO
EM RAZÃO DA PROJEÇÃO</t>
        </r>
      </text>
    </comment>
    <comment ref="J14" authorId="0" shapeId="0" xr:uid="{F4DA77AD-501D-4A9D-B58D-D1AAF21175D0}">
      <text>
        <r>
          <rPr>
            <b/>
            <sz val="9"/>
            <color indexed="81"/>
            <rFont val="Tahoma"/>
            <family val="2"/>
          </rPr>
          <t>DE ACORDO COM A PLANILHA DE BDI</t>
        </r>
      </text>
    </comment>
    <comment ref="H15" authorId="1" shapeId="0" xr:uid="{C1011242-6406-4362-A8DC-AC8FFCA701B4}">
      <text>
        <r>
          <rPr>
            <sz val="9"/>
            <color indexed="81"/>
            <rFont val="Segoe UI"/>
            <family val="2"/>
          </rPr>
          <t xml:space="preserve">INFORMAR A PROFUNDIDADE MÉDIA ESPERADA PARA O FURO
</t>
        </r>
      </text>
    </comment>
    <comment ref="D22" authorId="0" shapeId="0" xr:uid="{6F31EC2C-FD89-4D6D-A68D-FF59DB298F92}">
      <text>
        <r>
          <rPr>
            <b/>
            <sz val="10"/>
            <color indexed="81"/>
            <rFont val="Tahoma"/>
            <family val="2"/>
          </rPr>
          <t>Preenchimento pela Administração do Órgão contratante. 
Inserir a quantidade de serviço a ser realizado</t>
        </r>
      </text>
    </comment>
    <comment ref="J22" authorId="0" shapeId="0" xr:uid="{F65DA2B1-60B5-4B66-A20B-F95931DE6F3B}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lucio</author>
  </authors>
  <commentList>
    <comment ref="D1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A ser preenchido pela Administração.
</t>
        </r>
      </text>
    </comment>
    <comment ref="D16" authorId="0" shapeId="0" xr:uid="{00000000-0006-0000-0200-000002000000}">
      <text>
        <r>
          <rPr>
            <sz val="9"/>
            <color indexed="81"/>
            <rFont val="Tahoma"/>
            <family val="2"/>
          </rPr>
          <t>Percentuais a serem preenchidos somente  pela Administração. 
A soma dos percentuais deverá ser de 100%.</t>
        </r>
      </text>
    </comment>
  </commentList>
</comments>
</file>

<file path=xl/sharedStrings.xml><?xml version="1.0" encoding="utf-8"?>
<sst xmlns="http://schemas.openxmlformats.org/spreadsheetml/2006/main" count="572" uniqueCount="355">
  <si>
    <t>04.01</t>
  </si>
  <si>
    <t>04.08</t>
  </si>
  <si>
    <t>05.02</t>
  </si>
  <si>
    <t>ORÇAMENTO SINTÉTICO</t>
  </si>
  <si>
    <t>CÓDIGO</t>
  </si>
  <si>
    <t>DESCRIÇÃO</t>
  </si>
  <si>
    <t>UNIDADE</t>
  </si>
  <si>
    <t>QUANT.</t>
  </si>
  <si>
    <t>PREÇO(R$)</t>
  </si>
  <si>
    <t>01.01</t>
  </si>
  <si>
    <t>02.01</t>
  </si>
  <si>
    <t>02.02</t>
  </si>
  <si>
    <t>02.03</t>
  </si>
  <si>
    <t>02.04</t>
  </si>
  <si>
    <t>03.01</t>
  </si>
  <si>
    <t>03.02</t>
  </si>
  <si>
    <t>03.04</t>
  </si>
  <si>
    <t>04.02</t>
  </si>
  <si>
    <t>04.03</t>
  </si>
  <si>
    <t>04.04</t>
  </si>
  <si>
    <t>05.01</t>
  </si>
  <si>
    <t>01.00</t>
  </si>
  <si>
    <t>02.00</t>
  </si>
  <si>
    <t>03.00</t>
  </si>
  <si>
    <t>04.00</t>
  </si>
  <si>
    <t>05.00</t>
  </si>
  <si>
    <t>ITEM</t>
  </si>
  <si>
    <t>01</t>
  </si>
  <si>
    <t>02</t>
  </si>
  <si>
    <t>03</t>
  </si>
  <si>
    <t>04</t>
  </si>
  <si>
    <t>05</t>
  </si>
  <si>
    <t>02.05</t>
  </si>
  <si>
    <t>05.03</t>
  </si>
  <si>
    <t>un</t>
  </si>
  <si>
    <t>UNID</t>
  </si>
  <si>
    <t>PLANILHA ORÇAMENTARIA</t>
  </si>
  <si>
    <t>CRONOGRAMA FÍSICO-FINANCEIRO</t>
  </si>
  <si>
    <t>03.05</t>
  </si>
  <si>
    <t>03.07</t>
  </si>
  <si>
    <t>03.08</t>
  </si>
  <si>
    <t>03.09</t>
  </si>
  <si>
    <t>04.05</t>
  </si>
  <si>
    <t>04.07</t>
  </si>
  <si>
    <t>ESTUDOS PRELIMINARES</t>
  </si>
  <si>
    <t>Relatórios comparativos sobre os sistemas a serem utilizados na obra</t>
  </si>
  <si>
    <t>Relatório sobre os materiais a serem utilizados na obra, com custos comparativos e benefícios</t>
  </si>
  <si>
    <t>Partido arquitetônico adotado</t>
  </si>
  <si>
    <t>ANTEPROJETO</t>
  </si>
  <si>
    <t>PROJETO BÁSICO</t>
  </si>
  <si>
    <t>Relação das cotações de preços que não tem no SINAPI</t>
  </si>
  <si>
    <t>Pranchas de desenho – relação dos projetos / número de pranchas / CD / escalas/carimbo</t>
  </si>
  <si>
    <t>Relação dos preços paradigmas que não tem SINAPI</t>
  </si>
  <si>
    <t>PROJETO EXECUTIVO</t>
  </si>
  <si>
    <t>Aprovação do projeto de arquitetura na Prefeitura</t>
  </si>
  <si>
    <t>01.02</t>
  </si>
  <si>
    <t>01.03</t>
  </si>
  <si>
    <t>01.04</t>
  </si>
  <si>
    <t>01.05</t>
  </si>
  <si>
    <t>01.06</t>
  </si>
  <si>
    <t>01.07</t>
  </si>
  <si>
    <t>. Terraplanagem</t>
  </si>
  <si>
    <t>. Fundação</t>
  </si>
  <si>
    <t>. Estrutural - Superestrutura</t>
  </si>
  <si>
    <t>. Estrutural - Cobertura</t>
  </si>
  <si>
    <t>. Esgoto sanitário</t>
  </si>
  <si>
    <t>. Instalações elétricas - Normal</t>
  </si>
  <si>
    <t>. Instalações elétricas - Estabilizada</t>
  </si>
  <si>
    <t>. Instalações elétricas - Subestação</t>
  </si>
  <si>
    <t>. Telefonia</t>
  </si>
  <si>
    <t>. Rede lógica - Sistema de Cabeamento Estruturado</t>
  </si>
  <si>
    <t>. Detecção e Alarme Contra Incêndio</t>
  </si>
  <si>
    <t>. Prevenção e Combate a Incêndio</t>
  </si>
  <si>
    <t>. Ar Condicionado</t>
  </si>
  <si>
    <t>. Supervisão Comando e Controle de Edificações (ar condic., CFTV, luz, alarme de incêndio)</t>
  </si>
  <si>
    <t>. SPDA</t>
  </si>
  <si>
    <t>. Impermeabilização</t>
  </si>
  <si>
    <t>. Gás</t>
  </si>
  <si>
    <t xml:space="preserve">Pert-CPM (Diagrama de precedencia, EAP, prazo ótimo, cronograma) </t>
  </si>
  <si>
    <t>Licença ambiental prévia</t>
  </si>
  <si>
    <t>03.03</t>
  </si>
  <si>
    <t>03.06</t>
  </si>
  <si>
    <t>04.06</t>
  </si>
  <si>
    <t>05.05</t>
  </si>
  <si>
    <t>Estudo da legislação das concessionárias públicas locais</t>
  </si>
  <si>
    <t>Estudo da legislação de órgãos locais para obtenção de licenças ambientais</t>
  </si>
  <si>
    <t>02.06</t>
  </si>
  <si>
    <t>02.07</t>
  </si>
  <si>
    <t>02.08</t>
  </si>
  <si>
    <t>02.09</t>
  </si>
  <si>
    <t>02.10</t>
  </si>
  <si>
    <t>02.11</t>
  </si>
  <si>
    <t>02.12</t>
  </si>
  <si>
    <t>02.13</t>
  </si>
  <si>
    <t>02.14</t>
  </si>
  <si>
    <t>02.15</t>
  </si>
  <si>
    <t>02.16</t>
  </si>
  <si>
    <t>02.17</t>
  </si>
  <si>
    <t>02.18</t>
  </si>
  <si>
    <t>02.19</t>
  </si>
  <si>
    <t>02.20</t>
  </si>
  <si>
    <t>02.21</t>
  </si>
  <si>
    <t>. Elevadores (estudos para dimensionamento)</t>
  </si>
  <si>
    <t>02.22</t>
  </si>
  <si>
    <t>02.23</t>
  </si>
  <si>
    <t>02.24</t>
  </si>
  <si>
    <t>02.25</t>
  </si>
  <si>
    <t>BDI =</t>
  </si>
  <si>
    <t>EMPRESA:</t>
  </si>
  <si>
    <t xml:space="preserve"> BDI (R$)</t>
  </si>
  <si>
    <t>03.10</t>
  </si>
  <si>
    <t>03.11</t>
  </si>
  <si>
    <t>03.12</t>
  </si>
  <si>
    <t>03.13</t>
  </si>
  <si>
    <t>03.14</t>
  </si>
  <si>
    <t>03.15</t>
  </si>
  <si>
    <t>03.16</t>
  </si>
  <si>
    <t>03.17</t>
  </si>
  <si>
    <t>03.18</t>
  </si>
  <si>
    <t>03.19</t>
  </si>
  <si>
    <t>03.20</t>
  </si>
  <si>
    <t>03.21</t>
  </si>
  <si>
    <t>03.22</t>
  </si>
  <si>
    <t>03.23</t>
  </si>
  <si>
    <t>03.24</t>
  </si>
  <si>
    <t>03.25</t>
  </si>
  <si>
    <t>Memorial de cálculo dos projetos estruturais, climatização, hidro-sanitários, combate a incêndio e elétrico</t>
  </si>
  <si>
    <t>. Sinalização Visual</t>
  </si>
  <si>
    <t>. Paisagismo</t>
  </si>
  <si>
    <t>. Águas pluviais (captação e drenagem)</t>
  </si>
  <si>
    <t>. Àguas pluviais (captação e drenagem)</t>
  </si>
  <si>
    <t>04.09</t>
  </si>
  <si>
    <t>04.10</t>
  </si>
  <si>
    <t>04.11</t>
  </si>
  <si>
    <t>04.12</t>
  </si>
  <si>
    <t>04.13</t>
  </si>
  <si>
    <t>04.14</t>
  </si>
  <si>
    <t>04.15</t>
  </si>
  <si>
    <t>04.16</t>
  </si>
  <si>
    <t>04.17</t>
  </si>
  <si>
    <t>04.18</t>
  </si>
  <si>
    <t>04.19</t>
  </si>
  <si>
    <t>04.20</t>
  </si>
  <si>
    <t>04.21</t>
  </si>
  <si>
    <t>04.22</t>
  </si>
  <si>
    <t>04.23</t>
  </si>
  <si>
    <t>04.24</t>
  </si>
  <si>
    <t>04.25</t>
  </si>
  <si>
    <t xml:space="preserve">Relatório de viabilidade do investimento </t>
  </si>
  <si>
    <t>ART ou RRT da planilha orçamentária, caderno de encargos e especificações técnicas.</t>
  </si>
  <si>
    <t>Aprovação dos projetos de combate e prevenção a incêndios no Corpo de Bombeiros</t>
  </si>
  <si>
    <t>Aprovação dos projetos nas concessionárias públicas (elétrica, água/esgoto etc)</t>
  </si>
  <si>
    <t>APROVAÇÃO DE PROJETOS E ENTREGA DE DOCUMENTAÇÃO</t>
  </si>
  <si>
    <t>Composição dos custos unitários de todos os serviços em nível de Projeto Básico</t>
  </si>
  <si>
    <t xml:space="preserve">Orçamento da obra em nível de Projeto Básico </t>
  </si>
  <si>
    <t>Caderno de encargos e especificações técnicas de todos os projetos em nível de Projeto Básico</t>
  </si>
  <si>
    <t>Caderno de encargos e especificações técnicas de todos os projetos em nível de Projeto Executivo</t>
  </si>
  <si>
    <t>04.26</t>
  </si>
  <si>
    <t>04.27</t>
  </si>
  <si>
    <t>04.28</t>
  </si>
  <si>
    <t>04.29</t>
  </si>
  <si>
    <t>04.30</t>
  </si>
  <si>
    <t>Orçamento da obra em nível de Projeto Executivo</t>
  </si>
  <si>
    <t>Composição dos custos unitários de todos os serviços em nível de Projeto Executivo</t>
  </si>
  <si>
    <t>03.26</t>
  </si>
  <si>
    <t>03.27</t>
  </si>
  <si>
    <t>03.28</t>
  </si>
  <si>
    <t>03.29</t>
  </si>
  <si>
    <t>ESTRUTURA</t>
  </si>
  <si>
    <t>INSTALAÇÕES ELÉTRICAS</t>
  </si>
  <si>
    <t>LÓGICA/TELEFONIA</t>
  </si>
  <si>
    <t>HIDRO-SANITÁRIA</t>
  </si>
  <si>
    <t>COMBATE E PREVENÇÃO A INCÊNDIOS</t>
  </si>
  <si>
    <t>AR CONDICIONADO</t>
  </si>
  <si>
    <t>ORÇAMENTO E DOCUMENTAÇÃO</t>
  </si>
  <si>
    <t>DEMAIS PROJETOS</t>
  </si>
  <si>
    <t>APROVAÇÃO DE PROJETOS/DOCUMENTAÇÃO</t>
  </si>
  <si>
    <t>03.30</t>
  </si>
  <si>
    <t>Maquete eletrônica preliminar</t>
  </si>
  <si>
    <t>04.31</t>
  </si>
  <si>
    <t>Maquete eletrônica final</t>
  </si>
  <si>
    <t>CNPJ:</t>
  </si>
  <si>
    <t xml:space="preserve">PREÇO TOTAL </t>
  </si>
  <si>
    <t>PRAZO DE EXECUÇÃO - DIAS CORRIDOS:</t>
  </si>
  <si>
    <t>% DO PRAZO DE EXECUÇÃO</t>
  </si>
  <si>
    <t>1ª ETAPA
EM DIAS</t>
  </si>
  <si>
    <t>2ª ETAPA
EM DIAS</t>
  </si>
  <si>
    <t>3ª ETAPA
EM DIAS</t>
  </si>
  <si>
    <t>4ª ETAPA
EM DIAS</t>
  </si>
  <si>
    <t>5ª ETAPA
EM DIAS</t>
  </si>
  <si>
    <t>PREÇO TOTAL DA ETAPA</t>
  </si>
  <si>
    <t>VALOR GLOBAL DOS SERVIÇOS:</t>
  </si>
  <si>
    <t>SERVIÇO:</t>
  </si>
  <si>
    <t xml:space="preserve">PRAZO DE EXECUÇÃO-DIAS CORRIDOS: </t>
  </si>
  <si>
    <t>CNPJ: XX.XXX.XXX/XXX-XX</t>
  </si>
  <si>
    <t>PREÇO UNIT.(R$)
SEM BDI</t>
  </si>
  <si>
    <t>DATA DE APRESENTAÇÃO DA PROPOSTA:</t>
  </si>
  <si>
    <t>DATA DA APRES. DA PROPOSTA:</t>
  </si>
  <si>
    <t>CREA/CAU:</t>
  </si>
  <si>
    <t>RESP. TÉCN.:</t>
  </si>
  <si>
    <t>PRAZO PARA EXECUÇÃO EM DIAS CORRIDOS:</t>
  </si>
  <si>
    <r>
      <rPr>
        <sz val="7"/>
        <rFont val="Arial"/>
        <family val="2"/>
      </rPr>
      <t xml:space="preserve">            PODER JUDICIÁRIO </t>
    </r>
    <r>
      <rPr>
        <b/>
        <sz val="10"/>
        <rFont val="Arial"/>
        <family val="2"/>
      </rPr>
      <t xml:space="preserve">
       </t>
    </r>
    <r>
      <rPr>
        <b/>
        <sz val="9"/>
        <rFont val="Arial"/>
        <family val="2"/>
      </rPr>
      <t>JUSTIÇA FEDERAL</t>
    </r>
  </si>
  <si>
    <r>
      <rPr>
        <sz val="7"/>
        <rFont val="Arial"/>
        <family val="2"/>
      </rPr>
      <t xml:space="preserve">PODER JUDICIÁRIO
</t>
    </r>
    <r>
      <rPr>
        <b/>
        <sz val="8"/>
        <rFont val="Arial"/>
        <family val="2"/>
      </rPr>
      <t>JUSTIÇA FEDERAL</t>
    </r>
  </si>
  <si>
    <t>XX.YYY.ZZZ/AAAA-BB</t>
  </si>
  <si>
    <t>dd/mm/aaaa</t>
  </si>
  <si>
    <t>ARQUITETURA</t>
  </si>
  <si>
    <t>NOME DA EMPRESA:</t>
  </si>
  <si>
    <r>
      <rPr>
        <sz val="7"/>
        <rFont val="Arial"/>
        <family val="2"/>
      </rPr>
      <t xml:space="preserve">        PODER JUDICIÁRIO </t>
    </r>
    <r>
      <rPr>
        <b/>
        <sz val="10"/>
        <rFont val="Arial"/>
        <family val="2"/>
      </rPr>
      <t xml:space="preserve">
     </t>
    </r>
    <r>
      <rPr>
        <b/>
        <sz val="9"/>
        <rFont val="Arial"/>
        <family val="2"/>
      </rPr>
      <t>JUSTIÇA FEDERAL</t>
    </r>
  </si>
  <si>
    <t xml:space="preserve">. Arquitetura </t>
  </si>
  <si>
    <t>ESCALONAMENTO DO VALOR DO PROJETO. EM RELAÇÃO A ÁREA: SE A &lt;= 3.000; 5%. SE A &gt;=10.000;3,5%. SE FALSO;4%.</t>
  </si>
  <si>
    <t>RESUMO DOS PROJETOS</t>
  </si>
  <si>
    <t>05.06</t>
  </si>
  <si>
    <t>PERCENTUAL OFERTADO PELO LICITANTE
% SERÁ  ≤ AO DO ÓRGÃO</t>
  </si>
  <si>
    <t>PREÇO TOTAL (R$)</t>
  </si>
  <si>
    <t>ITEM PARA AJUSTE DO PERCENTUAL MÁXIMO A SER PAGO PELO PROJETO: Pmáximo = (% CO X % DE PROJETOS A CONTRATAR)/100</t>
  </si>
  <si>
    <r>
      <t xml:space="preserve"> 
          </t>
    </r>
    <r>
      <rPr>
        <sz val="8"/>
        <rFont val="Arial"/>
        <family val="2"/>
      </rPr>
      <t xml:space="preserve">PODER JUDICIÁRIO </t>
    </r>
    <r>
      <rPr>
        <b/>
        <sz val="8"/>
        <rFont val="Arial"/>
        <family val="2"/>
      </rPr>
      <t xml:space="preserve">
              </t>
    </r>
    <r>
      <rPr>
        <b/>
        <sz val="10"/>
        <rFont val="Arial"/>
        <family val="2"/>
      </rPr>
      <t>JUSTIÇA FEDERAL</t>
    </r>
  </si>
  <si>
    <t>. Hidráulica</t>
  </si>
  <si>
    <t>. CFTV e Controle de Acesso.</t>
  </si>
  <si>
    <t>. CFTV e Controle de Acesso</t>
  </si>
  <si>
    <t>. Águas pluviais</t>
  </si>
  <si>
    <t>Estudo dos condicionantes legais vigentes (uso do solo, plano diretor municipal, etc)</t>
  </si>
  <si>
    <t>PARCIAL SERVIÇOS =</t>
  </si>
  <si>
    <t>TOTAIS:</t>
  </si>
  <si>
    <t xml:space="preserve">TOTAL DO ORÇAMENTO DO LICITANTE COM BDI: </t>
  </si>
  <si>
    <t>MÁXIMO % SOBRE O VALOR DE TODOS OS PROJETOS</t>
  </si>
  <si>
    <t>% VALOR GLOBAL LICITADO</t>
  </si>
  <si>
    <t>PERCENTUAL MÁXIMO PARA A CONTRATAÇÃO DA TOTALIDADE DOS PROJETOS</t>
  </si>
  <si>
    <t>VALOR ACUMULADO DAS ETAPAS (R$)</t>
  </si>
  <si>
    <t>PERCENTUAL  DO PRAZO DE EXECUÇÃO ACUMULADO</t>
  </si>
  <si>
    <t>VALOR DA ETAPA (R$)</t>
  </si>
  <si>
    <t>PERCENTUAL DO PPRAZO DE EXECUÇÃO</t>
  </si>
  <si>
    <t xml:space="preserve">ENDEREÇO DA OBRA: </t>
  </si>
  <si>
    <t>MÊS/ANO DE REFERÊNCIA DE COLETA DE PREÇOS: SINAPI ESTADUAL</t>
  </si>
  <si>
    <t>SINAPI - VALOR ESTADUAL MÉDIO DO M² DE CONSTRUÇÃO:</t>
  </si>
  <si>
    <t xml:space="preserve">PREÇO MÁXIMO ADIMITIDO PELO ÓRGÃO PARA EXECUÇÃO DOS PROJETOS COM BDI: </t>
  </si>
  <si>
    <t>-</t>
  </si>
  <si>
    <t>PREÇO TOTAL ESTIMADO DA OBRA - CO = ((3,20 X SINAPI) X ÁREA):</t>
  </si>
  <si>
    <t>PREÇO MÁXIMO ADMITIDO PARA O PROJETO (% CO):</t>
  </si>
  <si>
    <t>DESCONTOS</t>
  </si>
  <si>
    <t>ÓRGÃO CONTRATANTE: SEÇÃO JUDICIÁRIA ....</t>
  </si>
  <si>
    <t>ELABORAÇÃO DE PROJETOS PARA A CONSTRUÇÃO DO EDIFÍCIO SEDE DA SUBSEÇÃO JUDICIÁRIA DE .....</t>
  </si>
  <si>
    <t>PERCENTUAIS AJUSTADOS AOS PROJETOS EXECUTIVOS EFETIVAMENTE CONTRATADOS</t>
  </si>
  <si>
    <t>Percentual Máximo Dos Projetos Executivos:</t>
  </si>
  <si>
    <t>ART e/ou RRT de todos os projetos (arquitetura e complementares)</t>
  </si>
  <si>
    <t>PERCENTUAIS AJUSTADOS AOS PROJETOS BÁSICOS EFETIVAMENTE CONTRATADOS</t>
  </si>
  <si>
    <t>Percentual Máximo Dos Projetos Básicoss:</t>
  </si>
  <si>
    <t>Percentual ajustado aos Anteprojetos contratados</t>
  </si>
  <si>
    <t>Percentual Máximo Dos Anteprojetos:</t>
  </si>
  <si>
    <t>CÁLCULO DA TAXA DE BENEFÍCIOS E DESPESAS INDIRETA - BDI PARA ENGENHARIA CONSULTIVA</t>
  </si>
  <si>
    <t>Em que:</t>
  </si>
  <si>
    <t>G = taxa representativa de Garantias;</t>
  </si>
  <si>
    <t>PV = Preço de Venda;</t>
  </si>
  <si>
    <t>AC = taxa representativa das despesas de rateio da Administração Central;</t>
  </si>
  <si>
    <t>DF = taxa representativa das Despesas Financeiras;</t>
  </si>
  <si>
    <t>CD = Custo Direto;</t>
  </si>
  <si>
    <t>S = taxa representativa de Seguros;</t>
  </si>
  <si>
    <t>L = taxa representativa do Lucro;</t>
  </si>
  <si>
    <t>BDI = Benefício e Despesas Indiretas (lucro e despesas indiretas);</t>
  </si>
  <si>
    <t>R = taxa representativa de Riscos;</t>
  </si>
  <si>
    <t>I = taxa representativa da incidência de Impostos.</t>
  </si>
  <si>
    <t>NOTA: A fórmula adotada para o cálculo do BDI é a desenvolvido pelo Tribunal de Contas da União - TCU, apresentado no âmbito do acórdão TC 2622/2013.</t>
  </si>
  <si>
    <t>PERCENTUAIS DOS COMPONENTES DO BDI SUGERIDOS PELO TCU</t>
  </si>
  <si>
    <t>1º QUARTIL</t>
  </si>
  <si>
    <t>3º QUARTIL</t>
  </si>
  <si>
    <t>MÉDIO</t>
  </si>
  <si>
    <t>ADOTADO</t>
  </si>
  <si>
    <t>ADMINISTRAÇÃO CENTRAL - LUCRO</t>
  </si>
  <si>
    <t>A. Central</t>
  </si>
  <si>
    <t>Lucro</t>
  </si>
  <si>
    <t xml:space="preserve">CONSTRUÇÃO DE EDIFÍCIOS </t>
  </si>
  <si>
    <t>DESPESAS FINANCEIRAS</t>
  </si>
  <si>
    <t>SEGURO + GARANTIAS</t>
  </si>
  <si>
    <t>RISCOS</t>
  </si>
  <si>
    <t>PERCENTUAL TOTAL DOS TRIBUTOS:</t>
  </si>
  <si>
    <t>Recomendação TCU: Redução de 20% da alíquota do PIS e COFINS</t>
  </si>
  <si>
    <t>ISS</t>
  </si>
  <si>
    <t>PIS</t>
  </si>
  <si>
    <t>N/A</t>
  </si>
  <si>
    <t>CONFINS</t>
  </si>
  <si>
    <t>(80% de 1,65%)</t>
  </si>
  <si>
    <t>(80% de 7,60%)</t>
  </si>
  <si>
    <r>
      <t xml:space="preserve">PERCENTUAL DE BDI CALCULADO </t>
    </r>
    <r>
      <rPr>
        <sz val="20"/>
        <color theme="3"/>
        <rFont val="Calibri"/>
        <family val="2"/>
      </rPr>
      <t>=&gt;</t>
    </r>
  </si>
  <si>
    <t>RESUMO</t>
  </si>
  <si>
    <t>DESCRIÇÃO DOS ITENS</t>
  </si>
  <si>
    <t>SG = taxa representativa de Seguros + Garantias</t>
  </si>
  <si>
    <t xml:space="preserve">FÓRMULA:  BDI = (((1+AC+SG+R) X (1+DF) X (1+L)) / (1-I))-1 </t>
  </si>
  <si>
    <t>Observações:</t>
  </si>
  <si>
    <r>
      <t xml:space="preserve">1 -  Os percentuais de PIS e COFINS adotados referem-se a pessoas jurídcas sujeitas ao </t>
    </r>
    <r>
      <rPr>
        <b/>
        <sz val="10"/>
        <rFont val="Arial"/>
        <family val="2"/>
      </rPr>
      <t xml:space="preserve">regime de incidência não-cumulativa, </t>
    </r>
    <r>
      <rPr>
        <sz val="10"/>
        <rFont val="Arial"/>
        <family val="2"/>
      </rPr>
      <t xml:space="preserve">considerando-se o </t>
    </r>
    <r>
      <rPr>
        <b/>
        <sz val="10"/>
        <rFont val="Arial"/>
        <family val="2"/>
      </rPr>
      <t>desconto de 20%</t>
    </r>
    <r>
      <rPr>
        <sz val="10"/>
        <rFont val="Arial"/>
        <family val="2"/>
      </rPr>
      <t xml:space="preserve"> indicado pelo SINAENCO (Acórdão TCU-Plenário N. 2.622/2013, Lei N. 2.622/2013, Lei 10.637/2002, Lei N. 10.833/2003 e publicação Orientações Para Elaboração de Planilhas Orçamentárias de Obras Públicas do TCU - pag. 92 . Eventuais ajustes nas alíquotas de PIS e COFINS devem ser feitos pelos lictantes de acordo com sua real situação tributária.</t>
    </r>
  </si>
  <si>
    <t>2 - O percentual do ISS a ser adotado para a execução de serviços de engenharia consultiva deverá observar a legislação tributária municipal onde serão prestados os serviços.</t>
  </si>
  <si>
    <t>3 - Para serviços de engenharia consultiva não é permitida a utilização de mão de obra desonerada na cotação dos serviços. Logo, não deverá ser utilizada na planilha de composição do BDI alíquota referente à Contribuição Previdenciária sobre a Receita Bruta - CPRB.</t>
  </si>
  <si>
    <t xml:space="preserve">4 - Para alterar os percentuais adotados para a composição de BDI, utllizar as células de cor </t>
  </si>
  <si>
    <t>5 - Preencher o nome e o CREA/CAU do autor da planilha.</t>
  </si>
  <si>
    <t>ENG. CIVIL XXXX</t>
  </si>
  <si>
    <t>CREA Nº XXX/UF</t>
  </si>
  <si>
    <t>EXECUÇÃO DE SERVIÇO DE SONDAGEM DE SIMPLES RECONHECIMENTO DE SOLO PARA FUNDAÇÕES DE EDIFÍCIOS COM MÉTODO DE ENSAIO SPT (STANDART PENETRATION TEST) E LEVANTAMENTO PLANIALTIMÉTRICO DO TERRENO.</t>
  </si>
  <si>
    <t>ÁREA ESTIMADA DA EDIFICAÇÃO A SER PROJETADA EM M²</t>
  </si>
  <si>
    <t>ALTERAR A ÁREA DE PROJEÇÃO HORIZONTAL DA EDIFICAÇÃO A SER PROJETADA?</t>
  </si>
  <si>
    <t>NÃO</t>
  </si>
  <si>
    <t>NÚMERO DE FUROS DE SONDAGEM - NBR 8036</t>
  </si>
  <si>
    <t>DECOMPOSIÇÃO DA ÁREA DE PROJEÇÃO HORIZONTAL - CONFORME A NBR 8036</t>
  </si>
  <si>
    <t>SONDAGENS            Até 200m²</t>
  </si>
  <si>
    <t>SONDAGENS             Entre 200 e 400 m²</t>
  </si>
  <si>
    <t>SONDAGENS             Entre 1.200 e 2.400 m²</t>
  </si>
  <si>
    <t>SONDAGENS           Até 1.200 m²</t>
  </si>
  <si>
    <t>ÁREA DE PROJEÇÃO HORIZONTAL DA EDIFICAÇÃO M²):</t>
  </si>
  <si>
    <t>ÁREÁ ESTIMADA DE PROJEÇÃO HORIZONTAL DA EDIFICAÇÃO (M²)</t>
  </si>
  <si>
    <t>ÁREA DO TERRENO (M²):</t>
  </si>
  <si>
    <t>ÁREA DE PROJEÇÃO HORIZONTAL DA EDIFICAÇÃO A SER CONSIDERADA (M²)</t>
  </si>
  <si>
    <t>SONDAGENS           Acima de 2.400 m²</t>
  </si>
  <si>
    <t>Até 1.200m²</t>
  </si>
  <si>
    <t>Entre 1.200 e 2.400 m²</t>
  </si>
  <si>
    <t>Acima de 2.400 m²</t>
  </si>
  <si>
    <t>CÁLCULO AUXILIAR</t>
  </si>
  <si>
    <t>NÚMERO ESTIMADO DE PAVIMENTOS DA EDIFICAÇÃO - AO MENOS 1 PAVIMENTO.</t>
  </si>
  <si>
    <t>SONDAGEM DO TERRENO</t>
  </si>
  <si>
    <t>BASE DE DADOS</t>
  </si>
  <si>
    <t xml:space="preserve"> PREÇO UNITÁRIO COM BDI (R$)</t>
  </si>
  <si>
    <t>PREÇO UNIT. (R$)
SEM BDI</t>
  </si>
  <si>
    <t>PREÇO TOTAL COM BDI (R$)</t>
  </si>
  <si>
    <t>PROFUNDIDADE ESTIMADA DO FURO DE SONDAGEM (M)</t>
  </si>
  <si>
    <t>m²</t>
  </si>
  <si>
    <t>Levantamento topográfico planialtimétrico até 1 hectare.</t>
  </si>
  <si>
    <t>DATA BASE:</t>
  </si>
  <si>
    <t>CÓDIGO DO SERVIÇO</t>
  </si>
  <si>
    <t>000025</t>
  </si>
  <si>
    <t>SBC</t>
  </si>
  <si>
    <t>CÁLCULO DO NÚMERO DE FUROS DE SONDAGEM SPT - CONFORME A NBR 8036</t>
  </si>
  <si>
    <t>m</t>
  </si>
  <si>
    <t>LEVANTAMENTO PLANIALTIMÉTRICO</t>
  </si>
  <si>
    <t>LEGENDA DE CORES:</t>
  </si>
  <si>
    <t>PREÇO TOTAL:</t>
  </si>
  <si>
    <t xml:space="preserve"> - DADOS A SEREM INSERIDOS SOMENTE PELA ADMINISTRAÇÃO.</t>
  </si>
  <si>
    <t xml:space="preserve"> - DADOS A SEREM INSERIDOS PELA ADMINISTRAÇÃO OU LICITANTES:</t>
  </si>
  <si>
    <t xml:space="preserve"> - RESULTADO DOS CÁLCULOS DA PLANILHA:</t>
  </si>
  <si>
    <t>Responsável Técnico Pela Planilha Orçamentária:</t>
  </si>
  <si>
    <t>JUSTIÇA FEDERAL 
PLANILHA DE FORMAÇÃO DO BDI</t>
  </si>
  <si>
    <t>PLANILHA ORÇAMENTARIA - SERVIÇOS COMPLEMENTARES</t>
  </si>
  <si>
    <t>CONTRATAÇÃO DOS PROJETOS:</t>
  </si>
  <si>
    <t>CONTRATAÇÃO DOS SERVIÇOS COMPLEMENTARES:</t>
  </si>
  <si>
    <t>PREÇO TOTAL DOS PROJETOS:</t>
  </si>
  <si>
    <t>PREÇO TOTAL DOS SERVIÇOS COMPLEMENTARES:</t>
  </si>
  <si>
    <t>1 - Preencher o Nome e o CREA/CAU do autor da planilha orçamentária.</t>
  </si>
  <si>
    <t>PRAZO DE EXECUÇÃO:</t>
  </si>
  <si>
    <t xml:space="preserve">15 DIAS </t>
  </si>
  <si>
    <t>2 - O prazo de execução dos Serviços Complementares (Sondagem e Levantamento Planialtimétrico será contado em dias corridos, a partir da expedição da Ordem de Serviço.</t>
  </si>
  <si>
    <t>Nº CREA/CAU xx</t>
  </si>
  <si>
    <t>NOME E TÍTULO DO RESP. TÉCN.</t>
  </si>
  <si>
    <t>NOME E TÍTULO DO RESP. TECNICO</t>
  </si>
  <si>
    <t>Taxa de mobilização e desmobilização de equipamntos para execução de sondagem</t>
  </si>
  <si>
    <t>01.21.010</t>
  </si>
  <si>
    <t>01.21.110</t>
  </si>
  <si>
    <t>CPOS</t>
  </si>
  <si>
    <t>Sondagem de terreno à percussão (mínimo de 30 metros).</t>
  </si>
  <si>
    <t>Dezembro/2022</t>
  </si>
  <si>
    <t>PLANILHA DE CUSTOS DE PROJETOS DA JUSTIÇA FEDERAL: VERSÃO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</si>
</sst>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-&quot;R$ &quot;* #,##0.00_-;&quot;-R$ &quot;* #,##0.00_-;_-&quot;R$ &quot;* \-??_-;_-@_-"/>
    <numFmt numFmtId="167" formatCode="dd/mm/yy;@"/>
    <numFmt numFmtId="168" formatCode="_-[$R$-416]\ * #,##0.00_-;\-[$R$-416]\ * #,##0.00_-;_-[$R$-416]\ * &quot;-&quot;??_-;_-@_-"/>
    <numFmt numFmtId="169" formatCode="0.000%"/>
    <numFmt numFmtId="170" formatCode="0.00000%"/>
    <numFmt numFmtId="171" formatCode="_-&quot;R$&quot;\ * #,##0.00_-;\-&quot;R$&quot;\ * #,##0.00_-;_-&quot;R$&quot;\ * &quot;-&quot;???_-;_-@_-"/>
    <numFmt numFmtId="172" formatCode="0.0000%"/>
    <numFmt numFmtId="173" formatCode="&quot;R$&quot;\ #,##0.00"/>
    <numFmt numFmtId="174" formatCode="#,##0.00_ ;\-#,##0.00\ "/>
    <numFmt numFmtId="175" formatCode="#,##0_ ;\-#,##0\ "/>
  </numFmts>
  <fonts count="59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.5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theme="3"/>
      <name val="Arial"/>
      <family val="2"/>
    </font>
    <font>
      <sz val="14"/>
      <color theme="3"/>
      <name val="Arial"/>
      <family val="2"/>
    </font>
    <font>
      <sz val="10"/>
      <color theme="3"/>
      <name val="Arial"/>
      <family val="2"/>
    </font>
    <font>
      <b/>
      <sz val="16"/>
      <color theme="3"/>
      <name val="Arial"/>
      <family val="2"/>
    </font>
    <font>
      <sz val="11"/>
      <color theme="3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sz val="20"/>
      <color theme="3"/>
      <name val="Arial"/>
      <family val="2"/>
    </font>
    <font>
      <sz val="20"/>
      <color theme="3"/>
      <name val="Calibri"/>
      <family val="2"/>
    </font>
    <font>
      <b/>
      <sz val="20"/>
      <color theme="3"/>
      <name val="Arial"/>
      <family val="2"/>
    </font>
    <font>
      <sz val="8"/>
      <color theme="3"/>
      <name val="Arial"/>
      <family val="2"/>
    </font>
    <font>
      <sz val="12"/>
      <color theme="3"/>
      <name val="Arial"/>
      <family val="2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3" fillId="0" borderId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9">
    <xf numFmtId="0" fontId="0" fillId="0" borderId="0" xfId="0"/>
    <xf numFmtId="0" fontId="8" fillId="0" borderId="0" xfId="0" quotePrefix="1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/>
      <protection hidden="1"/>
    </xf>
    <xf numFmtId="167" fontId="16" fillId="0" borderId="0" xfId="0" applyNumberFormat="1" applyFont="1" applyAlignment="1" applyProtection="1">
      <alignment wrapText="1"/>
      <protection hidden="1"/>
    </xf>
    <xf numFmtId="0" fontId="9" fillId="5" borderId="0" xfId="0" applyNumberFormat="1" applyFont="1" applyFill="1" applyBorder="1" applyAlignment="1" applyProtection="1">
      <alignment horizontal="left"/>
      <protection hidden="1"/>
    </xf>
    <xf numFmtId="0" fontId="9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Alignment="1" applyProtection="1">
      <alignment vertical="center"/>
      <protection hidden="1"/>
    </xf>
    <xf numFmtId="4" fontId="4" fillId="5" borderId="0" xfId="0" applyNumberFormat="1" applyFont="1" applyFill="1" applyBorder="1" applyAlignment="1" applyProtection="1">
      <alignment horizontal="center" vertical="center" wrapText="1"/>
      <protection hidden="1"/>
    </xf>
    <xf numFmtId="43" fontId="2" fillId="0" borderId="0" xfId="1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Protection="1">
      <protection hidden="1"/>
    </xf>
    <xf numFmtId="4" fontId="2" fillId="0" borderId="0" xfId="0" applyNumberFormat="1" applyFont="1" applyProtection="1">
      <protection hidden="1"/>
    </xf>
    <xf numFmtId="10" fontId="2" fillId="0" borderId="0" xfId="0" applyNumberFormat="1" applyFont="1" applyProtection="1">
      <protection hidden="1"/>
    </xf>
    <xf numFmtId="168" fontId="2" fillId="0" borderId="0" xfId="10" applyNumberFormat="1" applyFont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3" fontId="2" fillId="0" borderId="0" xfId="11" applyFont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44" fontId="2" fillId="0" borderId="0" xfId="13" applyFont="1" applyAlignment="1" applyProtection="1">
      <alignment vertical="center"/>
      <protection hidden="1"/>
    </xf>
    <xf numFmtId="0" fontId="2" fillId="0" borderId="1" xfId="0" applyFont="1" applyBorder="1" applyProtection="1"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5" applyFill="1" applyAlignment="1">
      <alignment vertical="center"/>
    </xf>
    <xf numFmtId="0" fontId="0" fillId="0" borderId="0" xfId="0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0" xfId="5" applyFont="1" applyBorder="1" applyAlignment="1">
      <alignment vertical="center"/>
    </xf>
    <xf numFmtId="0" fontId="9" fillId="0" borderId="0" xfId="5" applyFont="1" applyAlignment="1">
      <alignment horizontal="center" vertical="center"/>
    </xf>
    <xf numFmtId="0" fontId="1" fillId="0" borderId="0" xfId="5" applyFont="1" applyFill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center" vertical="center"/>
    </xf>
    <xf numFmtId="0" fontId="1" fillId="0" borderId="0" xfId="5" applyFill="1" applyAlignment="1">
      <alignment horizontal="center" vertical="center"/>
    </xf>
    <xf numFmtId="164" fontId="1" fillId="0" borderId="0" xfId="5" applyNumberFormat="1" applyFill="1" applyAlignment="1">
      <alignment vertical="center"/>
    </xf>
    <xf numFmtId="0" fontId="9" fillId="0" borderId="0" xfId="5" applyFont="1" applyFill="1" applyBorder="1" applyAlignment="1">
      <alignment vertical="center"/>
    </xf>
    <xf numFmtId="0" fontId="20" fillId="0" borderId="0" xfId="5" applyFont="1" applyFill="1" applyAlignment="1">
      <alignment horizontal="center" vertical="center"/>
    </xf>
    <xf numFmtId="0" fontId="8" fillId="0" borderId="0" xfId="5" applyFont="1" applyFill="1" applyBorder="1" applyAlignment="1">
      <alignment horizontal="left" vertical="center"/>
    </xf>
    <xf numFmtId="0" fontId="8" fillId="0" borderId="0" xfId="0" quotePrefix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9" fillId="0" borderId="0" xfId="0" applyNumberFormat="1" applyFont="1" applyBorder="1" applyAlignment="1" applyProtection="1">
      <alignment horizontal="left"/>
      <protection hidden="1"/>
    </xf>
    <xf numFmtId="0" fontId="6" fillId="0" borderId="0" xfId="0" quotePrefix="1" applyNumberFormat="1" applyFont="1" applyBorder="1" applyAlignment="1" applyProtection="1">
      <alignment horizontal="left"/>
      <protection hidden="1"/>
    </xf>
    <xf numFmtId="0" fontId="22" fillId="0" borderId="0" xfId="0" applyFont="1" applyProtection="1">
      <protection hidden="1"/>
    </xf>
    <xf numFmtId="169" fontId="0" fillId="6" borderId="2" xfId="1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4" fillId="9" borderId="3" xfId="0" applyFont="1" applyFill="1" applyBorder="1" applyAlignment="1" applyProtection="1">
      <alignment horizontal="left" vertical="center" wrapText="1"/>
      <protection hidden="1"/>
    </xf>
    <xf numFmtId="4" fontId="4" fillId="9" borderId="3" xfId="0" applyNumberFormat="1" applyFont="1" applyFill="1" applyBorder="1" applyAlignment="1" applyProtection="1">
      <alignment horizontal="center" vertical="center" wrapText="1"/>
      <protection hidden="1"/>
    </xf>
    <xf numFmtId="44" fontId="4" fillId="9" borderId="3" xfId="13" applyFont="1" applyFill="1" applyBorder="1" applyAlignment="1" applyProtection="1">
      <alignment horizontal="center" vertical="center" wrapText="1"/>
      <protection hidden="1"/>
    </xf>
    <xf numFmtId="10" fontId="4" fillId="9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44" fontId="7" fillId="5" borderId="0" xfId="0" applyNumberFormat="1" applyFont="1" applyFill="1" applyBorder="1" applyAlignment="1" applyProtection="1">
      <alignment horizontal="center" vertical="center"/>
      <protection hidden="1"/>
    </xf>
    <xf numFmtId="4" fontId="7" fillId="5" borderId="0" xfId="0" applyNumberFormat="1" applyFont="1" applyFill="1" applyBorder="1" applyAlignment="1" applyProtection="1">
      <alignment horizontal="center" vertical="center"/>
      <protection hidden="1"/>
    </xf>
    <xf numFmtId="169" fontId="7" fillId="5" borderId="0" xfId="10" applyNumberFormat="1" applyFont="1" applyFill="1" applyBorder="1" applyAlignment="1" applyProtection="1">
      <alignment horizontal="center" vertical="center"/>
      <protection hidden="1"/>
    </xf>
    <xf numFmtId="9" fontId="4" fillId="5" borderId="0" xfId="10" applyFont="1" applyFill="1" applyBorder="1" applyAlignment="1" applyProtection="1">
      <alignment vertical="center" wrapText="1"/>
      <protection hidden="1"/>
    </xf>
    <xf numFmtId="44" fontId="4" fillId="9" borderId="3" xfId="13" applyFont="1" applyFill="1" applyBorder="1" applyAlignment="1" applyProtection="1">
      <alignment horizontal="right" vertical="center" wrapText="1"/>
      <protection hidden="1"/>
    </xf>
    <xf numFmtId="0" fontId="9" fillId="11" borderId="5" xfId="0" applyNumberFormat="1" applyFont="1" applyFill="1" applyBorder="1" applyAlignment="1" applyProtection="1">
      <alignment horizontal="left"/>
      <protection hidden="1"/>
    </xf>
    <xf numFmtId="0" fontId="0" fillId="11" borderId="5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9" fillId="11" borderId="7" xfId="0" applyNumberFormat="1" applyFont="1" applyFill="1" applyBorder="1" applyAlignment="1" applyProtection="1">
      <alignment wrapText="1"/>
      <protection hidden="1"/>
    </xf>
    <xf numFmtId="0" fontId="9" fillId="11" borderId="8" xfId="0" applyNumberFormat="1" applyFont="1" applyFill="1" applyBorder="1" applyAlignment="1" applyProtection="1">
      <alignment wrapText="1"/>
      <protection hidden="1"/>
    </xf>
    <xf numFmtId="0" fontId="9" fillId="11" borderId="6" xfId="0" applyNumberFormat="1" applyFont="1" applyFill="1" applyBorder="1" applyAlignment="1" applyProtection="1">
      <protection hidden="1"/>
    </xf>
    <xf numFmtId="0" fontId="9" fillId="11" borderId="8" xfId="0" applyNumberFormat="1" applyFont="1" applyFill="1" applyBorder="1" applyAlignment="1" applyProtection="1">
      <alignment horizontal="left"/>
      <protection hidden="1"/>
    </xf>
    <xf numFmtId="14" fontId="9" fillId="0" borderId="0" xfId="5" applyNumberFormat="1" applyFont="1" applyFill="1" applyBorder="1" applyAlignment="1">
      <alignment horizontal="left" vertical="center"/>
    </xf>
    <xf numFmtId="0" fontId="1" fillId="0" borderId="3" xfId="5" applyFont="1" applyFill="1" applyBorder="1" applyAlignment="1">
      <alignment vertical="center"/>
    </xf>
    <xf numFmtId="44" fontId="8" fillId="0" borderId="3" xfId="13" applyFont="1" applyFill="1" applyBorder="1" applyAlignment="1">
      <alignment vertical="center"/>
    </xf>
    <xf numFmtId="0" fontId="9" fillId="5" borderId="0" xfId="5" applyFont="1" applyFill="1" applyAlignment="1">
      <alignment vertical="center"/>
    </xf>
    <xf numFmtId="0" fontId="1" fillId="11" borderId="6" xfId="0" applyFont="1" applyFill="1" applyBorder="1" applyProtection="1">
      <protection hidden="1"/>
    </xf>
    <xf numFmtId="0" fontId="9" fillId="5" borderId="0" xfId="0" applyNumberFormat="1" applyFont="1" applyFill="1" applyBorder="1" applyAlignment="1" applyProtection="1">
      <protection hidden="1"/>
    </xf>
    <xf numFmtId="0" fontId="0" fillId="5" borderId="0" xfId="0" applyFill="1" applyProtection="1">
      <protection hidden="1"/>
    </xf>
    <xf numFmtId="0" fontId="9" fillId="4" borderId="3" xfId="0" applyNumberFormat="1" applyFont="1" applyFill="1" applyBorder="1" applyAlignment="1" applyProtection="1">
      <alignment vertical="center"/>
      <protection hidden="1"/>
    </xf>
    <xf numFmtId="0" fontId="9" fillId="4" borderId="2" xfId="0" applyNumberFormat="1" applyFont="1" applyFill="1" applyBorder="1" applyAlignment="1" applyProtection="1">
      <alignment vertical="center"/>
      <protection hidden="1"/>
    </xf>
    <xf numFmtId="0" fontId="9" fillId="4" borderId="6" xfId="0" quotePrefix="1" applyNumberFormat="1" applyFont="1" applyFill="1" applyBorder="1" applyAlignment="1" applyProtection="1">
      <protection hidden="1"/>
    </xf>
    <xf numFmtId="0" fontId="7" fillId="4" borderId="5" xfId="0" applyFont="1" applyFill="1" applyBorder="1" applyAlignment="1" applyProtection="1">
      <alignment vertical="top"/>
      <protection hidden="1"/>
    </xf>
    <xf numFmtId="4" fontId="2" fillId="9" borderId="5" xfId="0" applyNumberFormat="1" applyFont="1" applyFill="1" applyBorder="1" applyAlignment="1" applyProtection="1">
      <alignment vertical="center" wrapText="1"/>
      <protection hidden="1"/>
    </xf>
    <xf numFmtId="4" fontId="2" fillId="9" borderId="0" xfId="0" applyNumberFormat="1" applyFont="1" applyFill="1" applyBorder="1" applyAlignment="1" applyProtection="1">
      <alignment vertical="center" wrapText="1"/>
      <protection hidden="1"/>
    </xf>
    <xf numFmtId="4" fontId="2" fillId="9" borderId="3" xfId="0" applyNumberFormat="1" applyFont="1" applyFill="1" applyBorder="1" applyAlignment="1" applyProtection="1">
      <alignment vertical="center" wrapText="1"/>
      <protection hidden="1"/>
    </xf>
    <xf numFmtId="4" fontId="2" fillId="9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9" borderId="3" xfId="0" applyNumberFormat="1" applyFont="1" applyFill="1" applyBorder="1" applyAlignment="1" applyProtection="1">
      <alignment horizontal="right" vertical="center" wrapText="1"/>
      <protection hidden="1"/>
    </xf>
    <xf numFmtId="44" fontId="4" fillId="9" borderId="11" xfId="13" applyFont="1" applyFill="1" applyBorder="1" applyAlignment="1" applyProtection="1">
      <alignment horizontal="right" vertical="center"/>
      <protection hidden="1"/>
    </xf>
    <xf numFmtId="44" fontId="4" fillId="9" borderId="2" xfId="13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2" xfId="0" applyNumberFormat="1" applyFont="1" applyFill="1" applyBorder="1" applyAlignment="1" applyProtection="1">
      <alignment horizontal="right" vertical="center" wrapText="1"/>
      <protection hidden="1"/>
    </xf>
    <xf numFmtId="44" fontId="4" fillId="9" borderId="11" xfId="13" applyFont="1" applyFill="1" applyBorder="1" applyAlignment="1" applyProtection="1">
      <alignment horizontal="right" vertical="center" wrapText="1"/>
      <protection hidden="1"/>
    </xf>
    <xf numFmtId="0" fontId="4" fillId="9" borderId="1" xfId="0" applyFont="1" applyFill="1" applyBorder="1" applyAlignment="1" applyProtection="1">
      <alignment horizontal="left" vertical="center" wrapText="1"/>
      <protection hidden="1"/>
    </xf>
    <xf numFmtId="4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10" fontId="4" fillId="9" borderId="1" xfId="0" applyNumberFormat="1" applyFont="1" applyFill="1" applyBorder="1" applyAlignment="1" applyProtection="1">
      <alignment horizontal="center" vertical="center"/>
      <protection hidden="1"/>
    </xf>
    <xf numFmtId="10" fontId="2" fillId="9" borderId="1" xfId="0" applyNumberFormat="1" applyFont="1" applyFill="1" applyBorder="1" applyAlignment="1" applyProtection="1">
      <alignment horizontal="center" vertical="center"/>
      <protection hidden="1"/>
    </xf>
    <xf numFmtId="4" fontId="2" fillId="9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9" borderId="2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44" fontId="4" fillId="9" borderId="2" xfId="13" applyFont="1" applyFill="1" applyBorder="1" applyAlignment="1" applyProtection="1">
      <alignment horizontal="center" vertical="center" wrapText="1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hidden="1"/>
    </xf>
    <xf numFmtId="10" fontId="4" fillId="9" borderId="1" xfId="0" applyNumberFormat="1" applyFont="1" applyFill="1" applyBorder="1" applyAlignment="1" applyProtection="1">
      <alignment horizontal="center"/>
      <protection hidden="1"/>
    </xf>
    <xf numFmtId="0" fontId="2" fillId="9" borderId="0" xfId="0" applyFont="1" applyFill="1" applyProtection="1">
      <protection hidden="1"/>
    </xf>
    <xf numFmtId="3" fontId="2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0" applyNumberFormat="1" applyFont="1" applyFill="1" applyBorder="1" applyAlignment="1" applyProtection="1">
      <protection hidden="1"/>
    </xf>
    <xf numFmtId="0" fontId="7" fillId="5" borderId="1" xfId="0" applyFont="1" applyFill="1" applyBorder="1" applyAlignment="1" applyProtection="1">
      <alignment horizontal="center" vertical="top" shrinkToFit="1"/>
      <protection hidden="1"/>
    </xf>
    <xf numFmtId="0" fontId="7" fillId="5" borderId="1" xfId="0" applyFont="1" applyFill="1" applyBorder="1" applyAlignment="1" applyProtection="1">
      <alignment vertical="top"/>
      <protection hidden="1"/>
    </xf>
    <xf numFmtId="0" fontId="0" fillId="0" borderId="1" xfId="0" applyBorder="1" applyAlignment="1" applyProtection="1">
      <protection hidden="1"/>
    </xf>
    <xf numFmtId="17" fontId="7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5" borderId="1" xfId="0" applyFont="1" applyFill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7" fillId="5" borderId="1" xfId="0" applyFont="1" applyFill="1" applyBorder="1" applyAlignment="1" applyProtection="1">
      <alignment vertical="center"/>
      <protection hidden="1"/>
    </xf>
    <xf numFmtId="0" fontId="9" fillId="4" borderId="7" xfId="0" quotePrefix="1" applyNumberFormat="1" applyFont="1" applyFill="1" applyBorder="1" applyAlignment="1" applyProtection="1">
      <protection hidden="1"/>
    </xf>
    <xf numFmtId="0" fontId="7" fillId="4" borderId="8" xfId="0" applyFont="1" applyFill="1" applyBorder="1" applyAlignment="1" applyProtection="1">
      <alignment vertical="top"/>
      <protection hidden="1"/>
    </xf>
    <xf numFmtId="44" fontId="7" fillId="12" borderId="1" xfId="13" applyFont="1" applyFill="1" applyBorder="1" applyAlignment="1" applyProtection="1">
      <alignment horizontal="center" vertical="center"/>
      <protection hidden="1"/>
    </xf>
    <xf numFmtId="44" fontId="7" fillId="5" borderId="1" xfId="13" applyFont="1" applyFill="1" applyBorder="1" applyAlignment="1" applyProtection="1">
      <alignment horizontal="center" vertical="center"/>
      <protection hidden="1"/>
    </xf>
    <xf numFmtId="4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44" fontId="7" fillId="4" borderId="1" xfId="13" applyFont="1" applyFill="1" applyBorder="1" applyAlignment="1" applyProtection="1">
      <alignment horizontal="right" vertic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protection hidden="1"/>
    </xf>
    <xf numFmtId="0" fontId="9" fillId="0" borderId="0" xfId="0" quotePrefix="1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Alignment="1" applyProtection="1">
      <protection hidden="1"/>
    </xf>
    <xf numFmtId="4" fontId="2" fillId="0" borderId="0" xfId="0" applyNumberFormat="1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4" fontId="2" fillId="0" borderId="0" xfId="0" applyNumberFormat="1" applyFont="1" applyBorder="1" applyAlignment="1" applyProtection="1">
      <protection hidden="1"/>
    </xf>
    <xf numFmtId="0" fontId="20" fillId="0" borderId="0" xfId="0" applyFont="1" applyAlignment="1">
      <alignment vertical="center"/>
    </xf>
    <xf numFmtId="0" fontId="8" fillId="0" borderId="0" xfId="5" applyFont="1" applyBorder="1" applyAlignment="1">
      <alignment vertical="center"/>
    </xf>
    <xf numFmtId="0" fontId="30" fillId="0" borderId="0" xfId="0" quotePrefix="1" applyFont="1" applyFill="1" applyBorder="1" applyAlignment="1" applyProtection="1">
      <alignment horizontal="center" vertical="center" wrapText="1"/>
      <protection hidden="1"/>
    </xf>
    <xf numFmtId="0" fontId="30" fillId="0" borderId="0" xfId="0" quotePrefix="1" applyFont="1" applyFill="1" applyBorder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2" fillId="0" borderId="0" xfId="0" applyFont="1" applyProtection="1">
      <protection hidden="1"/>
    </xf>
    <xf numFmtId="4" fontId="34" fillId="0" borderId="0" xfId="0" applyNumberFormat="1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right"/>
      <protection hidden="1"/>
    </xf>
    <xf numFmtId="0" fontId="31" fillId="0" borderId="0" xfId="0" applyNumberFormat="1" applyFont="1" applyFill="1" applyBorder="1" applyAlignment="1" applyProtection="1">
      <alignment horizontal="center"/>
      <protection hidden="1"/>
    </xf>
    <xf numFmtId="0" fontId="31" fillId="0" borderId="0" xfId="0" applyNumberFormat="1" applyFont="1" applyBorder="1" applyAlignment="1" applyProtection="1">
      <alignment horizontal="left"/>
      <protection hidden="1"/>
    </xf>
    <xf numFmtId="0" fontId="31" fillId="0" borderId="0" xfId="0" quotePrefix="1" applyNumberFormat="1" applyFont="1" applyFill="1" applyBorder="1" applyAlignment="1" applyProtection="1">
      <alignment horizontal="center"/>
      <protection hidden="1"/>
    </xf>
    <xf numFmtId="0" fontId="31" fillId="0" borderId="0" xfId="0" applyNumberFormat="1" applyFont="1" applyBorder="1" applyAlignment="1" applyProtection="1">
      <protection hidden="1"/>
    </xf>
    <xf numFmtId="0" fontId="31" fillId="0" borderId="0" xfId="0" quotePrefix="1" applyNumberFormat="1" applyFont="1" applyBorder="1" applyAlignment="1" applyProtection="1">
      <alignment horizontal="left"/>
      <protection hidden="1"/>
    </xf>
    <xf numFmtId="0" fontId="31" fillId="0" borderId="0" xfId="0" quotePrefix="1" applyNumberFormat="1" applyFont="1" applyBorder="1" applyAlignment="1" applyProtection="1">
      <protection hidden="1"/>
    </xf>
    <xf numFmtId="14" fontId="31" fillId="0" borderId="0" xfId="0" applyNumberFormat="1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1" fillId="0" borderId="0" xfId="0" applyFont="1"/>
    <xf numFmtId="170" fontId="0" fillId="0" borderId="0" xfId="10" applyNumberFormat="1" applyFont="1" applyProtection="1">
      <protection hidden="1"/>
    </xf>
    <xf numFmtId="0" fontId="7" fillId="5" borderId="2" xfId="0" applyFont="1" applyFill="1" applyBorder="1" applyAlignment="1" applyProtection="1">
      <alignment horizontal="left" vertical="center" shrinkToFit="1"/>
      <protection hidden="1"/>
    </xf>
    <xf numFmtId="0" fontId="4" fillId="5" borderId="11" xfId="0" applyFont="1" applyFill="1" applyBorder="1" applyAlignment="1" applyProtection="1">
      <alignment horizontal="left" vertical="center"/>
      <protection hidden="1"/>
    </xf>
    <xf numFmtId="0" fontId="4" fillId="5" borderId="3" xfId="0" applyFont="1" applyFill="1" applyBorder="1" applyAlignment="1" applyProtection="1">
      <alignment horizontal="left" vertical="center"/>
      <protection hidden="1"/>
    </xf>
    <xf numFmtId="0" fontId="21" fillId="5" borderId="3" xfId="0" applyFont="1" applyFill="1" applyBorder="1" applyAlignment="1" applyProtection="1">
      <alignment horizontal="left" vertical="center" wrapText="1"/>
      <protection hidden="1"/>
    </xf>
    <xf numFmtId="0" fontId="21" fillId="5" borderId="2" xfId="0" applyFont="1" applyFill="1" applyBorder="1" applyAlignment="1" applyProtection="1">
      <alignment horizontal="left" vertical="center" wrapText="1"/>
      <protection hidden="1"/>
    </xf>
    <xf numFmtId="44" fontId="2" fillId="0" borderId="1" xfId="0" applyNumberFormat="1" applyFont="1" applyBorder="1" applyProtection="1">
      <protection hidden="1"/>
    </xf>
    <xf numFmtId="4" fontId="2" fillId="0" borderId="0" xfId="0" applyNumberFormat="1" applyFont="1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6" fillId="0" borderId="0" xfId="5" applyFont="1" applyFill="1" applyAlignment="1">
      <alignment vertical="center"/>
    </xf>
    <xf numFmtId="44" fontId="2" fillId="0" borderId="1" xfId="0" applyNumberFormat="1" applyFont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1" fillId="0" borderId="0" xfId="5" applyFont="1" applyBorder="1" applyAlignment="1" applyProtection="1">
      <alignment horizontal="left" vertical="center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9" fillId="0" borderId="0" xfId="5" applyFont="1" applyFill="1" applyBorder="1" applyAlignment="1" applyProtection="1">
      <alignment vertical="center"/>
      <protection hidden="1"/>
    </xf>
    <xf numFmtId="0" fontId="9" fillId="0" borderId="0" xfId="5" applyFont="1" applyFill="1" applyBorder="1" applyAlignment="1" applyProtection="1">
      <alignment horizontal="right" vertical="center"/>
      <protection hidden="1"/>
    </xf>
    <xf numFmtId="0" fontId="1" fillId="0" borderId="0" xfId="5" applyFont="1" applyFill="1" applyBorder="1" applyAlignment="1" applyProtection="1">
      <alignment horizontal="left" vertical="center"/>
      <protection hidden="1"/>
    </xf>
    <xf numFmtId="0" fontId="1" fillId="0" borderId="0" xfId="5" applyFont="1" applyFill="1" applyAlignment="1" applyProtection="1">
      <alignment horizontal="left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37" fillId="2" borderId="3" xfId="0" applyFont="1" applyFill="1" applyBorder="1" applyAlignment="1" applyProtection="1">
      <alignment horizontal="center" vertical="center" wrapText="1"/>
      <protection hidden="1"/>
    </xf>
    <xf numFmtId="0" fontId="37" fillId="2" borderId="3" xfId="0" applyFont="1" applyFill="1" applyBorder="1" applyAlignment="1" applyProtection="1">
      <alignment horizontal="left" vertical="center" wrapText="1"/>
      <protection hidden="1"/>
    </xf>
    <xf numFmtId="4" fontId="37" fillId="2" borderId="3" xfId="0" applyNumberFormat="1" applyFont="1" applyFill="1" applyBorder="1" applyAlignment="1" applyProtection="1">
      <alignment horizontal="right" vertical="center" wrapText="1"/>
      <protection hidden="1"/>
    </xf>
    <xf numFmtId="4" fontId="37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left" vertical="center" wrapText="1"/>
      <protection hidden="1"/>
    </xf>
    <xf numFmtId="44" fontId="34" fillId="0" borderId="0" xfId="13" applyFont="1" applyFill="1" applyBorder="1" applyAlignment="1" applyProtection="1">
      <alignment horizontal="right" vertical="center" wrapText="1"/>
      <protection hidden="1"/>
    </xf>
    <xf numFmtId="1" fontId="34" fillId="0" borderId="0" xfId="10" applyNumberFormat="1" applyFont="1" applyBorder="1" applyAlignment="1" applyProtection="1">
      <alignment horizontal="center" vertical="center"/>
      <protection hidden="1"/>
    </xf>
    <xf numFmtId="0" fontId="37" fillId="0" borderId="3" xfId="0" applyFont="1" applyFill="1" applyBorder="1" applyAlignment="1" applyProtection="1">
      <alignment horizontal="center" vertical="center" wrapText="1"/>
      <protection hidden="1"/>
    </xf>
    <xf numFmtId="0" fontId="34" fillId="0" borderId="3" xfId="0" applyFont="1" applyFill="1" applyBorder="1" applyAlignment="1" applyProtection="1">
      <alignment horizontal="left" vertical="center" wrapText="1"/>
      <protection hidden="1"/>
    </xf>
    <xf numFmtId="44" fontId="34" fillId="0" borderId="3" xfId="13" applyFont="1" applyFill="1" applyBorder="1" applyAlignment="1" applyProtection="1">
      <alignment horizontal="right" vertical="center" wrapText="1"/>
      <protection hidden="1"/>
    </xf>
    <xf numFmtId="9" fontId="34" fillId="4" borderId="3" xfId="10" applyFont="1" applyFill="1" applyBorder="1" applyAlignment="1" applyProtection="1">
      <alignment horizontal="center" vertical="center" wrapText="1"/>
      <protection hidden="1"/>
    </xf>
    <xf numFmtId="1" fontId="34" fillId="5" borderId="3" xfId="10" applyNumberFormat="1" applyFont="1" applyFill="1" applyBorder="1" applyAlignment="1" applyProtection="1">
      <alignment horizontal="center" vertical="center"/>
      <protection hidden="1"/>
    </xf>
    <xf numFmtId="1" fontId="34" fillId="5" borderId="3" xfId="0" applyNumberFormat="1" applyFont="1" applyFill="1" applyBorder="1" applyAlignment="1" applyProtection="1">
      <alignment horizontal="center" vertical="center"/>
      <protection hidden="1"/>
    </xf>
    <xf numFmtId="4" fontId="34" fillId="0" borderId="0" xfId="0" applyNumberFormat="1" applyFont="1" applyAlignment="1" applyProtection="1">
      <alignment vertical="center"/>
      <protection hidden="1"/>
    </xf>
    <xf numFmtId="1" fontId="34" fillId="5" borderId="0" xfId="1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1" fontId="34" fillId="5" borderId="0" xfId="0" applyNumberFormat="1" applyFont="1" applyFill="1" applyBorder="1" applyAlignment="1" applyProtection="1">
      <alignment horizontal="center" vertical="center"/>
      <protection hidden="1"/>
    </xf>
    <xf numFmtId="9" fontId="34" fillId="0" borderId="3" xfId="10" applyFont="1" applyFill="1" applyBorder="1" applyAlignment="1" applyProtection="1">
      <alignment horizontal="center" vertical="center" wrapText="1"/>
      <protection hidden="1"/>
    </xf>
    <xf numFmtId="44" fontId="37" fillId="4" borderId="3" xfId="13" applyFont="1" applyFill="1" applyBorder="1" applyAlignment="1" applyProtection="1">
      <alignment horizontal="right" vertical="center" wrapText="1"/>
      <protection hidden="1"/>
    </xf>
    <xf numFmtId="0" fontId="34" fillId="4" borderId="3" xfId="0" applyFont="1" applyFill="1" applyBorder="1" applyAlignment="1" applyProtection="1">
      <alignment vertical="center"/>
      <protection hidden="1"/>
    </xf>
    <xf numFmtId="4" fontId="34" fillId="0" borderId="0" xfId="0" applyNumberFormat="1" applyFont="1" applyBorder="1" applyAlignment="1" applyProtection="1">
      <alignment vertical="center"/>
      <protection hidden="1"/>
    </xf>
    <xf numFmtId="10" fontId="34" fillId="0" borderId="3" xfId="10" applyNumberFormat="1" applyFont="1" applyBorder="1" applyAlignment="1" applyProtection="1">
      <alignment vertical="center"/>
      <protection hidden="1"/>
    </xf>
    <xf numFmtId="4" fontId="37" fillId="0" borderId="0" xfId="0" applyNumberFormat="1" applyFont="1" applyBorder="1" applyAlignment="1" applyProtection="1">
      <alignment vertical="center"/>
      <protection hidden="1"/>
    </xf>
    <xf numFmtId="4" fontId="37" fillId="4" borderId="0" xfId="0" applyNumberFormat="1" applyFont="1" applyFill="1" applyBorder="1" applyAlignment="1" applyProtection="1">
      <alignment vertical="center"/>
      <protection hidden="1"/>
    </xf>
    <xf numFmtId="10" fontId="37" fillId="4" borderId="3" xfId="0" applyNumberFormat="1" applyFont="1" applyFill="1" applyBorder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4" fontId="34" fillId="0" borderId="0" xfId="0" applyNumberFormat="1" applyFont="1" applyAlignment="1" applyProtection="1">
      <alignment horizontal="right" vertical="center"/>
      <protection hidden="1"/>
    </xf>
    <xf numFmtId="0" fontId="38" fillId="0" borderId="0" xfId="5" quotePrefix="1" applyFont="1" applyFill="1" applyAlignme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4" fontId="14" fillId="0" borderId="0" xfId="0" applyNumberFormat="1" applyFont="1" applyAlignment="1" applyProtection="1">
      <alignment horizontal="right" vertical="center"/>
      <protection hidden="1"/>
    </xf>
    <xf numFmtId="4" fontId="14" fillId="0" borderId="0" xfId="0" applyNumberFormat="1" applyFont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horizontal="right" vertical="center"/>
      <protection hidden="1"/>
    </xf>
    <xf numFmtId="0" fontId="12" fillId="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horizontal="center" vertical="center"/>
      <protection hidden="1"/>
    </xf>
    <xf numFmtId="169" fontId="0" fillId="6" borderId="0" xfId="10" applyNumberFormat="1" applyFont="1" applyFill="1" applyBorder="1" applyAlignment="1" applyProtection="1">
      <alignment horizontal="center" vertical="center"/>
      <protection hidden="1"/>
    </xf>
    <xf numFmtId="10" fontId="2" fillId="11" borderId="1" xfId="1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0" fontId="2" fillId="0" borderId="0" xfId="0" applyNumberFormat="1" applyFont="1" applyBorder="1" applyAlignment="1" applyProtection="1">
      <alignment horizontal="center"/>
      <protection hidden="1"/>
    </xf>
    <xf numFmtId="10" fontId="2" fillId="0" borderId="0" xfId="0" applyNumberFormat="1" applyFont="1" applyBorder="1" applyProtection="1">
      <protection hidden="1"/>
    </xf>
    <xf numFmtId="44" fontId="2" fillId="0" borderId="0" xfId="0" applyNumberFormat="1" applyFont="1" applyBorder="1" applyProtection="1">
      <protection hidden="1"/>
    </xf>
    <xf numFmtId="10" fontId="2" fillId="0" borderId="1" xfId="10" applyNumberFormat="1" applyFont="1" applyBorder="1" applyAlignment="1" applyProtection="1">
      <alignment horizontal="center" vertical="center"/>
      <protection hidden="1"/>
    </xf>
    <xf numFmtId="10" fontId="2" fillId="9" borderId="2" xfId="0" applyNumberFormat="1" applyFont="1" applyFill="1" applyBorder="1" applyAlignment="1" applyProtection="1">
      <alignment horizontal="center" vertical="center"/>
      <protection hidden="1"/>
    </xf>
    <xf numFmtId="44" fontId="4" fillId="9" borderId="11" xfId="13" applyFont="1" applyFill="1" applyBorder="1" applyAlignment="1" applyProtection="1">
      <alignment vertical="center"/>
      <protection hidden="1"/>
    </xf>
    <xf numFmtId="44" fontId="4" fillId="9" borderId="2" xfId="13" applyFont="1" applyFill="1" applyBorder="1" applyAlignment="1" applyProtection="1">
      <alignment vertical="center"/>
      <protection hidden="1"/>
    </xf>
    <xf numFmtId="44" fontId="4" fillId="9" borderId="11" xfId="13" applyFont="1" applyFill="1" applyBorder="1" applyAlignment="1" applyProtection="1">
      <alignment vertical="center" wrapText="1"/>
      <protection hidden="1"/>
    </xf>
    <xf numFmtId="44" fontId="4" fillId="9" borderId="2" xfId="13" applyFont="1" applyFill="1" applyBorder="1" applyAlignment="1" applyProtection="1">
      <alignment vertical="center" wrapText="1"/>
      <protection hidden="1"/>
    </xf>
    <xf numFmtId="4" fontId="4" fillId="9" borderId="4" xfId="0" applyNumberFormat="1" applyFont="1" applyFill="1" applyBorder="1" applyAlignment="1" applyProtection="1">
      <alignment horizontal="center" vertical="center" wrapText="1"/>
      <protection hidden="1"/>
    </xf>
    <xf numFmtId="171" fontId="2" fillId="9" borderId="1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protection hidden="1"/>
    </xf>
    <xf numFmtId="0" fontId="2" fillId="9" borderId="0" xfId="0" applyFont="1" applyFill="1" applyBorder="1" applyAlignment="1" applyProtection="1">
      <alignment horizontal="center" wrapText="1"/>
      <protection hidden="1"/>
    </xf>
    <xf numFmtId="0" fontId="2" fillId="9" borderId="0" xfId="0" applyFont="1" applyFill="1" applyBorder="1" applyProtection="1">
      <protection hidden="1"/>
    </xf>
    <xf numFmtId="9" fontId="34" fillId="4" borderId="0" xfId="10" applyFont="1" applyFill="1" applyBorder="1" applyAlignment="1" applyProtection="1">
      <alignment horizontal="center" vertical="center" wrapText="1"/>
      <protection locked="0"/>
    </xf>
    <xf numFmtId="9" fontId="34" fillId="4" borderId="3" xfId="10" applyFont="1" applyFill="1" applyBorder="1" applyAlignment="1" applyProtection="1">
      <alignment horizontal="center" vertical="center" wrapText="1"/>
      <protection locked="0"/>
    </xf>
    <xf numFmtId="0" fontId="37" fillId="3" borderId="3" xfId="0" applyFont="1" applyFill="1" applyBorder="1" applyAlignment="1" applyProtection="1">
      <alignment horizontal="center" vertical="center" wrapText="1"/>
      <protection locked="0"/>
    </xf>
    <xf numFmtId="1" fontId="34" fillId="7" borderId="3" xfId="10" applyNumberFormat="1" applyFont="1" applyFill="1" applyBorder="1" applyAlignment="1" applyProtection="1">
      <alignment horizontal="center" vertical="center"/>
      <protection locked="0"/>
    </xf>
    <xf numFmtId="1" fontId="34" fillId="7" borderId="0" xfId="1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NumberFormat="1" applyFont="1" applyBorder="1" applyAlignment="1" applyProtection="1">
      <alignment horizontal="left"/>
      <protection hidden="1"/>
    </xf>
    <xf numFmtId="10" fontId="0" fillId="0" borderId="1" xfId="10" applyNumberFormat="1" applyFont="1" applyBorder="1" applyAlignment="1" applyProtection="1">
      <alignment horizontal="center"/>
      <protection hidden="1"/>
    </xf>
    <xf numFmtId="172" fontId="7" fillId="11" borderId="1" xfId="10" applyNumberFormat="1" applyFont="1" applyFill="1" applyBorder="1" applyAlignment="1" applyProtection="1">
      <alignment horizontal="center" vertical="center" shrinkToFit="1"/>
    </xf>
    <xf numFmtId="44" fontId="4" fillId="9" borderId="11" xfId="13" applyNumberFormat="1" applyFont="1" applyFill="1" applyBorder="1" applyAlignment="1" applyProtection="1">
      <alignment vertical="center"/>
      <protection hidden="1"/>
    </xf>
    <xf numFmtId="10" fontId="7" fillId="5" borderId="2" xfId="0" applyNumberFormat="1" applyFont="1" applyFill="1" applyBorder="1" applyAlignment="1" applyProtection="1">
      <alignment horizontal="center" vertical="center" shrinkToFit="1"/>
      <protection hidden="1"/>
    </xf>
    <xf numFmtId="9" fontId="7" fillId="5" borderId="1" xfId="13" applyNumberFormat="1" applyFont="1" applyFill="1" applyBorder="1" applyAlignment="1" applyProtection="1">
      <alignment horizontal="center" vertical="center" wrapText="1"/>
    </xf>
    <xf numFmtId="1" fontId="34" fillId="0" borderId="0" xfId="0" applyNumberFormat="1" applyFont="1" applyAlignment="1" applyProtection="1">
      <alignment vertical="center"/>
      <protection hidden="1"/>
    </xf>
    <xf numFmtId="1" fontId="34" fillId="0" borderId="0" xfId="0" applyNumberFormat="1" applyFont="1" applyAlignment="1" applyProtection="1">
      <alignment horizontal="right" vertical="center"/>
      <protection hidden="1"/>
    </xf>
    <xf numFmtId="9" fontId="2" fillId="0" borderId="0" xfId="10" applyFont="1" applyProtection="1">
      <protection hidden="1"/>
    </xf>
    <xf numFmtId="10" fontId="7" fillId="6" borderId="1" xfId="10" applyNumberFormat="1" applyFont="1" applyFill="1" applyBorder="1" applyAlignment="1" applyProtection="1">
      <alignment horizontal="center" vertical="center"/>
      <protection hidden="1"/>
    </xf>
    <xf numFmtId="44" fontId="7" fillId="14" borderId="11" xfId="0" applyNumberFormat="1" applyFont="1" applyFill="1" applyBorder="1" applyAlignment="1" applyProtection="1">
      <alignment horizontal="center" vertical="center"/>
      <protection hidden="1"/>
    </xf>
    <xf numFmtId="4" fontId="7" fillId="14" borderId="1" xfId="0" applyNumberFormat="1" applyFont="1" applyFill="1" applyBorder="1" applyAlignment="1" applyProtection="1">
      <alignment horizontal="center" vertical="center"/>
      <protection hidden="1"/>
    </xf>
    <xf numFmtId="169" fontId="7" fillId="14" borderId="1" xfId="10" applyNumberFormat="1" applyFont="1" applyFill="1" applyBorder="1" applyAlignment="1" applyProtection="1">
      <alignment horizontal="center" vertical="center"/>
      <protection hidden="1"/>
    </xf>
    <xf numFmtId="0" fontId="7" fillId="14" borderId="7" xfId="0" applyFont="1" applyFill="1" applyBorder="1" applyAlignment="1" applyProtection="1">
      <alignment horizontal="center" vertical="center"/>
      <protection hidden="1"/>
    </xf>
    <xf numFmtId="44" fontId="7" fillId="14" borderId="7" xfId="0" applyNumberFormat="1" applyFont="1" applyFill="1" applyBorder="1" applyAlignment="1" applyProtection="1">
      <alignment horizontal="center" vertical="center"/>
      <protection hidden="1"/>
    </xf>
    <xf numFmtId="173" fontId="7" fillId="6" borderId="1" xfId="10" applyNumberFormat="1" applyFont="1" applyFill="1" applyBorder="1" applyAlignment="1" applyProtection="1">
      <alignment horizontal="center" vertical="center"/>
      <protection hidden="1"/>
    </xf>
    <xf numFmtId="0" fontId="2" fillId="15" borderId="0" xfId="0" applyFont="1" applyFill="1" applyProtection="1">
      <protection hidden="1"/>
    </xf>
    <xf numFmtId="10" fontId="2" fillId="11" borderId="1" xfId="10" applyNumberFormat="1" applyFont="1" applyFill="1" applyBorder="1" applyAlignment="1" applyProtection="1">
      <alignment horizontal="center" vertical="center"/>
      <protection locked="0" hidden="1"/>
    </xf>
    <xf numFmtId="172" fontId="39" fillId="5" borderId="1" xfId="10" applyNumberFormat="1" applyFont="1" applyFill="1" applyBorder="1" applyAlignment="1" applyProtection="1">
      <alignment horizontal="center" vertical="center"/>
      <protection hidden="1"/>
    </xf>
    <xf numFmtId="172" fontId="2" fillId="9" borderId="1" xfId="0" applyNumberFormat="1" applyFont="1" applyFill="1" applyBorder="1" applyAlignment="1" applyProtection="1">
      <alignment horizontal="center" vertical="center"/>
      <protection hidden="1"/>
    </xf>
    <xf numFmtId="172" fontId="2" fillId="11" borderId="1" xfId="10" applyNumberFormat="1" applyFont="1" applyFill="1" applyBorder="1" applyAlignment="1" applyProtection="1">
      <alignment horizontal="center" vertical="center"/>
      <protection locked="0" hidden="1"/>
    </xf>
    <xf numFmtId="10" fontId="2" fillId="11" borderId="11" xfId="10" applyNumberFormat="1" applyFont="1" applyFill="1" applyBorder="1" applyAlignment="1" applyProtection="1">
      <alignment horizontal="center" vertical="center"/>
      <protection locked="0"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172" fontId="39" fillId="5" borderId="0" xfId="10" applyNumberFormat="1" applyFont="1" applyFill="1" applyBorder="1" applyAlignment="1" applyProtection="1">
      <alignment horizontal="center" vertical="center"/>
      <protection hidden="1"/>
    </xf>
    <xf numFmtId="10" fontId="4" fillId="9" borderId="11" xfId="0" applyNumberFormat="1" applyFont="1" applyFill="1" applyBorder="1" applyAlignment="1" applyProtection="1">
      <alignment horizontal="center" vertical="center"/>
      <protection hidden="1"/>
    </xf>
    <xf numFmtId="172" fontId="2" fillId="9" borderId="2" xfId="0" applyNumberFormat="1" applyFont="1" applyFill="1" applyBorder="1" applyAlignment="1" applyProtection="1">
      <alignment horizontal="center" vertical="center"/>
      <protection hidden="1"/>
    </xf>
    <xf numFmtId="172" fontId="2" fillId="11" borderId="11" xfId="10" applyNumberFormat="1" applyFont="1" applyFill="1" applyBorder="1" applyAlignment="1" applyProtection="1">
      <alignment horizontal="center" vertical="center"/>
      <protection locked="0" hidden="1"/>
    </xf>
    <xf numFmtId="0" fontId="4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Protection="1">
      <protection hidden="1"/>
    </xf>
    <xf numFmtId="0" fontId="43" fillId="0" borderId="1" xfId="0" applyFont="1" applyBorder="1" applyAlignment="1" applyProtection="1">
      <alignment horizontal="right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5" borderId="0" xfId="0" applyFont="1" applyFill="1"/>
    <xf numFmtId="0" fontId="8" fillId="0" borderId="0" xfId="0" applyFont="1"/>
    <xf numFmtId="10" fontId="43" fillId="18" borderId="1" xfId="14" applyNumberFormat="1" applyFont="1" applyFill="1" applyBorder="1" applyAlignment="1" applyProtection="1">
      <alignment horizontal="center" vertical="center"/>
      <protection locked="0"/>
    </xf>
    <xf numFmtId="10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Protection="1"/>
    <xf numFmtId="49" fontId="43" fillId="0" borderId="1" xfId="0" applyNumberFormat="1" applyFont="1" applyBorder="1" applyAlignment="1" applyProtection="1">
      <alignment horizontal="left" vertical="center" wrapText="1"/>
    </xf>
    <xf numFmtId="0" fontId="1" fillId="0" borderId="13" xfId="0" applyFont="1" applyBorder="1" applyProtection="1"/>
    <xf numFmtId="49" fontId="45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1" fillId="0" borderId="13" xfId="0" applyFont="1" applyBorder="1" applyAlignment="1" applyProtection="1">
      <alignment wrapText="1"/>
    </xf>
    <xf numFmtId="0" fontId="48" fillId="0" borderId="1" xfId="0" applyFont="1" applyBorder="1" applyAlignment="1" applyProtection="1">
      <alignment horizontal="center" vertical="center"/>
    </xf>
    <xf numFmtId="0" fontId="8" fillId="0" borderId="0" xfId="0" applyFont="1" applyProtection="1"/>
    <xf numFmtId="0" fontId="47" fillId="17" borderId="1" xfId="0" applyFont="1" applyFill="1" applyBorder="1" applyAlignment="1" applyProtection="1">
      <alignment horizontal="left" vertical="center"/>
    </xf>
    <xf numFmtId="0" fontId="47" fillId="17" borderId="1" xfId="0" applyFont="1" applyFill="1" applyBorder="1" applyAlignment="1" applyProtection="1">
      <alignment horizontal="center" vertical="center"/>
    </xf>
    <xf numFmtId="0" fontId="45" fillId="13" borderId="1" xfId="0" applyFont="1" applyFill="1" applyBorder="1" applyAlignment="1" applyProtection="1">
      <alignment horizontal="left" vertical="center" wrapText="1"/>
    </xf>
    <xf numFmtId="10" fontId="45" fillId="13" borderId="1" xfId="14" applyNumberFormat="1" applyFont="1" applyFill="1" applyBorder="1" applyAlignment="1" applyProtection="1">
      <alignment horizontal="center" vertical="center"/>
    </xf>
    <xf numFmtId="0" fontId="45" fillId="17" borderId="1" xfId="0" applyFont="1" applyFill="1" applyBorder="1" applyAlignment="1" applyProtection="1">
      <alignment horizontal="justify" vertical="center" wrapText="1"/>
    </xf>
    <xf numFmtId="0" fontId="47" fillId="13" borderId="1" xfId="0" applyFont="1" applyFill="1" applyBorder="1" applyAlignment="1" applyProtection="1">
      <alignment horizontal="left" vertical="center"/>
    </xf>
    <xf numFmtId="0" fontId="45" fillId="17" borderId="1" xfId="0" applyFont="1" applyFill="1" applyBorder="1" applyAlignment="1" applyProtection="1">
      <alignment horizontal="left" vertical="center"/>
    </xf>
    <xf numFmtId="0" fontId="49" fillId="5" borderId="0" xfId="0" applyFont="1" applyFill="1" applyAlignment="1" applyProtection="1">
      <alignment horizontal="center" vertical="center"/>
    </xf>
    <xf numFmtId="10" fontId="45" fillId="5" borderId="0" xfId="14" applyNumberFormat="1" applyFont="1" applyFill="1" applyAlignment="1" applyProtection="1">
      <alignment vertical="center"/>
    </xf>
    <xf numFmtId="0" fontId="43" fillId="5" borderId="0" xfId="0" applyFont="1" applyFill="1" applyAlignment="1" applyProtection="1">
      <alignment vertical="center"/>
    </xf>
    <xf numFmtId="10" fontId="1" fillId="0" borderId="0" xfId="0" applyNumberFormat="1" applyFont="1" applyProtection="1"/>
    <xf numFmtId="10" fontId="1" fillId="0" borderId="0" xfId="0" applyNumberFormat="1" applyFont="1" applyAlignment="1" applyProtection="1">
      <alignment horizontal="center" vertical="center"/>
    </xf>
    <xf numFmtId="0" fontId="54" fillId="5" borderId="0" xfId="0" applyFont="1" applyFill="1" applyAlignment="1" applyProtection="1">
      <alignment horizontal="left" vertical="center" wrapText="1"/>
    </xf>
    <xf numFmtId="0" fontId="47" fillId="5" borderId="0" xfId="0" applyFont="1" applyFill="1" applyAlignment="1" applyProtection="1">
      <alignment wrapText="1"/>
    </xf>
    <xf numFmtId="169" fontId="0" fillId="5" borderId="0" xfId="1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Protection="1">
      <protection hidden="1"/>
    </xf>
    <xf numFmtId="0" fontId="7" fillId="4" borderId="10" xfId="0" applyFont="1" applyFill="1" applyBorder="1" applyAlignment="1" applyProtection="1">
      <alignment vertical="center"/>
      <protection locked="0"/>
    </xf>
    <xf numFmtId="0" fontId="9" fillId="4" borderId="9" xfId="0" quotePrefix="1" applyNumberFormat="1" applyFont="1" applyFill="1" applyBorder="1" applyAlignment="1" applyProtection="1">
      <alignment vertical="center"/>
      <protection locked="0"/>
    </xf>
    <xf numFmtId="0" fontId="9" fillId="11" borderId="9" xfId="0" applyNumberFormat="1" applyFont="1" applyFill="1" applyBorder="1" applyAlignment="1" applyProtection="1">
      <alignment vertical="center"/>
      <protection locked="0" hidden="1"/>
    </xf>
    <xf numFmtId="0" fontId="9" fillId="11" borderId="10" xfId="0" applyNumberFormat="1" applyFont="1" applyFill="1" applyBorder="1" applyAlignment="1" applyProtection="1">
      <alignment vertical="center"/>
      <protection hidden="1"/>
    </xf>
    <xf numFmtId="0" fontId="9" fillId="11" borderId="9" xfId="0" applyNumberFormat="1" applyFont="1" applyFill="1" applyBorder="1" applyAlignment="1" applyProtection="1">
      <alignment vertical="center"/>
      <protection hidden="1"/>
    </xf>
    <xf numFmtId="0" fontId="9" fillId="11" borderId="6" xfId="0" applyNumberFormat="1" applyFont="1" applyFill="1" applyBorder="1" applyAlignment="1" applyProtection="1">
      <alignment vertical="center"/>
      <protection locked="0"/>
    </xf>
    <xf numFmtId="0" fontId="9" fillId="11" borderId="6" xfId="0" applyNumberFormat="1" applyFont="1" applyFill="1" applyBorder="1" applyAlignment="1" applyProtection="1">
      <alignment vertical="center"/>
      <protection hidden="1"/>
    </xf>
    <xf numFmtId="0" fontId="29" fillId="11" borderId="7" xfId="0" applyNumberFormat="1" applyFont="1" applyFill="1" applyBorder="1" applyAlignment="1" applyProtection="1">
      <alignment vertical="center"/>
      <protection locked="0"/>
    </xf>
    <xf numFmtId="0" fontId="9" fillId="11" borderId="10" xfId="0" applyNumberFormat="1" applyFont="1" applyFill="1" applyBorder="1" applyAlignment="1" applyProtection="1">
      <alignment horizontal="left" vertical="center"/>
      <protection hidden="1"/>
    </xf>
    <xf numFmtId="14" fontId="9" fillId="11" borderId="5" xfId="0" applyNumberFormat="1" applyFont="1" applyFill="1" applyBorder="1" applyAlignment="1" applyProtection="1">
      <alignment horizontal="left" vertical="center"/>
      <protection locked="0"/>
    </xf>
    <xf numFmtId="0" fontId="9" fillId="11" borderId="5" xfId="0" applyFont="1" applyFill="1" applyBorder="1" applyAlignment="1" applyProtection="1">
      <alignment vertical="center"/>
      <protection locked="0"/>
    </xf>
    <xf numFmtId="0" fontId="7" fillId="4" borderId="5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4" fontId="1" fillId="20" borderId="27" xfId="0" applyNumberFormat="1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 wrapText="1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58" fillId="20" borderId="18" xfId="0" applyFont="1" applyFill="1" applyBorder="1" applyAlignment="1" applyProtection="1">
      <alignment horizontal="center" vertical="center"/>
      <protection hidden="1"/>
    </xf>
    <xf numFmtId="0" fontId="58" fillId="20" borderId="29" xfId="0" applyFont="1" applyFill="1" applyBorder="1" applyAlignment="1" applyProtection="1">
      <alignment horizontal="center" vertical="center"/>
      <protection hidden="1"/>
    </xf>
    <xf numFmtId="2" fontId="58" fillId="20" borderId="29" xfId="0" applyNumberFormat="1" applyFont="1" applyFill="1" applyBorder="1" applyAlignment="1" applyProtection="1">
      <alignment horizontal="center" vertical="center"/>
      <protection hidden="1"/>
    </xf>
    <xf numFmtId="0" fontId="58" fillId="20" borderId="19" xfId="0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2" fontId="1" fillId="20" borderId="21" xfId="0" applyNumberFormat="1" applyFont="1" applyFill="1" applyBorder="1" applyAlignment="1" applyProtection="1">
      <alignment horizontal="center" vertical="center"/>
      <protection hidden="1"/>
    </xf>
    <xf numFmtId="2" fontId="1" fillId="20" borderId="17" xfId="0" applyNumberFormat="1" applyFont="1" applyFill="1" applyBorder="1" applyAlignment="1" applyProtection="1">
      <alignment horizontal="center" vertical="center"/>
      <protection hidden="1"/>
    </xf>
    <xf numFmtId="2" fontId="1" fillId="20" borderId="19" xfId="0" applyNumberFormat="1" applyFont="1" applyFill="1" applyBorder="1" applyAlignment="1" applyProtection="1">
      <alignment horizontal="center" vertical="center"/>
      <protection hidden="1"/>
    </xf>
    <xf numFmtId="0" fontId="1" fillId="4" borderId="20" xfId="0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Protection="1">
      <protection hidden="1"/>
    </xf>
    <xf numFmtId="0" fontId="6" fillId="0" borderId="1" xfId="0" quotePrefix="1" applyNumberFormat="1" applyFont="1" applyBorder="1" applyAlignment="1" applyProtection="1">
      <alignment horizontal="left"/>
      <protection hidden="1"/>
    </xf>
    <xf numFmtId="10" fontId="2" fillId="5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23" fillId="5" borderId="1" xfId="0" applyFont="1" applyFill="1" applyBorder="1" applyAlignment="1" applyProtection="1">
      <alignment horizontal="left" vertical="center"/>
      <protection hidden="1"/>
    </xf>
    <xf numFmtId="0" fontId="7" fillId="5" borderId="1" xfId="0" applyFont="1" applyFill="1" applyBorder="1" applyAlignment="1" applyProtection="1">
      <alignment horizontal="left" vertical="center"/>
      <protection hidden="1"/>
    </xf>
    <xf numFmtId="4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44" fontId="7" fillId="9" borderId="11" xfId="13" applyFont="1" applyFill="1" applyBorder="1" applyAlignment="1" applyProtection="1">
      <alignment horizontal="center" vertical="center"/>
      <protection hidden="1"/>
    </xf>
    <xf numFmtId="0" fontId="21" fillId="9" borderId="1" xfId="0" applyFont="1" applyFill="1" applyBorder="1" applyAlignment="1" applyProtection="1">
      <alignment horizontal="left" vertical="center" wrapText="1"/>
      <protection hidden="1"/>
    </xf>
    <xf numFmtId="0" fontId="21" fillId="9" borderId="1" xfId="0" applyFont="1" applyFill="1" applyBorder="1" applyAlignment="1" applyProtection="1">
      <alignment horizontal="center" vertical="center" wrapText="1"/>
      <protection hidden="1"/>
    </xf>
    <xf numFmtId="0" fontId="40" fillId="0" borderId="1" xfId="0" applyFont="1" applyFill="1" applyBorder="1" applyAlignment="1" applyProtection="1">
      <alignment horizontal="left" vertical="center" wrapText="1"/>
      <protection hidden="1"/>
    </xf>
    <xf numFmtId="0" fontId="40" fillId="0" borderId="1" xfId="0" applyFont="1" applyFill="1" applyBorder="1" applyAlignment="1" applyProtection="1">
      <alignment horizontal="center" vertical="center" wrapText="1"/>
      <protection hidden="1"/>
    </xf>
    <xf numFmtId="0" fontId="40" fillId="5" borderId="0" xfId="0" applyFont="1" applyFill="1" applyBorder="1" applyAlignment="1" applyProtection="1">
      <alignment horizontal="left" vertical="center" wrapText="1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40" fillId="5" borderId="0" xfId="0" applyFont="1" applyFill="1" applyBorder="1" applyAlignment="1" applyProtection="1">
      <alignment horizontal="center" vertical="center" wrapText="1"/>
      <protection hidden="1"/>
    </xf>
    <xf numFmtId="175" fontId="7" fillId="22" borderId="1" xfId="13" applyNumberFormat="1" applyFont="1" applyFill="1" applyBorder="1" applyAlignment="1" applyProtection="1">
      <alignment horizontal="center" vertical="center" wrapText="1"/>
      <protection locked="0"/>
    </xf>
    <xf numFmtId="4" fontId="7" fillId="2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" xfId="0" applyFont="1" applyFill="1" applyBorder="1" applyAlignment="1" applyProtection="1">
      <alignment horizontal="center"/>
      <protection locked="0"/>
    </xf>
    <xf numFmtId="44" fontId="7" fillId="22" borderId="1" xfId="13" applyFont="1" applyFill="1" applyBorder="1" applyAlignment="1" applyProtection="1">
      <alignment horizontal="center" vertical="center"/>
      <protection locked="0"/>
    </xf>
    <xf numFmtId="174" fontId="7" fillId="22" borderId="1" xfId="13" applyNumberFormat="1" applyFont="1" applyFill="1" applyBorder="1" applyAlignment="1" applyProtection="1">
      <alignment horizontal="center" vertical="center"/>
      <protection locked="0"/>
    </xf>
    <xf numFmtId="4" fontId="41" fillId="2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2" borderId="1" xfId="10" applyNumberFormat="1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horizontal="center" vertical="center"/>
      <protection hidden="1"/>
    </xf>
    <xf numFmtId="168" fontId="2" fillId="0" borderId="0" xfId="0" applyNumberFormat="1" applyFont="1" applyProtection="1">
      <protection hidden="1"/>
    </xf>
    <xf numFmtId="4" fontId="41" fillId="0" borderId="1" xfId="0" applyNumberFormat="1" applyFont="1" applyFill="1" applyBorder="1" applyAlignment="1" applyProtection="1">
      <alignment horizontal="right" vertical="center" wrapText="1"/>
      <protection hidden="1"/>
    </xf>
    <xf numFmtId="2" fontId="2" fillId="0" borderId="0" xfId="0" applyNumberFormat="1" applyFont="1" applyProtection="1"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4" fontId="4" fillId="0" borderId="3" xfId="13" applyFont="1" applyFill="1" applyBorder="1" applyAlignment="1" applyProtection="1">
      <alignment horizontal="right" vertical="center" wrapText="1"/>
      <protection hidden="1"/>
    </xf>
    <xf numFmtId="44" fontId="4" fillId="0" borderId="0" xfId="13" applyFont="1" applyFill="1" applyBorder="1" applyAlignment="1" applyProtection="1">
      <alignment horizontal="right" vertical="center" wrapText="1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44" fontId="4" fillId="5" borderId="0" xfId="13" applyFont="1" applyFill="1" applyBorder="1" applyAlignment="1" applyProtection="1">
      <alignment horizontal="right" vertical="center" wrapText="1"/>
      <protection hidden="1"/>
    </xf>
    <xf numFmtId="9" fontId="4" fillId="5" borderId="0" xfId="10" applyFont="1" applyFill="1" applyBorder="1" applyAlignment="1" applyProtection="1">
      <alignment horizontal="center" vertical="center"/>
      <protection hidden="1"/>
    </xf>
    <xf numFmtId="4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/>
    <xf numFmtId="4" fontId="2" fillId="5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18" borderId="1" xfId="0" applyFont="1" applyFill="1" applyBorder="1" applyAlignment="1" applyProtection="1">
      <alignment horizontal="left" vertical="center" wrapText="1"/>
    </xf>
    <xf numFmtId="0" fontId="12" fillId="4" borderId="11" xfId="0" applyNumberFormat="1" applyFont="1" applyFill="1" applyBorder="1" applyAlignment="1" applyProtection="1">
      <alignment vertical="center"/>
      <protection hidden="1"/>
    </xf>
    <xf numFmtId="0" fontId="7" fillId="4" borderId="10" xfId="0" applyFont="1" applyFill="1" applyBorder="1" applyAlignment="1" applyProtection="1">
      <alignment vertical="center"/>
      <protection hidden="1"/>
    </xf>
    <xf numFmtId="0" fontId="29" fillId="11" borderId="7" xfId="0" applyNumberFormat="1" applyFont="1" applyFill="1" applyBorder="1" applyAlignment="1" applyProtection="1">
      <alignment vertical="center"/>
      <protection hidden="1"/>
    </xf>
    <xf numFmtId="0" fontId="9" fillId="11" borderId="5" xfId="0" applyFont="1" applyFill="1" applyBorder="1" applyAlignment="1" applyProtection="1">
      <alignment vertical="center"/>
      <protection hidden="1"/>
    </xf>
    <xf numFmtId="14" fontId="9" fillId="11" borderId="5" xfId="0" applyNumberFormat="1" applyFont="1" applyFill="1" applyBorder="1" applyAlignment="1" applyProtection="1">
      <alignment horizontal="left" vertical="center"/>
      <protection hidden="1"/>
    </xf>
    <xf numFmtId="4" fontId="7" fillId="4" borderId="1" xfId="0" applyNumberFormat="1" applyFont="1" applyFill="1" applyBorder="1" applyAlignment="1" applyProtection="1">
      <alignment horizontal="center" vertical="center" wrapText="1"/>
      <protection hidden="1"/>
    </xf>
    <xf numFmtId="4" fontId="7" fillId="16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16" borderId="3" xfId="0" applyFont="1" applyFill="1" applyBorder="1" applyAlignment="1" applyProtection="1">
      <alignment horizontal="center" vertical="center"/>
      <protection hidden="1"/>
    </xf>
    <xf numFmtId="172" fontId="7" fillId="11" borderId="1" xfId="10" applyNumberFormat="1" applyFont="1" applyFill="1" applyBorder="1" applyAlignment="1" applyProtection="1">
      <alignment horizontal="center" vertical="center" shrinkToFit="1"/>
      <protection hidden="1"/>
    </xf>
    <xf numFmtId="4" fontId="41" fillId="16" borderId="1" xfId="0" applyNumberFormat="1" applyFont="1" applyFill="1" applyBorder="1" applyAlignment="1" applyProtection="1">
      <alignment horizontal="center" vertical="center" wrapText="1"/>
      <protection hidden="1"/>
    </xf>
    <xf numFmtId="10" fontId="2" fillId="5" borderId="0" xfId="10" applyNumberFormat="1" applyFont="1" applyFill="1" applyBorder="1" applyAlignment="1" applyProtection="1">
      <alignment horizontal="center" vertical="center"/>
      <protection hidden="1"/>
    </xf>
    <xf numFmtId="4" fontId="41" fillId="4" borderId="1" xfId="0" applyNumberFormat="1" applyFont="1" applyFill="1" applyBorder="1" applyAlignment="1" applyProtection="1">
      <alignment horizontal="center" vertical="center" wrapText="1"/>
      <protection hidden="1"/>
    </xf>
    <xf numFmtId="44" fontId="8" fillId="16" borderId="27" xfId="0" applyNumberFormat="1" applyFont="1" applyFill="1" applyBorder="1" applyAlignment="1" applyProtection="1">
      <alignment horizontal="center" vertical="center"/>
      <protection hidden="1"/>
    </xf>
    <xf numFmtId="0" fontId="0" fillId="22" borderId="31" xfId="0" applyFill="1" applyBorder="1" applyProtection="1">
      <protection hidden="1"/>
    </xf>
    <xf numFmtId="49" fontId="55" fillId="0" borderId="0" xfId="0" applyNumberFormat="1" applyFont="1" applyAlignment="1" applyProtection="1">
      <alignment horizontal="left" vertical="center" wrapText="1"/>
      <protection hidden="1"/>
    </xf>
    <xf numFmtId="0" fontId="0" fillId="21" borderId="31" xfId="0" applyFill="1" applyBorder="1" applyProtection="1">
      <protection hidden="1"/>
    </xf>
    <xf numFmtId="49" fontId="55" fillId="0" borderId="0" xfId="0" applyNumberFormat="1" applyFont="1" applyAlignment="1" applyProtection="1">
      <alignment horizontal="left" vertical="center"/>
      <protection hidden="1"/>
    </xf>
    <xf numFmtId="0" fontId="0" fillId="16" borderId="31" xfId="0" applyFill="1" applyBorder="1" applyProtection="1">
      <protection hidden="1"/>
    </xf>
    <xf numFmtId="4" fontId="41" fillId="21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21" borderId="11" xfId="0" applyNumberFormat="1" applyFont="1" applyFill="1" applyBorder="1" applyAlignment="1" applyProtection="1">
      <alignment horizontal="right" vertical="center" wrapText="1"/>
      <protection locked="0"/>
    </xf>
    <xf numFmtId="10" fontId="2" fillId="22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22" borderId="1" xfId="10" applyNumberFormat="1" applyFont="1" applyFill="1" applyBorder="1" applyAlignment="1" applyProtection="1">
      <alignment horizontal="center" vertical="center"/>
      <protection locked="0"/>
    </xf>
    <xf numFmtId="10" fontId="2" fillId="22" borderId="1" xfId="0" applyNumberFormat="1" applyFont="1" applyFill="1" applyBorder="1" applyAlignment="1" applyProtection="1">
      <alignment horizontal="center" vertical="center"/>
      <protection locked="0"/>
    </xf>
    <xf numFmtId="49" fontId="2" fillId="22" borderId="1" xfId="11" applyNumberFormat="1" applyFont="1" applyFill="1" applyBorder="1" applyAlignment="1" applyProtection="1">
      <alignment horizontal="center" vertical="center"/>
      <protection locked="0"/>
    </xf>
    <xf numFmtId="44" fontId="8" fillId="22" borderId="27" xfId="13" applyFont="1" applyFill="1" applyBorder="1" applyAlignment="1" applyProtection="1">
      <alignment horizontal="center" vertical="center"/>
      <protection locked="0"/>
    </xf>
    <xf numFmtId="10" fontId="4" fillId="0" borderId="3" xfId="10" applyNumberFormat="1" applyFont="1" applyBorder="1" applyAlignment="1" applyProtection="1">
      <alignment horizontal="center" vertical="center"/>
      <protection hidden="1"/>
    </xf>
    <xf numFmtId="44" fontId="4" fillId="4" borderId="23" xfId="13" applyFont="1" applyFill="1" applyBorder="1" applyAlignment="1" applyProtection="1">
      <alignment horizontal="right" vertical="center" wrapText="1"/>
      <protection hidden="1"/>
    </xf>
    <xf numFmtId="9" fontId="4" fillId="4" borderId="24" xfId="1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center" vertical="top" wrapText="1"/>
      <protection hidden="1"/>
    </xf>
    <xf numFmtId="4" fontId="4" fillId="0" borderId="5" xfId="0" applyNumberFormat="1" applyFont="1" applyFill="1" applyBorder="1" applyAlignment="1" applyProtection="1">
      <alignment horizontal="right" vertical="top" wrapText="1"/>
      <protection hidden="1"/>
    </xf>
    <xf numFmtId="44" fontId="4" fillId="0" borderId="5" xfId="13" applyFont="1" applyFill="1" applyBorder="1" applyAlignment="1" applyProtection="1">
      <alignment horizontal="right" vertical="center" wrapText="1"/>
      <protection hidden="1"/>
    </xf>
    <xf numFmtId="10" fontId="4" fillId="0" borderId="5" xfId="10" applyNumberFormat="1" applyFont="1" applyBorder="1" applyAlignment="1" applyProtection="1">
      <alignment horizontal="center" vertical="center"/>
      <protection hidden="1"/>
    </xf>
    <xf numFmtId="0" fontId="4" fillId="10" borderId="22" xfId="0" applyFont="1" applyFill="1" applyBorder="1" applyAlignment="1" applyProtection="1">
      <alignment horizontal="center" vertical="center" wrapText="1"/>
      <protection hidden="1"/>
    </xf>
    <xf numFmtId="0" fontId="4" fillId="10" borderId="23" xfId="0" applyFont="1" applyFill="1" applyBorder="1" applyAlignment="1" applyProtection="1">
      <alignment horizontal="left" vertical="center" wrapText="1"/>
      <protection hidden="1"/>
    </xf>
    <xf numFmtId="0" fontId="4" fillId="10" borderId="23" xfId="0" applyFont="1" applyFill="1" applyBorder="1" applyAlignment="1" applyProtection="1">
      <alignment horizontal="center" vertical="center" wrapText="1"/>
      <protection hidden="1"/>
    </xf>
    <xf numFmtId="4" fontId="4" fillId="10" borderId="23" xfId="0" applyNumberFormat="1" applyFont="1" applyFill="1" applyBorder="1" applyAlignment="1" applyProtection="1">
      <alignment horizontal="right" vertical="center" wrapText="1"/>
      <protection hidden="1"/>
    </xf>
    <xf numFmtId="4" fontId="4" fillId="10" borderId="23" xfId="0" applyNumberFormat="1" applyFont="1" applyFill="1" applyBorder="1" applyAlignment="1" applyProtection="1">
      <alignment horizontal="center" vertical="center"/>
      <protection hidden="1"/>
    </xf>
    <xf numFmtId="0" fontId="4" fillId="10" borderId="24" xfId="0" applyFont="1" applyFill="1" applyBorder="1" applyAlignment="1" applyProtection="1">
      <alignment horizontal="center" vertical="center"/>
      <protection hidden="1"/>
    </xf>
    <xf numFmtId="10" fontId="4" fillId="0" borderId="6" xfId="10" applyNumberFormat="1" applyFont="1" applyBorder="1" applyAlignment="1" applyProtection="1">
      <alignment horizontal="center" vertical="center"/>
      <protection hidden="1"/>
    </xf>
    <xf numFmtId="4" fontId="4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44" fontId="4" fillId="0" borderId="6" xfId="13" applyFont="1" applyFill="1" applyBorder="1" applyAlignment="1" applyProtection="1">
      <alignment horizontal="right" vertical="center" wrapText="1"/>
      <protection hidden="1"/>
    </xf>
    <xf numFmtId="10" fontId="4" fillId="4" borderId="24" xfId="1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2" fillId="0" borderId="0" xfId="0" applyNumberFormat="1" applyFont="1" applyBorder="1" applyAlignment="1" applyProtection="1">
      <alignment horizontal="center"/>
      <protection hidden="1"/>
    </xf>
    <xf numFmtId="0" fontId="12" fillId="0" borderId="0" xfId="0" quotePrefix="1" applyNumberFormat="1" applyFont="1" applyBorder="1" applyAlignment="1" applyProtection="1">
      <alignment horizontal="center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hidden="1"/>
    </xf>
    <xf numFmtId="4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vertical="center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left" vertical="center" shrinkToFit="1"/>
      <protection hidden="1"/>
    </xf>
    <xf numFmtId="0" fontId="7" fillId="5" borderId="1" xfId="0" applyFont="1" applyFill="1" applyBorder="1" applyAlignment="1" applyProtection="1">
      <alignment horizontal="left" vertical="center" shrinkToFit="1"/>
      <protection hidden="1"/>
    </xf>
    <xf numFmtId="0" fontId="16" fillId="8" borderId="11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/>
    <xf numFmtId="0" fontId="22" fillId="8" borderId="2" xfId="0" applyFont="1" applyFill="1" applyBorder="1"/>
    <xf numFmtId="0" fontId="7" fillId="5" borderId="11" xfId="0" applyFont="1" applyFill="1" applyBorder="1" applyAlignment="1" applyProtection="1">
      <alignment horizontal="left" vertical="center" shrinkToFit="1"/>
      <protection hidden="1"/>
    </xf>
    <xf numFmtId="0" fontId="7" fillId="5" borderId="3" xfId="0" applyFont="1" applyFill="1" applyBorder="1" applyAlignment="1" applyProtection="1">
      <alignment horizontal="left" vertical="center" shrinkToFit="1"/>
      <protection hidden="1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4" fillId="9" borderId="9" xfId="0" applyNumberFormat="1" applyFont="1" applyFill="1" applyBorder="1" applyAlignment="1" applyProtection="1">
      <alignment horizontal="center" wrapText="1"/>
      <protection hidden="1"/>
    </xf>
    <xf numFmtId="4" fontId="4" fillId="9" borderId="7" xfId="0" applyNumberFormat="1" applyFont="1" applyFill="1" applyBorder="1" applyAlignment="1" applyProtection="1">
      <alignment horizontal="center" wrapText="1"/>
      <protection hidden="1"/>
    </xf>
    <xf numFmtId="172" fontId="4" fillId="9" borderId="10" xfId="10" applyNumberFormat="1" applyFont="1" applyFill="1" applyBorder="1" applyAlignment="1" applyProtection="1">
      <alignment horizontal="center" vertical="top" wrapText="1"/>
      <protection hidden="1"/>
    </xf>
    <xf numFmtId="172" fontId="4" fillId="9" borderId="8" xfId="10" applyNumberFormat="1" applyFont="1" applyFill="1" applyBorder="1" applyAlignment="1" applyProtection="1">
      <alignment horizontal="center" vertical="top" wrapText="1"/>
      <protection hidden="1"/>
    </xf>
    <xf numFmtId="44" fontId="7" fillId="6" borderId="7" xfId="0" applyNumberFormat="1" applyFont="1" applyFill="1" applyBorder="1" applyAlignment="1" applyProtection="1">
      <alignment horizontal="center" vertical="center"/>
      <protection hidden="1"/>
    </xf>
    <xf numFmtId="44" fontId="7" fillId="6" borderId="8" xfId="0" applyNumberFormat="1" applyFont="1" applyFill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horizontal="center" vertical="center"/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6" borderId="6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7" fillId="14" borderId="11" xfId="0" applyFont="1" applyFill="1" applyBorder="1" applyAlignment="1" applyProtection="1">
      <alignment horizontal="center" vertical="center"/>
      <protection hidden="1"/>
    </xf>
    <xf numFmtId="0" fontId="7" fillId="14" borderId="3" xfId="0" applyFont="1" applyFill="1" applyBorder="1" applyAlignment="1" applyProtection="1">
      <alignment horizontal="center" vertical="center"/>
      <protection hidden="1"/>
    </xf>
    <xf numFmtId="4" fontId="4" fillId="9" borderId="9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7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8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1" xfId="10" applyNumberFormat="1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" fontId="2" fillId="4" borderId="1" xfId="0" applyNumberFormat="1" applyFont="1" applyFill="1" applyBorder="1" applyAlignment="1" applyProtection="1">
      <alignment horizontal="center" vertical="center"/>
      <protection hidden="1"/>
    </xf>
    <xf numFmtId="10" fontId="2" fillId="0" borderId="11" xfId="10" applyNumberFormat="1" applyFont="1" applyBorder="1" applyAlignment="1" applyProtection="1">
      <alignment horizontal="left" wrapText="1"/>
      <protection hidden="1"/>
    </xf>
    <xf numFmtId="10" fontId="2" fillId="0" borderId="3" xfId="10" applyNumberFormat="1" applyFont="1" applyBorder="1" applyAlignment="1" applyProtection="1">
      <alignment horizontal="left" wrapText="1"/>
      <protection hidden="1"/>
    </xf>
    <xf numFmtId="10" fontId="2" fillId="0" borderId="2" xfId="10" applyNumberFormat="1" applyFont="1" applyBorder="1" applyAlignment="1" applyProtection="1">
      <alignment horizontal="left" wrapText="1"/>
      <protection hidden="1"/>
    </xf>
    <xf numFmtId="4" fontId="7" fillId="6" borderId="2" xfId="0" applyNumberFormat="1" applyFont="1" applyFill="1" applyBorder="1" applyAlignment="1" applyProtection="1">
      <alignment horizontal="center" vertical="center"/>
      <protection hidden="1"/>
    </xf>
    <xf numFmtId="44" fontId="7" fillId="6" borderId="11" xfId="0" applyNumberFormat="1" applyFont="1" applyFill="1" applyBorder="1" applyAlignment="1" applyProtection="1">
      <alignment horizontal="center" vertical="center"/>
      <protection hidden="1"/>
    </xf>
    <xf numFmtId="10" fontId="40" fillId="0" borderId="1" xfId="0" applyNumberFormat="1" applyFont="1" applyBorder="1" applyAlignment="1" applyProtection="1">
      <alignment horizontal="center" vertical="center" wrapText="1"/>
      <protection hidden="1"/>
    </xf>
    <xf numFmtId="10" fontId="2" fillId="0" borderId="1" xfId="0" applyNumberFormat="1" applyFont="1" applyBorder="1" applyAlignment="1" applyProtection="1">
      <alignment horizontal="center" vertical="center"/>
      <protection hidden="1"/>
    </xf>
    <xf numFmtId="0" fontId="41" fillId="0" borderId="1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20" fillId="0" borderId="26" xfId="0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4" fontId="4" fillId="9" borderId="4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30" xfId="0" applyNumberFormat="1" applyFont="1" applyFill="1" applyBorder="1" applyAlignment="1" applyProtection="1">
      <alignment horizontal="center" vertical="center" wrapText="1"/>
      <protection hidden="1"/>
    </xf>
    <xf numFmtId="44" fontId="4" fillId="9" borderId="11" xfId="13" applyFont="1" applyFill="1" applyBorder="1" applyAlignment="1" applyProtection="1">
      <alignment horizontal="center" vertical="center" wrapText="1"/>
      <protection hidden="1"/>
    </xf>
    <xf numFmtId="44" fontId="4" fillId="9" borderId="2" xfId="13" applyFont="1" applyFill="1" applyBorder="1" applyAlignment="1" applyProtection="1">
      <alignment horizontal="center" vertical="center" wrapText="1"/>
      <protection hidden="1"/>
    </xf>
    <xf numFmtId="4" fontId="41" fillId="5" borderId="11" xfId="0" applyNumberFormat="1" applyFont="1" applyFill="1" applyBorder="1" applyAlignment="1" applyProtection="1">
      <alignment horizontal="right" vertical="center" wrapText="1"/>
      <protection hidden="1"/>
    </xf>
    <xf numFmtId="4" fontId="41" fillId="5" borderId="2" xfId="0" applyNumberFormat="1" applyFont="1" applyFill="1" applyBorder="1" applyAlignment="1" applyProtection="1">
      <alignment horizontal="right" vertical="center" wrapText="1"/>
      <protection hidden="1"/>
    </xf>
    <xf numFmtId="4" fontId="2" fillId="5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4" borderId="22" xfId="0" applyFont="1" applyFill="1" applyBorder="1" applyAlignment="1" applyProtection="1">
      <alignment horizontal="center"/>
      <protection hidden="1"/>
    </xf>
    <xf numFmtId="0" fontId="1" fillId="4" borderId="23" xfId="0" applyFont="1" applyFill="1" applyBorder="1" applyAlignment="1" applyProtection="1">
      <alignment horizontal="center"/>
      <protection hidden="1"/>
    </xf>
    <xf numFmtId="0" fontId="1" fillId="4" borderId="24" xfId="0" applyFont="1" applyFill="1" applyBorder="1" applyAlignment="1" applyProtection="1">
      <alignment horizontal="center"/>
      <protection hidden="1"/>
    </xf>
    <xf numFmtId="0" fontId="1" fillId="4" borderId="25" xfId="0" applyFont="1" applyFill="1" applyBorder="1" applyAlignment="1" applyProtection="1">
      <alignment horizontal="center" vertical="center"/>
      <protection hidden="1"/>
    </xf>
    <xf numFmtId="0" fontId="1" fillId="4" borderId="26" xfId="0" applyFont="1" applyFill="1" applyBorder="1" applyAlignment="1" applyProtection="1">
      <alignment horizontal="center" vertical="center"/>
      <protection hidden="1"/>
    </xf>
    <xf numFmtId="0" fontId="1" fillId="4" borderId="22" xfId="0" applyFont="1" applyFill="1" applyBorder="1" applyAlignment="1" applyProtection="1">
      <alignment horizontal="center" vertical="center"/>
      <protection hidden="1"/>
    </xf>
    <xf numFmtId="0" fontId="1" fillId="4" borderId="23" xfId="0" applyFont="1" applyFill="1" applyBorder="1" applyAlignment="1" applyProtection="1">
      <alignment horizontal="center" vertical="center"/>
      <protection hidden="1"/>
    </xf>
    <xf numFmtId="0" fontId="1" fillId="4" borderId="24" xfId="0" applyFont="1" applyFill="1" applyBorder="1" applyAlignment="1" applyProtection="1">
      <alignment horizontal="center" vertical="center"/>
      <protection hidden="1"/>
    </xf>
    <xf numFmtId="4" fontId="1" fillId="4" borderId="25" xfId="0" applyNumberFormat="1" applyFont="1" applyFill="1" applyBorder="1" applyAlignment="1" applyProtection="1">
      <alignment horizontal="center"/>
      <protection hidden="1"/>
    </xf>
    <xf numFmtId="4" fontId="0" fillId="4" borderId="27" xfId="0" applyNumberFormat="1" applyFill="1" applyBorder="1" applyAlignment="1" applyProtection="1">
      <alignment horizontal="center"/>
      <protection hidden="1"/>
    </xf>
    <xf numFmtId="0" fontId="22" fillId="8" borderId="3" xfId="0" applyFont="1" applyFill="1" applyBorder="1" applyProtection="1">
      <protection hidden="1"/>
    </xf>
    <xf numFmtId="0" fontId="22" fillId="8" borderId="2" xfId="0" applyFont="1" applyFill="1" applyBorder="1" applyProtection="1">
      <protection hidden="1"/>
    </xf>
    <xf numFmtId="172" fontId="4" fillId="9" borderId="1" xfId="10" applyNumberFormat="1" applyFont="1" applyFill="1" applyBorder="1" applyAlignment="1" applyProtection="1">
      <alignment horizontal="center" vertical="center" wrapText="1"/>
      <protection hidden="1"/>
    </xf>
    <xf numFmtId="0" fontId="9" fillId="4" borderId="9" xfId="0" quotePrefix="1" applyNumberFormat="1" applyFont="1" applyFill="1" applyBorder="1" applyAlignment="1" applyProtection="1">
      <alignment horizontal="justify" vertical="center" wrapText="1"/>
      <protection hidden="1"/>
    </xf>
    <xf numFmtId="0" fontId="9" fillId="4" borderId="6" xfId="0" quotePrefix="1" applyNumberFormat="1" applyFont="1" applyFill="1" applyBorder="1" applyAlignment="1" applyProtection="1">
      <alignment horizontal="justify" vertical="center" wrapText="1"/>
      <protection hidden="1"/>
    </xf>
    <xf numFmtId="0" fontId="9" fillId="4" borderId="7" xfId="0" quotePrefix="1" applyNumberFormat="1" applyFont="1" applyFill="1" applyBorder="1" applyAlignment="1" applyProtection="1">
      <alignment horizontal="justify" vertical="center" wrapText="1"/>
      <protection hidden="1"/>
    </xf>
    <xf numFmtId="0" fontId="7" fillId="5" borderId="2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49" fontId="55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49" fontId="5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45" fillId="0" borderId="1" xfId="0" applyFont="1" applyBorder="1" applyAlignment="1" applyProtection="1">
      <alignment horizontal="right" vertical="center" wrapText="1"/>
    </xf>
    <xf numFmtId="10" fontId="45" fillId="0" borderId="1" xfId="14" applyNumberFormat="1" applyFont="1" applyBorder="1" applyAlignment="1" applyProtection="1">
      <alignment horizontal="center" vertical="center"/>
    </xf>
    <xf numFmtId="0" fontId="45" fillId="0" borderId="1" xfId="0" applyFont="1" applyBorder="1" applyAlignment="1" applyProtection="1">
      <alignment horizontal="right" vertical="center"/>
    </xf>
    <xf numFmtId="0" fontId="45" fillId="0" borderId="0" xfId="0" applyFont="1" applyAlignment="1" applyProtection="1">
      <alignment horizontal="right" vertical="center" wrapText="1"/>
    </xf>
    <xf numFmtId="0" fontId="54" fillId="16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justify" vertical="center" wrapText="1"/>
    </xf>
    <xf numFmtId="0" fontId="50" fillId="19" borderId="11" xfId="0" applyFont="1" applyFill="1" applyBorder="1" applyAlignment="1" applyProtection="1">
      <alignment horizontal="center" vertical="center" wrapText="1"/>
    </xf>
    <xf numFmtId="0" fontId="50" fillId="19" borderId="3" xfId="0" applyFont="1" applyFill="1" applyBorder="1" applyAlignment="1" applyProtection="1">
      <alignment horizontal="center" vertical="center" wrapText="1"/>
    </xf>
    <xf numFmtId="0" fontId="50" fillId="19" borderId="2" xfId="0" applyFont="1" applyFill="1" applyBorder="1" applyAlignment="1" applyProtection="1">
      <alignment horizontal="center" vertical="center" wrapText="1"/>
    </xf>
    <xf numFmtId="10" fontId="52" fillId="19" borderId="1" xfId="14" applyNumberFormat="1" applyFont="1" applyFill="1" applyBorder="1" applyAlignment="1" applyProtection="1">
      <alignment horizontal="center" vertical="center"/>
    </xf>
    <xf numFmtId="0" fontId="53" fillId="5" borderId="0" xfId="0" applyFont="1" applyFill="1" applyAlignment="1" applyProtection="1">
      <alignment horizontal="right"/>
    </xf>
    <xf numFmtId="0" fontId="48" fillId="16" borderId="1" xfId="0" applyFont="1" applyFill="1" applyBorder="1" applyAlignment="1" applyProtection="1">
      <alignment horizontal="center" vertical="center"/>
    </xf>
    <xf numFmtId="0" fontId="43" fillId="0" borderId="1" xfId="0" applyFont="1" applyBorder="1" applyAlignment="1" applyProtection="1">
      <alignment horizontal="right" vertical="center"/>
    </xf>
    <xf numFmtId="0" fontId="43" fillId="0" borderId="1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0" fillId="4" borderId="17" xfId="0" applyFill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center" vertical="center" wrapText="1"/>
    </xf>
    <xf numFmtId="0" fontId="0" fillId="4" borderId="19" xfId="0" applyFill="1" applyBorder="1" applyAlignment="1" applyProtection="1">
      <alignment horizontal="center" vertical="center" wrapText="1"/>
    </xf>
    <xf numFmtId="10" fontId="45" fillId="17" borderId="1" xfId="14" applyNumberFormat="1" applyFont="1" applyFill="1" applyBorder="1" applyAlignment="1" applyProtection="1">
      <alignment horizontal="center" vertical="center"/>
    </xf>
    <xf numFmtId="10" fontId="43" fillId="18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10" fontId="45" fillId="13" borderId="1" xfId="14" applyNumberFormat="1" applyFont="1" applyFill="1" applyBorder="1" applyAlignment="1" applyProtection="1">
      <alignment horizontal="center" vertical="center"/>
    </xf>
    <xf numFmtId="10" fontId="43" fillId="13" borderId="1" xfId="0" applyNumberFormat="1" applyFont="1" applyFill="1" applyBorder="1" applyAlignment="1" applyProtection="1">
      <alignment horizontal="center" vertical="center"/>
    </xf>
    <xf numFmtId="0" fontId="43" fillId="13" borderId="1" xfId="0" applyFont="1" applyFill="1" applyBorder="1" applyAlignment="1" applyProtection="1">
      <alignment horizontal="center" vertical="center"/>
    </xf>
    <xf numFmtId="0" fontId="43" fillId="18" borderId="1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</xf>
    <xf numFmtId="0" fontId="48" fillId="0" borderId="1" xfId="0" applyFont="1" applyBorder="1" applyAlignment="1" applyProtection="1">
      <alignment horizontal="center" vertical="center"/>
    </xf>
    <xf numFmtId="0" fontId="45" fillId="0" borderId="0" xfId="0" applyFont="1" applyProtection="1"/>
    <xf numFmtId="0" fontId="44" fillId="0" borderId="1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6" fillId="16" borderId="1" xfId="0" applyFont="1" applyFill="1" applyBorder="1" applyAlignment="1" applyProtection="1">
      <alignment horizontal="center" vertical="center"/>
    </xf>
    <xf numFmtId="0" fontId="45" fillId="0" borderId="3" xfId="0" applyFont="1" applyBorder="1" applyAlignment="1" applyProtection="1">
      <alignment horizontal="left" vertical="center"/>
    </xf>
    <xf numFmtId="49" fontId="43" fillId="0" borderId="11" xfId="0" applyNumberFormat="1" applyFont="1" applyBorder="1" applyAlignment="1" applyProtection="1">
      <alignment horizontal="left" vertical="center" wrapText="1"/>
    </xf>
    <xf numFmtId="49" fontId="43" fillId="0" borderId="3" xfId="0" applyNumberFormat="1" applyFont="1" applyBorder="1" applyAlignment="1" applyProtection="1">
      <alignment horizontal="left" vertical="center" wrapText="1"/>
    </xf>
    <xf numFmtId="49" fontId="45" fillId="0" borderId="11" xfId="0" applyNumberFormat="1" applyFont="1" applyBorder="1" applyAlignment="1" applyProtection="1">
      <alignment horizontal="left" vertical="center" wrapText="1"/>
    </xf>
    <xf numFmtId="49" fontId="45" fillId="0" borderId="3" xfId="0" applyNumberFormat="1" applyFont="1" applyBorder="1" applyAlignment="1" applyProtection="1">
      <alignment horizontal="left" vertical="center" wrapText="1"/>
    </xf>
    <xf numFmtId="49" fontId="45" fillId="0" borderId="2" xfId="0" applyNumberFormat="1" applyFont="1" applyBorder="1" applyAlignment="1" applyProtection="1">
      <alignment horizontal="left" vertical="center" wrapText="1"/>
    </xf>
    <xf numFmtId="0" fontId="47" fillId="0" borderId="11" xfId="0" applyFont="1" applyBorder="1" applyAlignment="1" applyProtection="1">
      <alignment horizontal="left" vertical="center" wrapText="1"/>
    </xf>
    <xf numFmtId="0" fontId="47" fillId="0" borderId="3" xfId="0" applyFont="1" applyBorder="1" applyAlignment="1" applyProtection="1">
      <alignment horizontal="left" vertical="center" wrapText="1"/>
    </xf>
    <xf numFmtId="0" fontId="47" fillId="0" borderId="2" xfId="0" applyFont="1" applyBorder="1" applyAlignment="1" applyProtection="1">
      <alignment horizontal="left" vertical="center" wrapText="1"/>
    </xf>
    <xf numFmtId="0" fontId="36" fillId="0" borderId="0" xfId="0" quotePrefix="1" applyFont="1" applyFill="1" applyBorder="1" applyAlignment="1" applyProtection="1">
      <alignment horizontal="left" vertical="center"/>
      <protection hidden="1"/>
    </xf>
    <xf numFmtId="0" fontId="38" fillId="0" borderId="0" xfId="5" quotePrefix="1" applyFont="1" applyFill="1" applyAlignment="1" applyProtection="1">
      <alignment horizontal="center"/>
      <protection hidden="1"/>
    </xf>
    <xf numFmtId="14" fontId="34" fillId="0" borderId="0" xfId="0" applyNumberFormat="1" applyFont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1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37" fillId="4" borderId="3" xfId="0" applyFont="1" applyFill="1" applyBorder="1" applyAlignment="1" applyProtection="1">
      <alignment horizontal="right" vertical="center"/>
      <protection hidden="1"/>
    </xf>
    <xf numFmtId="0" fontId="34" fillId="4" borderId="3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4" fillId="0" borderId="3" xfId="0" applyFont="1" applyBorder="1" applyAlignment="1" applyProtection="1">
      <alignment horizontal="right" vertical="center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6" fillId="0" borderId="0" xfId="5" applyFont="1" applyFill="1" applyBorder="1" applyAlignment="1">
      <alignment horizontal="left" vertical="center"/>
    </xf>
    <xf numFmtId="0" fontId="8" fillId="0" borderId="3" xfId="5" applyFont="1" applyFill="1" applyBorder="1" applyAlignment="1">
      <alignment horizontal="left" vertical="center" wrapText="1"/>
    </xf>
    <xf numFmtId="0" fontId="6" fillId="0" borderId="0" xfId="5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5" fillId="0" borderId="0" xfId="5" applyFont="1" applyFill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6" fillId="0" borderId="0" xfId="5" quotePrefix="1" applyFont="1" applyFill="1" applyAlignment="1">
      <alignment horizontal="center" vertical="center"/>
    </xf>
    <xf numFmtId="0" fontId="16" fillId="0" borderId="0" xfId="5" quotePrefix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5" applyFill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8" fillId="4" borderId="0" xfId="0" quotePrefix="1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0" fillId="4" borderId="14" xfId="0" applyFont="1" applyFill="1" applyBorder="1" applyAlignment="1" applyProtection="1">
      <alignment horizontal="center" vertical="center" wrapText="1"/>
      <protection hidden="1"/>
    </xf>
    <xf numFmtId="0" fontId="30" fillId="4" borderId="28" xfId="0" quotePrefix="1" applyFont="1" applyFill="1" applyBorder="1" applyAlignment="1" applyProtection="1">
      <alignment horizontal="center" vertical="center" wrapText="1"/>
      <protection hidden="1"/>
    </xf>
    <xf numFmtId="0" fontId="30" fillId="4" borderId="15" xfId="0" quotePrefix="1" applyFont="1" applyFill="1" applyBorder="1" applyAlignment="1" applyProtection="1">
      <alignment horizontal="center" vertical="center" wrapText="1"/>
      <protection hidden="1"/>
    </xf>
    <xf numFmtId="0" fontId="4" fillId="4" borderId="22" xfId="0" applyFont="1" applyFill="1" applyBorder="1" applyAlignment="1" applyProtection="1">
      <alignment horizontal="left" vertical="center"/>
      <protection hidden="1"/>
    </xf>
    <xf numFmtId="0" fontId="4" fillId="4" borderId="23" xfId="0" applyFont="1" applyFill="1" applyBorder="1" applyAlignment="1" applyProtection="1">
      <alignment horizontal="left" vertical="center"/>
      <protection hidden="1"/>
    </xf>
    <xf numFmtId="0" fontId="7" fillId="9" borderId="22" xfId="0" applyFont="1" applyFill="1" applyBorder="1" applyAlignment="1" applyProtection="1">
      <alignment horizontal="left" vertical="center"/>
      <protection hidden="1"/>
    </xf>
    <xf numFmtId="0" fontId="7" fillId="9" borderId="23" xfId="0" applyFont="1" applyFill="1" applyBorder="1" applyAlignment="1" applyProtection="1">
      <alignment horizontal="left" vertical="center"/>
      <protection hidden="1"/>
    </xf>
    <xf numFmtId="0" fontId="7" fillId="9" borderId="24" xfId="0" applyFont="1" applyFill="1" applyBorder="1" applyAlignment="1" applyProtection="1">
      <alignment horizontal="left" vertical="center"/>
      <protection hidden="1"/>
    </xf>
    <xf numFmtId="0" fontId="15" fillId="4" borderId="22" xfId="0" applyFont="1" applyFill="1" applyBorder="1" applyAlignment="1" applyProtection="1">
      <alignment horizontal="center" vertical="center"/>
      <protection hidden="1"/>
    </xf>
    <xf numFmtId="0" fontId="15" fillId="4" borderId="23" xfId="0" applyFont="1" applyFill="1" applyBorder="1" applyAlignment="1" applyProtection="1">
      <alignment horizontal="center" vertical="center"/>
      <protection hidden="1"/>
    </xf>
    <xf numFmtId="0" fontId="15" fillId="4" borderId="24" xfId="0" applyFont="1" applyFill="1" applyBorder="1" applyAlignment="1" applyProtection="1">
      <alignment horizontal="center" vertical="center"/>
      <protection hidden="1"/>
    </xf>
    <xf numFmtId="0" fontId="31" fillId="4" borderId="18" xfId="0" applyNumberFormat="1" applyFont="1" applyFill="1" applyBorder="1" applyAlignment="1" applyProtection="1">
      <alignment horizontal="center"/>
      <protection hidden="1"/>
    </xf>
    <xf numFmtId="0" fontId="31" fillId="4" borderId="29" xfId="0" applyNumberFormat="1" applyFont="1" applyFill="1" applyBorder="1" applyAlignment="1" applyProtection="1">
      <alignment horizontal="center"/>
      <protection hidden="1"/>
    </xf>
    <xf numFmtId="0" fontId="31" fillId="4" borderId="19" xfId="0" applyNumberFormat="1" applyFont="1" applyFill="1" applyBorder="1" applyAlignment="1" applyProtection="1">
      <alignment horizontal="center"/>
      <protection hidden="1"/>
    </xf>
    <xf numFmtId="0" fontId="22" fillId="22" borderId="1" xfId="0" applyFont="1" applyFill="1" applyBorder="1" applyAlignment="1" applyProtection="1">
      <alignment vertical="center"/>
      <protection locked="0"/>
    </xf>
  </cellXfs>
  <cellStyles count="15">
    <cellStyle name="Excel Built-in Normal" xfId="1" xr:uid="{00000000-0005-0000-0000-000000000000}"/>
    <cellStyle name="Moeda" xfId="13" builtinId="4"/>
    <cellStyle name="Moeda 2" xfId="2" xr:uid="{00000000-0005-0000-0000-000002000000}"/>
    <cellStyle name="Moeda 2 2" xfId="3" xr:uid="{00000000-0005-0000-0000-000003000000}"/>
    <cellStyle name="Moeda 4" xfId="4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Porcentagem" xfId="10" builtinId="5"/>
    <cellStyle name="Porcentagem 2" xfId="14" xr:uid="{00000000-0005-0000-0000-00000C000000}"/>
    <cellStyle name="Separador de milhares 2" xfId="12" xr:uid="{00000000-0005-0000-0000-00000D000000}"/>
    <cellStyle name="Vírgula" xfId="1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ELEMENTOS DE PROJETO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9644774437126504E-2"/>
                  <c:y val="-8.30208976032302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BD-4763-AE86-E0FEE3F9653C}"/>
                </c:ext>
              </c:extLst>
            </c:dLbl>
            <c:dLbl>
              <c:idx val="1"/>
              <c:layout>
                <c:manualLayout>
                  <c:x val="4.1518447991204535E-2"/>
                  <c:y val="2.50467085546372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BD-4763-AE86-E0FEE3F9653C}"/>
                </c:ext>
              </c:extLst>
            </c:dLbl>
            <c:dLbl>
              <c:idx val="2"/>
              <c:layout>
                <c:manualLayout>
                  <c:x val="4.9999713758612134E-3"/>
                  <c:y val="7.308168771840586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BD-4763-AE86-E0FEE3F9653C}"/>
                </c:ext>
              </c:extLst>
            </c:dLbl>
            <c:dLbl>
              <c:idx val="3"/>
              <c:layout>
                <c:manualLayout>
                  <c:x val="-4.6584121750844094E-3"/>
                  <c:y val="1.68988375982008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BD-4763-AE86-E0FEE3F9653C}"/>
                </c:ext>
              </c:extLst>
            </c:dLbl>
            <c:dLbl>
              <c:idx val="4"/>
              <c:layout>
                <c:manualLayout>
                  <c:x val="-1.3209707230976701E-2"/>
                  <c:y val="-1.53039631202646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BD-4763-AE86-E0FEE3F9653C}"/>
                </c:ext>
              </c:extLst>
            </c:dLbl>
            <c:dLbl>
              <c:idx val="5"/>
              <c:layout>
                <c:manualLayout>
                  <c:x val="-7.4178457260100092E-3"/>
                  <c:y val="1.32985975950667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BD-4763-AE86-E0FEE3F9653C}"/>
                </c:ext>
              </c:extLst>
            </c:dLbl>
            <c:dLbl>
              <c:idx val="7"/>
              <c:layout>
                <c:manualLayout>
                  <c:x val="6.748373716224141E-3"/>
                  <c:y val="-1.77045734337991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BD-4763-AE86-E0FEE3F9653C}"/>
                </c:ext>
              </c:extLst>
            </c:dLbl>
            <c:dLbl>
              <c:idx val="8"/>
              <c:layout>
                <c:manualLayout>
                  <c:x val="6.5825534143072514E-3"/>
                  <c:y val="-1.00785491119633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BD-4763-AE86-E0FEE3F9653C}"/>
                </c:ext>
              </c:extLst>
            </c:dLbl>
            <c:dLbl>
              <c:idx val="9"/>
              <c:layout>
                <c:manualLayout>
                  <c:x val="1.7579481578236494E-2"/>
                  <c:y val="-8.719509170817752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BD-4763-AE86-E0FEE3F965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'Planilha Orçamentária - Projeto'!$H$141:$H$150</c:f>
              <c:strCache>
                <c:ptCount val="10"/>
                <c:pt idx="0">
                  <c:v>ARQUITETURA</c:v>
                </c:pt>
                <c:pt idx="1">
                  <c:v>ESTRUTURA</c:v>
                </c:pt>
                <c:pt idx="2">
                  <c:v>INSTALAÇÕES ELÉTRICAS</c:v>
                </c:pt>
                <c:pt idx="3">
                  <c:v>LÓGICA/TELEFONIA</c:v>
                </c:pt>
                <c:pt idx="4">
                  <c:v>HIDRO-SANITÁRIA</c:v>
                </c:pt>
                <c:pt idx="5">
                  <c:v>COMBATE E PREVENÇÃO A INCÊNDIOS</c:v>
                </c:pt>
                <c:pt idx="6">
                  <c:v>AR CONDICIONADO</c:v>
                </c:pt>
                <c:pt idx="7">
                  <c:v>DEMAIS PROJETOS</c:v>
                </c:pt>
                <c:pt idx="8">
                  <c:v>APROVAÇÃO DE PROJETOS E ENTREGA DE DOCUMENTAÇÃO</c:v>
                </c:pt>
                <c:pt idx="9">
                  <c:v>ORÇAMENTO E DOCUMENTAÇÃO</c:v>
                </c:pt>
              </c:strCache>
            </c:strRef>
          </c:cat>
          <c:val>
            <c:numRef>
              <c:f>'Planilha Orçamentária - Projeto'!$K$141:$K$150</c:f>
              <c:numCache>
                <c:formatCode>0.00%</c:formatCode>
                <c:ptCount val="10"/>
                <c:pt idx="0">
                  <c:v>0.35149999999999998</c:v>
                </c:pt>
                <c:pt idx="1">
                  <c:v>0.2</c:v>
                </c:pt>
                <c:pt idx="2">
                  <c:v>8.3500000000000005E-2</c:v>
                </c:pt>
                <c:pt idx="3">
                  <c:v>3.85E-2</c:v>
                </c:pt>
                <c:pt idx="4">
                  <c:v>5.3499999999999999E-2</c:v>
                </c:pt>
                <c:pt idx="5">
                  <c:v>5.1000000000000004E-2</c:v>
                </c:pt>
                <c:pt idx="6">
                  <c:v>2.75E-2</c:v>
                </c:pt>
                <c:pt idx="7">
                  <c:v>5.9500000000000129E-2</c:v>
                </c:pt>
                <c:pt idx="8">
                  <c:v>0.1</c:v>
                </c:pt>
                <c:pt idx="9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BD-4763-AE86-E0FEE3F9653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169959256982734"/>
          <c:y val="0.20810884987489209"/>
          <c:w val="0.34989774525661432"/>
          <c:h val="0.6539931013573226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424" footer="0.31496062000000424"/>
    <c:pageSetup paperSize="9" orientation="landscape" verticalDpi="598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8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396404</xdr:colOff>
      <xdr:row>1</xdr:row>
      <xdr:rowOff>19868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6" y="19050"/>
          <a:ext cx="805978" cy="696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1025" name="Picture 1" descr="logo mmf emai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5720"/>
          <a:ext cx="762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108858</xdr:colOff>
      <xdr:row>0</xdr:row>
      <xdr:rowOff>558</xdr:rowOff>
    </xdr:from>
    <xdr:to>
      <xdr:col>11</xdr:col>
      <xdr:colOff>1621973</xdr:colOff>
      <xdr:row>1</xdr:row>
      <xdr:rowOff>205866</xdr:rowOff>
    </xdr:to>
    <xdr:pic>
      <xdr:nvPicPr>
        <xdr:cNvPr id="2" name="Imagem 2" descr="LOGO C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94029" y="558"/>
          <a:ext cx="1513115" cy="901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133</xdr:row>
      <xdr:rowOff>342900</xdr:rowOff>
    </xdr:from>
    <xdr:to>
      <xdr:col>4</xdr:col>
      <xdr:colOff>616325</xdr:colOff>
      <xdr:row>163</xdr:row>
      <xdr:rowOff>22413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385198</xdr:colOff>
      <xdr:row>1</xdr:row>
      <xdr:rowOff>171450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6BD22583-8B97-457F-AACE-909369A9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6" y="19050"/>
          <a:ext cx="805978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3</xdr:row>
      <xdr:rowOff>131445</xdr:rowOff>
    </xdr:to>
    <xdr:pic>
      <xdr:nvPicPr>
        <xdr:cNvPr id="15" name="Picture 1" descr="logo mmf email">
          <a:extLst>
            <a:ext uri="{FF2B5EF4-FFF2-40B4-BE49-F238E27FC236}">
              <a16:creationId xmlns:a16="http://schemas.microsoft.com/office/drawing/2014/main" id="{AEE620F7-A68E-4D7B-A9A0-1A4867E2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108858</xdr:colOff>
      <xdr:row>0</xdr:row>
      <xdr:rowOff>558</xdr:rowOff>
    </xdr:from>
    <xdr:to>
      <xdr:col>9</xdr:col>
      <xdr:colOff>1621973</xdr:colOff>
      <xdr:row>1</xdr:row>
      <xdr:rowOff>205866</xdr:rowOff>
    </xdr:to>
    <xdr:pic>
      <xdr:nvPicPr>
        <xdr:cNvPr id="16" name="Imagem 2" descr="LOGO CTO.jpg">
          <a:extLst>
            <a:ext uri="{FF2B5EF4-FFF2-40B4-BE49-F238E27FC236}">
              <a16:creationId xmlns:a16="http://schemas.microsoft.com/office/drawing/2014/main" id="{A54A3F29-41E2-4D3F-9874-E17457A5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805558" y="558"/>
          <a:ext cx="1513115" cy="900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474570</xdr:colOff>
      <xdr:row>0</xdr:row>
      <xdr:rowOff>163045</xdr:rowOff>
    </xdr:from>
    <xdr:to>
      <xdr:col>0</xdr:col>
      <xdr:colOff>2592481</xdr:colOff>
      <xdr:row>0</xdr:row>
      <xdr:rowOff>990600</xdr:rowOff>
    </xdr:to>
    <xdr:pic>
      <xdr:nvPicPr>
        <xdr:cNvPr id="2" name="Imagem 1" descr="LOGOJF_Horizontal">
          <a:extLst>
            <a:ext uri="{FF2B5EF4-FFF2-40B4-BE49-F238E27FC236}">
              <a16:creationId xmlns:a16="http://schemas.microsoft.com/office/drawing/2014/main" id="{01ACCE73-F74A-4FF2-86E2-DA6B1A573B0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570" y="163045"/>
          <a:ext cx="2117911" cy="827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2354580</xdr:colOff>
      <xdr:row>9</xdr:row>
      <xdr:rowOff>0</xdr:rowOff>
    </xdr:from>
    <xdr:to>
      <xdr:col>3</xdr:col>
      <xdr:colOff>10549</xdr:colOff>
      <xdr:row>12</xdr:row>
      <xdr:rowOff>121926</xdr:rowOff>
    </xdr:to>
    <xdr:pic>
      <xdr:nvPicPr>
        <xdr:cNvPr id="2049" name="Picture 2" descr="logo mmf email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350520"/>
          <a:ext cx="762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3" name="Picture 1" descr="logo mmf emai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8620" y="21336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41208</xdr:colOff>
      <xdr:row>0</xdr:row>
      <xdr:rowOff>35658</xdr:rowOff>
    </xdr:from>
    <xdr:to>
      <xdr:col>1</xdr:col>
      <xdr:colOff>251459</xdr:colOff>
      <xdr:row>0</xdr:row>
      <xdr:rowOff>561214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208" y="35658"/>
          <a:ext cx="591251" cy="525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468923</xdr:colOff>
      <xdr:row>0</xdr:row>
      <xdr:rowOff>0</xdr:rowOff>
    </xdr:from>
    <xdr:to>
      <xdr:col>8</xdr:col>
      <xdr:colOff>711191</xdr:colOff>
      <xdr:row>0</xdr:row>
      <xdr:rowOff>662531</xdr:rowOff>
    </xdr:to>
    <xdr:pic>
      <xdr:nvPicPr>
        <xdr:cNvPr id="7" name="Imagem 2" descr="LOGO CTO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33492" y="0"/>
          <a:ext cx="974961" cy="662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1</xdr:row>
      <xdr:rowOff>90351</xdr:rowOff>
    </xdr:to>
    <xdr:pic>
      <xdr:nvPicPr>
        <xdr:cNvPr id="2" name="Picture 1" descr="logo mmf emai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4356</xdr:colOff>
      <xdr:row>0</xdr:row>
      <xdr:rowOff>38185</xdr:rowOff>
    </xdr:from>
    <xdr:to>
      <xdr:col>0</xdr:col>
      <xdr:colOff>483326</xdr:colOff>
      <xdr:row>0</xdr:row>
      <xdr:rowOff>463936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56" y="38185"/>
          <a:ext cx="478970" cy="42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1244616</xdr:colOff>
      <xdr:row>0</xdr:row>
      <xdr:rowOff>529689</xdr:rowOff>
    </xdr:to>
    <xdr:pic>
      <xdr:nvPicPr>
        <xdr:cNvPr id="6" name="Imagem 2" descr="LOGO CTO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89863" y="0"/>
          <a:ext cx="787416" cy="529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2" name="Picture 1" descr="logo mmf emai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59239</xdr:colOff>
      <xdr:row>0</xdr:row>
      <xdr:rowOff>54773</xdr:rowOff>
    </xdr:from>
    <xdr:to>
      <xdr:col>1</xdr:col>
      <xdr:colOff>123093</xdr:colOff>
      <xdr:row>0</xdr:row>
      <xdr:rowOff>652096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9239" y="54773"/>
          <a:ext cx="671989" cy="597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1547446</xdr:colOff>
      <xdr:row>0</xdr:row>
      <xdr:rowOff>11723</xdr:rowOff>
    </xdr:from>
    <xdr:to>
      <xdr:col>6</xdr:col>
      <xdr:colOff>2534129</xdr:colOff>
      <xdr:row>0</xdr:row>
      <xdr:rowOff>674254</xdr:rowOff>
    </xdr:to>
    <xdr:pic>
      <xdr:nvPicPr>
        <xdr:cNvPr id="4" name="Imagem 2" descr="LOGO CTO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60477" y="11723"/>
          <a:ext cx="986683" cy="662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>
    <pageSetUpPr fitToPage="1"/>
  </sheetPr>
  <dimension ref="A1:P154"/>
  <sheetViews>
    <sheetView tabSelected="1" view="pageBreakPreview" zoomScaleNormal="70" zoomScaleSheetLayoutView="100" zoomScalePageLayoutView="70" workbookViewId="0">
      <selection activeCell="D129" sqref="D129"/>
    </sheetView>
  </sheetViews>
  <sheetFormatPr defaultColWidth="9.140625" defaultRowHeight="11.25" x14ac:dyDescent="0.2"/>
  <cols>
    <col min="1" max="1" width="6.28515625" style="27" customWidth="1"/>
    <col min="2" max="2" width="70.7109375" style="27" customWidth="1"/>
    <col min="3" max="3" width="13.140625" style="27" customWidth="1"/>
    <col min="4" max="4" width="6.5703125" style="4" customWidth="1"/>
    <col min="5" max="5" width="14.28515625" style="4" customWidth="1"/>
    <col min="6" max="6" width="2.28515625" style="4" customWidth="1"/>
    <col min="7" max="7" width="15.28515625" style="4" customWidth="1"/>
    <col min="8" max="8" width="3.7109375" style="4" customWidth="1"/>
    <col min="9" max="9" width="21.7109375" style="4" customWidth="1"/>
    <col min="10" max="10" width="2.7109375" style="4" customWidth="1"/>
    <col min="11" max="11" width="18.7109375" style="21" customWidth="1"/>
    <col min="12" max="12" width="24.42578125" style="16" bestFit="1" customWidth="1"/>
    <col min="13" max="13" width="30.7109375" style="16" customWidth="1"/>
    <col min="14" max="14" width="17.28515625" style="16" customWidth="1"/>
    <col min="15" max="15" width="8" style="16" customWidth="1"/>
    <col min="16" max="16" width="16.42578125" style="16" customWidth="1"/>
    <col min="17" max="17" width="9.140625" style="16" customWidth="1"/>
    <col min="18" max="16384" width="9.140625" style="16"/>
  </cols>
  <sheetData>
    <row r="1" spans="1:16" s="2" customFormat="1" ht="54.75" customHeight="1" x14ac:dyDescent="0.2">
      <c r="A1" s="1"/>
      <c r="B1" s="237" t="s">
        <v>215</v>
      </c>
      <c r="C1" s="1"/>
      <c r="D1" s="1"/>
      <c r="E1" s="1"/>
      <c r="F1" s="1"/>
      <c r="G1" s="1"/>
      <c r="H1" s="1"/>
      <c r="I1" s="1"/>
      <c r="J1" s="1"/>
      <c r="K1" s="1"/>
    </row>
    <row r="2" spans="1:16" s="2" customFormat="1" ht="28.9" customHeight="1" x14ac:dyDescent="0.2">
      <c r="A2" s="3"/>
      <c r="B2" s="3"/>
      <c r="C2" s="3"/>
      <c r="E2" s="4"/>
      <c r="F2" s="4"/>
      <c r="G2" s="4"/>
      <c r="H2" s="4"/>
      <c r="I2" s="5"/>
      <c r="J2" s="5"/>
      <c r="K2" s="6"/>
    </row>
    <row r="3" spans="1:16" s="2" customFormat="1" ht="40.15" customHeight="1" x14ac:dyDescent="0.2">
      <c r="A3" s="236" t="s">
        <v>239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6" s="2" customFormat="1" ht="12.75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1"/>
    </row>
    <row r="5" spans="1:16" s="2" customFormat="1" ht="21.6" customHeight="1" x14ac:dyDescent="0.2">
      <c r="A5" s="328" t="s">
        <v>240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135"/>
      <c r="M5" s="446" t="s">
        <v>214</v>
      </c>
      <c r="N5" s="440" t="s">
        <v>209</v>
      </c>
    </row>
    <row r="6" spans="1:16" s="2" customFormat="1" ht="21.6" customHeight="1" x14ac:dyDescent="0.2">
      <c r="A6" s="327" t="s">
        <v>231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136"/>
      <c r="M6" s="447"/>
      <c r="N6" s="440"/>
    </row>
    <row r="7" spans="1:16" s="2" customFormat="1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60"/>
      <c r="M7" s="447"/>
      <c r="N7" s="440"/>
    </row>
    <row r="8" spans="1:16" s="2" customFormat="1" ht="21.6" customHeight="1" x14ac:dyDescent="0.2">
      <c r="A8" s="329" t="s">
        <v>206</v>
      </c>
      <c r="B8" s="89"/>
      <c r="C8" s="81"/>
      <c r="D8" s="7"/>
      <c r="E8" s="331" t="s">
        <v>199</v>
      </c>
      <c r="F8" s="83"/>
      <c r="G8" s="332" t="s">
        <v>346</v>
      </c>
      <c r="H8" s="83"/>
      <c r="I8" s="83"/>
      <c r="J8" s="83"/>
      <c r="K8" s="333" t="s">
        <v>198</v>
      </c>
      <c r="L8" s="334" t="s">
        <v>345</v>
      </c>
      <c r="M8" s="447"/>
      <c r="N8" s="440"/>
    </row>
    <row r="9" spans="1:16" s="2" customFormat="1" ht="19.899999999999999" customHeight="1" x14ac:dyDescent="0.2">
      <c r="A9" s="330" t="s">
        <v>194</v>
      </c>
      <c r="B9" s="337" t="s">
        <v>203</v>
      </c>
      <c r="C9" s="82"/>
      <c r="D9" s="7"/>
      <c r="E9" s="335" t="s">
        <v>197</v>
      </c>
      <c r="F9" s="78"/>
      <c r="G9" s="78"/>
      <c r="H9" s="78"/>
      <c r="I9" s="336" t="s">
        <v>204</v>
      </c>
      <c r="J9" s="78"/>
      <c r="K9" s="79"/>
      <c r="L9" s="84"/>
      <c r="M9" s="447"/>
      <c r="N9" s="440"/>
    </row>
    <row r="10" spans="1:16" s="2" customFormat="1" ht="12.75" x14ac:dyDescent="0.2">
      <c r="A10" s="8"/>
      <c r="B10" s="8"/>
      <c r="C10" s="8"/>
      <c r="D10" s="56"/>
      <c r="E10" s="56"/>
      <c r="F10" s="56"/>
      <c r="G10" s="56"/>
      <c r="H10" s="56"/>
      <c r="I10" s="56"/>
      <c r="J10" s="56"/>
      <c r="K10" s="56"/>
      <c r="L10" s="80"/>
      <c r="M10" s="447"/>
      <c r="N10" s="440"/>
    </row>
    <row r="11" spans="1:16" s="2" customFormat="1" ht="12.75" customHeight="1" x14ac:dyDescent="0.2">
      <c r="A11" s="132" t="s">
        <v>295</v>
      </c>
      <c r="B11" s="133"/>
      <c r="C11" s="139">
        <v>5000</v>
      </c>
      <c r="D11" s="126"/>
      <c r="E11" s="448" t="s">
        <v>236</v>
      </c>
      <c r="F11" s="448"/>
      <c r="G11" s="448"/>
      <c r="H11" s="448"/>
      <c r="I11" s="448"/>
      <c r="J11" s="448"/>
      <c r="K11" s="449"/>
      <c r="L11" s="138">
        <f xml:space="preserve"> 3.2*C11*C12</f>
        <v>26880000</v>
      </c>
      <c r="M11" s="447"/>
      <c r="N11" s="440"/>
    </row>
    <row r="12" spans="1:16" s="2" customFormat="1" ht="12.75" customHeight="1" x14ac:dyDescent="0.2">
      <c r="A12" s="134" t="s">
        <v>233</v>
      </c>
      <c r="B12" s="133"/>
      <c r="C12" s="140">
        <v>1680</v>
      </c>
      <c r="D12" s="126"/>
      <c r="E12" s="453" t="s">
        <v>237</v>
      </c>
      <c r="F12" s="454"/>
      <c r="G12" s="454"/>
      <c r="H12" s="454"/>
      <c r="I12" s="454"/>
      <c r="J12" s="177"/>
      <c r="K12" s="267">
        <f>M12</f>
        <v>4.0000000000000022E-2</v>
      </c>
      <c r="L12" s="137">
        <f>K12*L11</f>
        <v>1075200.0000000005</v>
      </c>
      <c r="M12" s="59">
        <f>((N12*(K21+K30+K57+K89+K123)))</f>
        <v>4.0000000000000022E-2</v>
      </c>
      <c r="N12" s="264" t="str">
        <f>IF(C11&gt;=10000,"3,5%",IF(C11&lt;=3000,"5%","4%"))</f>
        <v>4%</v>
      </c>
      <c r="P12" s="241"/>
    </row>
    <row r="13" spans="1:16" s="2" customFormat="1" ht="12.75" customHeight="1" x14ac:dyDescent="0.2">
      <c r="A13" s="129" t="s">
        <v>232</v>
      </c>
      <c r="B13" s="130"/>
      <c r="C13" s="131">
        <v>44835</v>
      </c>
      <c r="D13" s="11"/>
      <c r="E13" s="12"/>
      <c r="F13" s="12"/>
      <c r="G13" s="12"/>
      <c r="H13" s="12"/>
      <c r="I13" s="12"/>
      <c r="J13" s="12"/>
      <c r="K13" s="13"/>
      <c r="L13" s="60"/>
    </row>
    <row r="14" spans="1:16" s="14" customFormat="1" ht="12.75" x14ac:dyDescent="0.2">
      <c r="A14" s="129" t="s">
        <v>226</v>
      </c>
      <c r="B14" s="129"/>
      <c r="C14" s="268" t="str">
        <f>N12</f>
        <v>4%</v>
      </c>
      <c r="D14" s="127"/>
      <c r="E14" s="178" t="s">
        <v>193</v>
      </c>
      <c r="F14" s="179"/>
      <c r="G14" s="180"/>
      <c r="H14" s="181"/>
      <c r="I14" s="455">
        <v>180</v>
      </c>
      <c r="J14" s="456"/>
      <c r="K14" s="128" t="s">
        <v>107</v>
      </c>
      <c r="L14" s="265">
        <f>'BDI Engenharia Consultiva'!O22</f>
        <v>0.2942804255218856</v>
      </c>
    </row>
    <row r="15" spans="1:16" s="2" customFormat="1" ht="12.75" x14ac:dyDescent="0.2">
      <c r="D15" s="263"/>
      <c r="E15" s="263"/>
      <c r="F15" s="263"/>
      <c r="G15" s="263"/>
      <c r="H15" s="57"/>
      <c r="I15" s="15"/>
      <c r="J15" s="15"/>
      <c r="K15" s="15"/>
      <c r="L15" s="176"/>
    </row>
    <row r="16" spans="1:16" s="2" customFormat="1" ht="15.75" x14ac:dyDescent="0.25">
      <c r="A16" s="441"/>
      <c r="B16" s="442"/>
      <c r="C16" s="442"/>
      <c r="D16" s="442"/>
      <c r="E16" s="442"/>
      <c r="F16" s="442"/>
      <c r="G16" s="442"/>
      <c r="H16" s="442"/>
      <c r="I16" s="442"/>
      <c r="J16" s="442"/>
      <c r="K16" s="442"/>
    </row>
    <row r="17" spans="1:15" s="58" customFormat="1" ht="26.25" customHeight="1" x14ac:dyDescent="0.2">
      <c r="A17" s="450" t="s">
        <v>36</v>
      </c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2"/>
      <c r="M17" s="255"/>
    </row>
    <row r="18" spans="1:15" s="125" customFormat="1" ht="37.5" customHeight="1" x14ac:dyDescent="0.2">
      <c r="A18" s="443" t="s">
        <v>26</v>
      </c>
      <c r="B18" s="443" t="s">
        <v>5</v>
      </c>
      <c r="C18" s="443" t="s">
        <v>35</v>
      </c>
      <c r="D18" s="444" t="s">
        <v>7</v>
      </c>
      <c r="E18" s="470" t="s">
        <v>195</v>
      </c>
      <c r="F18" s="471"/>
      <c r="G18" s="458" t="s">
        <v>109</v>
      </c>
      <c r="H18" s="459"/>
      <c r="I18" s="470" t="s">
        <v>213</v>
      </c>
      <c r="J18" s="471"/>
      <c r="K18" s="253" t="s">
        <v>224</v>
      </c>
      <c r="L18" s="444" t="s">
        <v>212</v>
      </c>
      <c r="M18" s="256"/>
    </row>
    <row r="19" spans="1:15" s="125" customFormat="1" ht="30" customHeight="1" x14ac:dyDescent="0.2">
      <c r="A19" s="443"/>
      <c r="B19" s="445"/>
      <c r="C19" s="443"/>
      <c r="D19" s="444"/>
      <c r="E19" s="472"/>
      <c r="F19" s="473"/>
      <c r="G19" s="460">
        <f>L14</f>
        <v>0.2942804255218856</v>
      </c>
      <c r="H19" s="461"/>
      <c r="I19" s="472"/>
      <c r="J19" s="473"/>
      <c r="K19" s="254">
        <f>N12*L11</f>
        <v>1075200</v>
      </c>
      <c r="L19" s="444"/>
      <c r="M19" s="257"/>
    </row>
    <row r="20" spans="1:15" ht="18" customHeight="1" x14ac:dyDescent="0.2">
      <c r="A20" s="17"/>
      <c r="B20" s="18"/>
      <c r="C20" s="17"/>
      <c r="D20" s="19"/>
      <c r="E20" s="19"/>
      <c r="F20" s="19"/>
      <c r="G20" s="76"/>
      <c r="H20" s="76"/>
      <c r="I20" s="19"/>
      <c r="J20" s="19"/>
      <c r="K20" s="19"/>
      <c r="L20" s="61"/>
      <c r="M20" s="20"/>
      <c r="N20" s="21"/>
      <c r="O20" s="22"/>
    </row>
    <row r="21" spans="1:15" ht="18" customHeight="1" x14ac:dyDescent="0.2">
      <c r="A21" s="106" t="s">
        <v>21</v>
      </c>
      <c r="B21" s="106" t="s">
        <v>44</v>
      </c>
      <c r="C21" s="123"/>
      <c r="D21" s="107"/>
      <c r="E21" s="105">
        <f>SUM(E22:E28)</f>
        <v>41536.593569606572</v>
      </c>
      <c r="F21" s="120"/>
      <c r="G21" s="77">
        <f>I21-E21</f>
        <v>12223.406430393428</v>
      </c>
      <c r="H21" s="68"/>
      <c r="I21" s="101">
        <f>SUM(I22:I28)</f>
        <v>53760</v>
      </c>
      <c r="J21" s="102"/>
      <c r="K21" s="69">
        <f>SUM(K22:K28)</f>
        <v>0.05</v>
      </c>
      <c r="L21" s="124">
        <f>SUM(L22:L28)</f>
        <v>0.05</v>
      </c>
      <c r="M21" s="24"/>
      <c r="N21" s="24"/>
    </row>
    <row r="22" spans="1:15" ht="18" customHeight="1" x14ac:dyDescent="0.2">
      <c r="A22" s="115" t="s">
        <v>9</v>
      </c>
      <c r="B22" s="118" t="s">
        <v>220</v>
      </c>
      <c r="C22" s="109" t="s">
        <v>34</v>
      </c>
      <c r="D22" s="141">
        <v>1</v>
      </c>
      <c r="E22" s="121">
        <f>(I22/(1+$G$19))</f>
        <v>415.36593569606566</v>
      </c>
      <c r="F22" s="122"/>
      <c r="G22" s="96">
        <f>I22-E22</f>
        <v>122.23406430393436</v>
      </c>
      <c r="H22" s="96"/>
      <c r="I22" s="121">
        <f t="shared" ref="I22:I28" si="0">L22*$K$19</f>
        <v>537.6</v>
      </c>
      <c r="J22" s="122"/>
      <c r="K22" s="248">
        <f>IF(D22=1,0.05%,IF(D22=0,0))</f>
        <v>5.0000000000000001E-4</v>
      </c>
      <c r="L22" s="242">
        <f>K22</f>
        <v>5.0000000000000001E-4</v>
      </c>
      <c r="M22" s="25"/>
    </row>
    <row r="23" spans="1:15" ht="18" customHeight="1" x14ac:dyDescent="0.2">
      <c r="A23" s="115" t="s">
        <v>55</v>
      </c>
      <c r="B23" s="118" t="s">
        <v>84</v>
      </c>
      <c r="C23" s="109" t="s">
        <v>34</v>
      </c>
      <c r="D23" s="141">
        <v>1</v>
      </c>
      <c r="E23" s="121">
        <f t="shared" ref="E23:E28" si="1">(I23/(1+$G$19))</f>
        <v>415.36593569606566</v>
      </c>
      <c r="F23" s="103"/>
      <c r="G23" s="96">
        <f t="shared" ref="G23:G28" si="2">I23-E23</f>
        <v>122.23406430393436</v>
      </c>
      <c r="H23" s="97"/>
      <c r="I23" s="121">
        <f t="shared" si="0"/>
        <v>537.6</v>
      </c>
      <c r="J23" s="103"/>
      <c r="K23" s="248">
        <f t="shared" ref="K23:K24" si="3">IF(D23=1,0.05%,IF(D23=0,0))</f>
        <v>5.0000000000000001E-4</v>
      </c>
      <c r="L23" s="242">
        <f t="shared" ref="L23:L28" si="4">K23</f>
        <v>5.0000000000000001E-4</v>
      </c>
      <c r="M23" s="23"/>
    </row>
    <row r="24" spans="1:15" ht="18" customHeight="1" x14ac:dyDescent="0.2">
      <c r="A24" s="115" t="s">
        <v>56</v>
      </c>
      <c r="B24" s="118" t="s">
        <v>85</v>
      </c>
      <c r="C24" s="109" t="s">
        <v>34</v>
      </c>
      <c r="D24" s="141">
        <v>1</v>
      </c>
      <c r="E24" s="121">
        <f t="shared" si="1"/>
        <v>415.36593569606566</v>
      </c>
      <c r="F24" s="104"/>
      <c r="G24" s="96">
        <f t="shared" si="2"/>
        <v>122.23406430393436</v>
      </c>
      <c r="H24" s="98"/>
      <c r="I24" s="121">
        <f t="shared" si="0"/>
        <v>537.6</v>
      </c>
      <c r="J24" s="104"/>
      <c r="K24" s="248">
        <f t="shared" si="3"/>
        <v>5.0000000000000001E-4</v>
      </c>
      <c r="L24" s="242">
        <f t="shared" si="4"/>
        <v>5.0000000000000001E-4</v>
      </c>
    </row>
    <row r="25" spans="1:15" ht="18" customHeight="1" x14ac:dyDescent="0.2">
      <c r="A25" s="115" t="s">
        <v>57</v>
      </c>
      <c r="B25" s="118" t="s">
        <v>47</v>
      </c>
      <c r="C25" s="109" t="s">
        <v>34</v>
      </c>
      <c r="D25" s="141">
        <v>1</v>
      </c>
      <c r="E25" s="121">
        <f t="shared" si="1"/>
        <v>37382.934212645909</v>
      </c>
      <c r="F25" s="103"/>
      <c r="G25" s="96">
        <f t="shared" si="2"/>
        <v>11001.065787354091</v>
      </c>
      <c r="H25" s="97"/>
      <c r="I25" s="121">
        <f t="shared" si="0"/>
        <v>48384</v>
      </c>
      <c r="J25" s="103"/>
      <c r="K25" s="248">
        <f>IF(D25=1,4.5%,IF(D25=0,0))</f>
        <v>4.4999999999999998E-2</v>
      </c>
      <c r="L25" s="242">
        <f t="shared" si="4"/>
        <v>4.4999999999999998E-2</v>
      </c>
    </row>
    <row r="26" spans="1:15" ht="18" customHeight="1" x14ac:dyDescent="0.2">
      <c r="A26" s="115" t="s">
        <v>58</v>
      </c>
      <c r="B26" s="118" t="s">
        <v>45</v>
      </c>
      <c r="C26" s="109" t="s">
        <v>34</v>
      </c>
      <c r="D26" s="141">
        <v>1</v>
      </c>
      <c r="E26" s="121">
        <f t="shared" si="1"/>
        <v>1246.0978070881968</v>
      </c>
      <c r="F26" s="104"/>
      <c r="G26" s="96">
        <f t="shared" si="2"/>
        <v>366.70219291180319</v>
      </c>
      <c r="H26" s="98"/>
      <c r="I26" s="121">
        <f t="shared" si="0"/>
        <v>1612.8</v>
      </c>
      <c r="J26" s="104"/>
      <c r="K26" s="248">
        <f>IF(D26=1,0.15%,IF(D26=0,0))</f>
        <v>1.5E-3</v>
      </c>
      <c r="L26" s="242">
        <f t="shared" si="4"/>
        <v>1.5E-3</v>
      </c>
    </row>
    <row r="27" spans="1:15" ht="18" customHeight="1" x14ac:dyDescent="0.2">
      <c r="A27" s="115" t="s">
        <v>59</v>
      </c>
      <c r="B27" s="118" t="s">
        <v>46</v>
      </c>
      <c r="C27" s="109" t="s">
        <v>34</v>
      </c>
      <c r="D27" s="141">
        <v>1</v>
      </c>
      <c r="E27" s="121">
        <f t="shared" si="1"/>
        <v>830.73187139213132</v>
      </c>
      <c r="F27" s="103"/>
      <c r="G27" s="96">
        <f t="shared" si="2"/>
        <v>244.46812860786872</v>
      </c>
      <c r="H27" s="97"/>
      <c r="I27" s="121">
        <f t="shared" si="0"/>
        <v>1075.2</v>
      </c>
      <c r="J27" s="103"/>
      <c r="K27" s="248">
        <f>IF(D27=1,0.1%,IF(D27=0,0))</f>
        <v>1E-3</v>
      </c>
      <c r="L27" s="242">
        <f t="shared" si="4"/>
        <v>1E-3</v>
      </c>
    </row>
    <row r="28" spans="1:15" ht="18" customHeight="1" x14ac:dyDescent="0.2">
      <c r="A28" s="115" t="s">
        <v>60</v>
      </c>
      <c r="B28" s="118" t="s">
        <v>148</v>
      </c>
      <c r="C28" s="109" t="s">
        <v>34</v>
      </c>
      <c r="D28" s="141">
        <v>1</v>
      </c>
      <c r="E28" s="121">
        <f t="shared" si="1"/>
        <v>830.73187139213132</v>
      </c>
      <c r="F28" s="104"/>
      <c r="G28" s="96">
        <f t="shared" si="2"/>
        <v>244.46812860786872</v>
      </c>
      <c r="H28" s="98"/>
      <c r="I28" s="121">
        <f t="shared" si="0"/>
        <v>1075.2</v>
      </c>
      <c r="J28" s="104"/>
      <c r="K28" s="248">
        <f>IF(D28=1,0.1%,IF(D28=0,0))</f>
        <v>1E-3</v>
      </c>
      <c r="L28" s="242">
        <f t="shared" si="4"/>
        <v>1E-3</v>
      </c>
    </row>
    <row r="29" spans="1:15" ht="18" customHeight="1" x14ac:dyDescent="0.2">
      <c r="A29" s="33"/>
      <c r="B29" s="33"/>
      <c r="C29" s="33"/>
      <c r="D29" s="61"/>
      <c r="E29" s="61"/>
      <c r="F29" s="61"/>
      <c r="G29" s="61"/>
      <c r="H29" s="61"/>
      <c r="I29" s="61"/>
      <c r="J29" s="61"/>
      <c r="K29" s="61"/>
    </row>
    <row r="30" spans="1:15" ht="18" customHeight="1" x14ac:dyDescent="0.2">
      <c r="A30" s="106" t="s">
        <v>22</v>
      </c>
      <c r="B30" s="106" t="s">
        <v>48</v>
      </c>
      <c r="C30" s="106"/>
      <c r="D30" s="67"/>
      <c r="E30" s="251">
        <f>SUM(E31:E55)</f>
        <v>124609.78070881969</v>
      </c>
      <c r="F30" s="252"/>
      <c r="G30" s="251">
        <f>I30-E30</f>
        <v>36670.219291180314</v>
      </c>
      <c r="H30" s="252"/>
      <c r="I30" s="249">
        <f>SUM(I31:I55)</f>
        <v>161280</v>
      </c>
      <c r="J30" s="250"/>
      <c r="K30" s="69">
        <f>SUM(K31:K55)</f>
        <v>0.15000000000000005</v>
      </c>
      <c r="L30" s="111">
        <f>SUM(L31:L55)</f>
        <v>0.15000000000000005</v>
      </c>
      <c r="M30" s="482" t="s">
        <v>247</v>
      </c>
      <c r="N30" s="483">
        <f>SUM(K31:K54)</f>
        <v>0.14950000000000005</v>
      </c>
    </row>
    <row r="31" spans="1:15" ht="18" customHeight="1" x14ac:dyDescent="0.2">
      <c r="A31" s="115" t="s">
        <v>10</v>
      </c>
      <c r="B31" s="118" t="s">
        <v>208</v>
      </c>
      <c r="C31" s="109" t="s">
        <v>34</v>
      </c>
      <c r="D31" s="142">
        <v>1</v>
      </c>
      <c r="E31" s="121">
        <f>(I31/(1+$G$19))</f>
        <v>66458.549711370506</v>
      </c>
      <c r="F31" s="103"/>
      <c r="G31" s="96">
        <f t="shared" ref="G31:G55" si="5">I31-E31</f>
        <v>19557.450288629494</v>
      </c>
      <c r="H31" s="99"/>
      <c r="I31" s="121">
        <f t="shared" ref="I31:I55" si="6">L31*$K$19</f>
        <v>86016</v>
      </c>
      <c r="J31" s="103"/>
      <c r="K31" s="248">
        <f>IF(D31=1,8%,IF(D31=0,0))</f>
        <v>0.08</v>
      </c>
      <c r="L31" s="280">
        <f>K31</f>
        <v>0.08</v>
      </c>
      <c r="M31" s="482"/>
      <c r="N31" s="483"/>
    </row>
    <row r="32" spans="1:15" ht="18" customHeight="1" x14ac:dyDescent="0.2">
      <c r="A32" s="115" t="s">
        <v>11</v>
      </c>
      <c r="B32" s="118" t="s">
        <v>127</v>
      </c>
      <c r="C32" s="109" t="s">
        <v>34</v>
      </c>
      <c r="D32" s="143">
        <v>1</v>
      </c>
      <c r="E32" s="121">
        <f t="shared" ref="E32:E55" si="7">(I32/(1+$G$19))</f>
        <v>830.73187139213132</v>
      </c>
      <c r="F32" s="104"/>
      <c r="G32" s="96">
        <f t="shared" si="5"/>
        <v>244.46812860786872</v>
      </c>
      <c r="H32" s="100"/>
      <c r="I32" s="121">
        <f t="shared" si="6"/>
        <v>1075.2</v>
      </c>
      <c r="J32" s="104"/>
      <c r="K32" s="248">
        <f t="shared" ref="K32:K34" si="8">IF(D32=1,0.1%,IF(D32=0,0))</f>
        <v>1E-3</v>
      </c>
      <c r="L32" s="280">
        <f t="shared" ref="L32:L55" si="9">K32</f>
        <v>1E-3</v>
      </c>
      <c r="M32" s="22"/>
    </row>
    <row r="33" spans="1:14" ht="18" customHeight="1" x14ac:dyDescent="0.2">
      <c r="A33" s="116" t="s">
        <v>12</v>
      </c>
      <c r="B33" s="116" t="s">
        <v>128</v>
      </c>
      <c r="C33" s="109" t="s">
        <v>34</v>
      </c>
      <c r="D33" s="142">
        <v>1</v>
      </c>
      <c r="E33" s="121">
        <f t="shared" si="7"/>
        <v>830.73187139213132</v>
      </c>
      <c r="F33" s="103"/>
      <c r="G33" s="96">
        <f t="shared" si="5"/>
        <v>244.46812860786872</v>
      </c>
      <c r="H33" s="99"/>
      <c r="I33" s="121">
        <f t="shared" si="6"/>
        <v>1075.2</v>
      </c>
      <c r="J33" s="103"/>
      <c r="K33" s="248">
        <f t="shared" si="8"/>
        <v>1E-3</v>
      </c>
      <c r="L33" s="280">
        <f t="shared" si="9"/>
        <v>1E-3</v>
      </c>
    </row>
    <row r="34" spans="1:14" ht="18" customHeight="1" x14ac:dyDescent="0.2">
      <c r="A34" s="115" t="s">
        <v>13</v>
      </c>
      <c r="B34" s="119" t="s">
        <v>61</v>
      </c>
      <c r="C34" s="109" t="s">
        <v>34</v>
      </c>
      <c r="D34" s="143">
        <v>1</v>
      </c>
      <c r="E34" s="121">
        <f t="shared" si="7"/>
        <v>830.73187139213132</v>
      </c>
      <c r="F34" s="104"/>
      <c r="G34" s="96">
        <f t="shared" si="5"/>
        <v>244.46812860786872</v>
      </c>
      <c r="H34" s="100"/>
      <c r="I34" s="121">
        <f t="shared" si="6"/>
        <v>1075.2</v>
      </c>
      <c r="J34" s="104"/>
      <c r="K34" s="248">
        <f t="shared" si="8"/>
        <v>1E-3</v>
      </c>
      <c r="L34" s="280">
        <f t="shared" si="9"/>
        <v>1E-3</v>
      </c>
    </row>
    <row r="35" spans="1:14" ht="18" customHeight="1" x14ac:dyDescent="0.2">
      <c r="A35" s="115" t="s">
        <v>32</v>
      </c>
      <c r="B35" s="119" t="s">
        <v>62</v>
      </c>
      <c r="C35" s="109" t="s">
        <v>34</v>
      </c>
      <c r="D35" s="142">
        <v>1</v>
      </c>
      <c r="E35" s="121">
        <f t="shared" si="7"/>
        <v>4153.6593569606566</v>
      </c>
      <c r="F35" s="103"/>
      <c r="G35" s="96">
        <f t="shared" si="5"/>
        <v>1222.3406430393434</v>
      </c>
      <c r="H35" s="99"/>
      <c r="I35" s="121">
        <f t="shared" si="6"/>
        <v>5376</v>
      </c>
      <c r="J35" s="103"/>
      <c r="K35" s="248">
        <f>IF(D35=1,0.5%,IF(D35=0,0))</f>
        <v>5.0000000000000001E-3</v>
      </c>
      <c r="L35" s="280">
        <f t="shared" si="9"/>
        <v>5.0000000000000001E-3</v>
      </c>
      <c r="M35" s="24"/>
    </row>
    <row r="36" spans="1:14" ht="18" customHeight="1" x14ac:dyDescent="0.2">
      <c r="A36" s="115" t="s">
        <v>86</v>
      </c>
      <c r="B36" s="119" t="s">
        <v>63</v>
      </c>
      <c r="C36" s="109" t="s">
        <v>34</v>
      </c>
      <c r="D36" s="143">
        <v>1</v>
      </c>
      <c r="E36" s="121">
        <f t="shared" si="7"/>
        <v>20768.296784803282</v>
      </c>
      <c r="F36" s="104"/>
      <c r="G36" s="96">
        <f t="shared" si="5"/>
        <v>6111.7032151967178</v>
      </c>
      <c r="H36" s="100"/>
      <c r="I36" s="121">
        <f t="shared" si="6"/>
        <v>26880</v>
      </c>
      <c r="J36" s="104"/>
      <c r="K36" s="248">
        <f>IF(D36=1,2.5%,IF(D36=0,0))</f>
        <v>2.5000000000000001E-2</v>
      </c>
      <c r="L36" s="280">
        <f t="shared" si="9"/>
        <v>2.5000000000000001E-2</v>
      </c>
    </row>
    <row r="37" spans="1:14" ht="18" customHeight="1" x14ac:dyDescent="0.2">
      <c r="A37" s="115" t="s">
        <v>87</v>
      </c>
      <c r="B37" s="119" t="s">
        <v>64</v>
      </c>
      <c r="C37" s="109" t="s">
        <v>34</v>
      </c>
      <c r="D37" s="142">
        <v>1</v>
      </c>
      <c r="E37" s="121">
        <f t="shared" si="7"/>
        <v>1246.0978070881968</v>
      </c>
      <c r="F37" s="103"/>
      <c r="G37" s="96">
        <f t="shared" si="5"/>
        <v>366.70219291180319</v>
      </c>
      <c r="H37" s="99"/>
      <c r="I37" s="121">
        <f t="shared" si="6"/>
        <v>1612.8</v>
      </c>
      <c r="J37" s="103"/>
      <c r="K37" s="248">
        <f>IF(D37=1,0.15%,IF(D37=0,0))</f>
        <v>1.5E-3</v>
      </c>
      <c r="L37" s="280">
        <f t="shared" si="9"/>
        <v>1.5E-3</v>
      </c>
    </row>
    <row r="38" spans="1:14" ht="18" customHeight="1" x14ac:dyDescent="0.2">
      <c r="A38" s="115" t="s">
        <v>88</v>
      </c>
      <c r="B38" s="119" t="s">
        <v>216</v>
      </c>
      <c r="C38" s="109" t="s">
        <v>34</v>
      </c>
      <c r="D38" s="143">
        <v>1</v>
      </c>
      <c r="E38" s="121">
        <f t="shared" si="7"/>
        <v>2492.1956141763935</v>
      </c>
      <c r="F38" s="104"/>
      <c r="G38" s="96">
        <f t="shared" si="5"/>
        <v>733.40438582360639</v>
      </c>
      <c r="H38" s="100"/>
      <c r="I38" s="121">
        <f t="shared" si="6"/>
        <v>3225.6</v>
      </c>
      <c r="J38" s="104"/>
      <c r="K38" s="248">
        <f>IF(D38=1,0.3%,IF(D38=0,0))</f>
        <v>3.0000000000000001E-3</v>
      </c>
      <c r="L38" s="280">
        <f t="shared" si="9"/>
        <v>3.0000000000000001E-3</v>
      </c>
    </row>
    <row r="39" spans="1:14" ht="18" customHeight="1" x14ac:dyDescent="0.2">
      <c r="A39" s="115" t="s">
        <v>89</v>
      </c>
      <c r="B39" s="118" t="s">
        <v>65</v>
      </c>
      <c r="C39" s="109" t="s">
        <v>34</v>
      </c>
      <c r="D39" s="142">
        <v>1</v>
      </c>
      <c r="E39" s="121">
        <f t="shared" si="7"/>
        <v>1246.0978070881968</v>
      </c>
      <c r="F39" s="103"/>
      <c r="G39" s="96">
        <f t="shared" si="5"/>
        <v>366.70219291180319</v>
      </c>
      <c r="H39" s="99"/>
      <c r="I39" s="121">
        <f t="shared" si="6"/>
        <v>1612.8</v>
      </c>
      <c r="J39" s="103"/>
      <c r="K39" s="248">
        <f>IF(D39=1,0.15%,IF(D39=0,0))</f>
        <v>1.5E-3</v>
      </c>
      <c r="L39" s="280">
        <f t="shared" si="9"/>
        <v>1.5E-3</v>
      </c>
      <c r="M39" s="24"/>
    </row>
    <row r="40" spans="1:14" ht="18" customHeight="1" x14ac:dyDescent="0.2">
      <c r="A40" s="115" t="s">
        <v>90</v>
      </c>
      <c r="B40" s="118" t="s">
        <v>129</v>
      </c>
      <c r="C40" s="109" t="s">
        <v>34</v>
      </c>
      <c r="D40" s="143">
        <v>1</v>
      </c>
      <c r="E40" s="121">
        <f t="shared" si="7"/>
        <v>1246.0978070881968</v>
      </c>
      <c r="F40" s="104"/>
      <c r="G40" s="96">
        <f t="shared" si="5"/>
        <v>366.70219291180319</v>
      </c>
      <c r="H40" s="100"/>
      <c r="I40" s="121">
        <f t="shared" si="6"/>
        <v>1612.8</v>
      </c>
      <c r="J40" s="104"/>
      <c r="K40" s="248">
        <f>IF(D40=1,0.15%,IF(D40=0,0))</f>
        <v>1.5E-3</v>
      </c>
      <c r="L40" s="280">
        <f t="shared" si="9"/>
        <v>1.5E-3</v>
      </c>
    </row>
    <row r="41" spans="1:14" ht="18" customHeight="1" x14ac:dyDescent="0.2">
      <c r="A41" s="115" t="s">
        <v>91</v>
      </c>
      <c r="B41" s="118" t="s">
        <v>66</v>
      </c>
      <c r="C41" s="109" t="s">
        <v>34</v>
      </c>
      <c r="D41" s="142">
        <v>1</v>
      </c>
      <c r="E41" s="121">
        <f t="shared" si="7"/>
        <v>2076.8296784803283</v>
      </c>
      <c r="F41" s="103"/>
      <c r="G41" s="96">
        <f t="shared" si="5"/>
        <v>611.17032151967169</v>
      </c>
      <c r="H41" s="99"/>
      <c r="I41" s="121">
        <f t="shared" si="6"/>
        <v>2688</v>
      </c>
      <c r="J41" s="103"/>
      <c r="K41" s="248">
        <f t="shared" ref="K41:K46" si="10">IF(D41=1,0.25%,IF(D41=0,0))</f>
        <v>2.5000000000000001E-3</v>
      </c>
      <c r="L41" s="280">
        <f t="shared" si="9"/>
        <v>2.5000000000000001E-3</v>
      </c>
    </row>
    <row r="42" spans="1:14" ht="18" customHeight="1" x14ac:dyDescent="0.2">
      <c r="A42" s="115" t="s">
        <v>92</v>
      </c>
      <c r="B42" s="118" t="s">
        <v>67</v>
      </c>
      <c r="C42" s="109" t="s">
        <v>34</v>
      </c>
      <c r="D42" s="143">
        <v>1</v>
      </c>
      <c r="E42" s="121">
        <f t="shared" si="7"/>
        <v>2076.8296784803283</v>
      </c>
      <c r="F42" s="104"/>
      <c r="G42" s="96">
        <f t="shared" si="5"/>
        <v>611.17032151967169</v>
      </c>
      <c r="H42" s="100"/>
      <c r="I42" s="121">
        <f t="shared" si="6"/>
        <v>2688</v>
      </c>
      <c r="J42" s="104"/>
      <c r="K42" s="248">
        <f t="shared" si="10"/>
        <v>2.5000000000000001E-3</v>
      </c>
      <c r="L42" s="280">
        <f t="shared" si="9"/>
        <v>2.5000000000000001E-3</v>
      </c>
    </row>
    <row r="43" spans="1:14" ht="18" customHeight="1" x14ac:dyDescent="0.2">
      <c r="A43" s="115" t="s">
        <v>93</v>
      </c>
      <c r="B43" s="118" t="s">
        <v>68</v>
      </c>
      <c r="C43" s="109" t="s">
        <v>34</v>
      </c>
      <c r="D43" s="142">
        <v>1</v>
      </c>
      <c r="E43" s="121">
        <f t="shared" si="7"/>
        <v>2076.8296784803283</v>
      </c>
      <c r="F43" s="103"/>
      <c r="G43" s="96">
        <f t="shared" si="5"/>
        <v>611.17032151967169</v>
      </c>
      <c r="H43" s="99"/>
      <c r="I43" s="121">
        <f t="shared" si="6"/>
        <v>2688</v>
      </c>
      <c r="J43" s="103"/>
      <c r="K43" s="248">
        <f t="shared" si="10"/>
        <v>2.5000000000000001E-3</v>
      </c>
      <c r="L43" s="280">
        <f t="shared" si="9"/>
        <v>2.5000000000000001E-3</v>
      </c>
    </row>
    <row r="44" spans="1:14" ht="18" customHeight="1" x14ac:dyDescent="0.2">
      <c r="A44" s="115" t="s">
        <v>94</v>
      </c>
      <c r="B44" s="118" t="s">
        <v>69</v>
      </c>
      <c r="C44" s="109" t="s">
        <v>34</v>
      </c>
      <c r="D44" s="143">
        <v>1</v>
      </c>
      <c r="E44" s="121">
        <f t="shared" si="7"/>
        <v>2076.8296784803283</v>
      </c>
      <c r="F44" s="104"/>
      <c r="G44" s="96">
        <f t="shared" si="5"/>
        <v>611.17032151967169</v>
      </c>
      <c r="H44" s="100"/>
      <c r="I44" s="121">
        <f t="shared" si="6"/>
        <v>2688</v>
      </c>
      <c r="J44" s="104"/>
      <c r="K44" s="248">
        <f t="shared" si="10"/>
        <v>2.5000000000000001E-3</v>
      </c>
      <c r="L44" s="280">
        <f t="shared" si="9"/>
        <v>2.5000000000000001E-3</v>
      </c>
    </row>
    <row r="45" spans="1:14" ht="18" customHeight="1" x14ac:dyDescent="0.2">
      <c r="A45" s="115" t="s">
        <v>95</v>
      </c>
      <c r="B45" s="119" t="s">
        <v>70</v>
      </c>
      <c r="C45" s="109" t="s">
        <v>34</v>
      </c>
      <c r="D45" s="142">
        <v>1</v>
      </c>
      <c r="E45" s="121">
        <f t="shared" si="7"/>
        <v>2076.8296784803283</v>
      </c>
      <c r="F45" s="103"/>
      <c r="G45" s="96">
        <f t="shared" si="5"/>
        <v>611.17032151967169</v>
      </c>
      <c r="H45" s="99"/>
      <c r="I45" s="121">
        <f t="shared" si="6"/>
        <v>2688</v>
      </c>
      <c r="J45" s="103"/>
      <c r="K45" s="248">
        <f t="shared" si="10"/>
        <v>2.5000000000000001E-3</v>
      </c>
      <c r="L45" s="280">
        <f t="shared" si="9"/>
        <v>2.5000000000000001E-3</v>
      </c>
    </row>
    <row r="46" spans="1:14" ht="18" customHeight="1" x14ac:dyDescent="0.2">
      <c r="A46" s="115" t="s">
        <v>96</v>
      </c>
      <c r="B46" s="119" t="s">
        <v>217</v>
      </c>
      <c r="C46" s="109" t="s">
        <v>34</v>
      </c>
      <c r="D46" s="143">
        <v>1</v>
      </c>
      <c r="E46" s="121">
        <f t="shared" si="7"/>
        <v>2076.8296784803283</v>
      </c>
      <c r="F46" s="104"/>
      <c r="G46" s="96">
        <f t="shared" si="5"/>
        <v>611.17032151967169</v>
      </c>
      <c r="H46" s="100"/>
      <c r="I46" s="121">
        <f t="shared" si="6"/>
        <v>2688</v>
      </c>
      <c r="J46" s="104"/>
      <c r="K46" s="248">
        <f t="shared" si="10"/>
        <v>2.5000000000000001E-3</v>
      </c>
      <c r="L46" s="280">
        <f t="shared" si="9"/>
        <v>2.5000000000000001E-3</v>
      </c>
      <c r="N46" s="24"/>
    </row>
    <row r="47" spans="1:14" ht="18" customHeight="1" x14ac:dyDescent="0.2">
      <c r="A47" s="115" t="s">
        <v>97</v>
      </c>
      <c r="B47" s="116" t="s">
        <v>71</v>
      </c>
      <c r="C47" s="109" t="s">
        <v>34</v>
      </c>
      <c r="D47" s="142">
        <v>1</v>
      </c>
      <c r="E47" s="121">
        <f t="shared" si="7"/>
        <v>1661.4637427842626</v>
      </c>
      <c r="F47" s="103"/>
      <c r="G47" s="96">
        <f t="shared" si="5"/>
        <v>488.93625721573744</v>
      </c>
      <c r="H47" s="99"/>
      <c r="I47" s="121">
        <f t="shared" si="6"/>
        <v>2150.4</v>
      </c>
      <c r="J47" s="103"/>
      <c r="K47" s="248">
        <f>IF(D47=1,0.2%,IF(D47=0,0))</f>
        <v>2E-3</v>
      </c>
      <c r="L47" s="280">
        <f t="shared" si="9"/>
        <v>2E-3</v>
      </c>
    </row>
    <row r="48" spans="1:14" ht="18" customHeight="1" x14ac:dyDescent="0.2">
      <c r="A48" s="115" t="s">
        <v>98</v>
      </c>
      <c r="B48" s="116" t="s">
        <v>72</v>
      </c>
      <c r="C48" s="109" t="s">
        <v>34</v>
      </c>
      <c r="D48" s="143">
        <v>1</v>
      </c>
      <c r="E48" s="121">
        <f t="shared" si="7"/>
        <v>2076.8296784803283</v>
      </c>
      <c r="F48" s="104"/>
      <c r="G48" s="96">
        <f t="shared" si="5"/>
        <v>611.17032151967169</v>
      </c>
      <c r="H48" s="100"/>
      <c r="I48" s="121">
        <f t="shared" si="6"/>
        <v>2688</v>
      </c>
      <c r="J48" s="104"/>
      <c r="K48" s="248">
        <f>IF(D48=1,0.25%,IF(D48=0,0))</f>
        <v>2.5000000000000001E-3</v>
      </c>
      <c r="L48" s="280">
        <f t="shared" si="9"/>
        <v>2.5000000000000001E-3</v>
      </c>
    </row>
    <row r="49" spans="1:15" ht="18" customHeight="1" x14ac:dyDescent="0.2">
      <c r="A49" s="115" t="s">
        <v>99</v>
      </c>
      <c r="B49" s="119" t="s">
        <v>73</v>
      </c>
      <c r="C49" s="109" t="s">
        <v>34</v>
      </c>
      <c r="D49" s="142">
        <v>1</v>
      </c>
      <c r="E49" s="121">
        <f t="shared" si="7"/>
        <v>2076.8296784803283</v>
      </c>
      <c r="F49" s="103"/>
      <c r="G49" s="96">
        <f t="shared" si="5"/>
        <v>611.17032151967169</v>
      </c>
      <c r="H49" s="99"/>
      <c r="I49" s="121">
        <f t="shared" si="6"/>
        <v>2688</v>
      </c>
      <c r="J49" s="103"/>
      <c r="K49" s="248">
        <f>IF(D49=1,0.25%,IF(D49=0,0))</f>
        <v>2.5000000000000001E-3</v>
      </c>
      <c r="L49" s="280">
        <f t="shared" si="9"/>
        <v>2.5000000000000001E-3</v>
      </c>
    </row>
    <row r="50" spans="1:15" ht="18" customHeight="1" x14ac:dyDescent="0.2">
      <c r="A50" s="115" t="s">
        <v>100</v>
      </c>
      <c r="B50" s="119" t="s">
        <v>74</v>
      </c>
      <c r="C50" s="109" t="s">
        <v>34</v>
      </c>
      <c r="D50" s="143">
        <v>1</v>
      </c>
      <c r="E50" s="121">
        <f t="shared" si="7"/>
        <v>2076.8296784803283</v>
      </c>
      <c r="F50" s="104"/>
      <c r="G50" s="96">
        <f t="shared" si="5"/>
        <v>611.17032151967169</v>
      </c>
      <c r="H50" s="100"/>
      <c r="I50" s="121">
        <f t="shared" si="6"/>
        <v>2688</v>
      </c>
      <c r="J50" s="104"/>
      <c r="K50" s="248">
        <f>IF(D50=1,0.25%,IF(D50=0,0))</f>
        <v>2.5000000000000001E-3</v>
      </c>
      <c r="L50" s="280">
        <f t="shared" si="9"/>
        <v>2.5000000000000001E-3</v>
      </c>
    </row>
    <row r="51" spans="1:15" ht="18" customHeight="1" x14ac:dyDescent="0.2">
      <c r="A51" s="115" t="s">
        <v>101</v>
      </c>
      <c r="B51" s="119" t="s">
        <v>102</v>
      </c>
      <c r="C51" s="109" t="s">
        <v>34</v>
      </c>
      <c r="D51" s="142">
        <v>1</v>
      </c>
      <c r="E51" s="121">
        <f t="shared" si="7"/>
        <v>415.36593569606566</v>
      </c>
      <c r="F51" s="103"/>
      <c r="G51" s="96">
        <f t="shared" si="5"/>
        <v>122.23406430393436</v>
      </c>
      <c r="H51" s="99"/>
      <c r="I51" s="121">
        <f t="shared" si="6"/>
        <v>537.6</v>
      </c>
      <c r="J51" s="103"/>
      <c r="K51" s="248">
        <f>IF(D51=1,0.05%,IF(D51=0,0))</f>
        <v>5.0000000000000001E-4</v>
      </c>
      <c r="L51" s="280">
        <f t="shared" si="9"/>
        <v>5.0000000000000001E-4</v>
      </c>
    </row>
    <row r="52" spans="1:15" ht="18" customHeight="1" x14ac:dyDescent="0.2">
      <c r="A52" s="115" t="s">
        <v>103</v>
      </c>
      <c r="B52" s="119" t="s">
        <v>75</v>
      </c>
      <c r="C52" s="109" t="s">
        <v>34</v>
      </c>
      <c r="D52" s="143">
        <v>1</v>
      </c>
      <c r="E52" s="121">
        <f t="shared" si="7"/>
        <v>1246.0978070881968</v>
      </c>
      <c r="F52" s="104"/>
      <c r="G52" s="96">
        <f t="shared" si="5"/>
        <v>366.70219291180319</v>
      </c>
      <c r="H52" s="100"/>
      <c r="I52" s="121">
        <f t="shared" si="6"/>
        <v>1612.8</v>
      </c>
      <c r="J52" s="104"/>
      <c r="K52" s="248">
        <f>IF(D52=1,0.15%,IF(D52=0,0))</f>
        <v>1.5E-3</v>
      </c>
      <c r="L52" s="280">
        <f t="shared" si="9"/>
        <v>1.5E-3</v>
      </c>
    </row>
    <row r="53" spans="1:15" ht="18" customHeight="1" x14ac:dyDescent="0.2">
      <c r="A53" s="115" t="s">
        <v>104</v>
      </c>
      <c r="B53" s="119" t="s">
        <v>76</v>
      </c>
      <c r="C53" s="109" t="s">
        <v>34</v>
      </c>
      <c r="D53" s="142">
        <v>1</v>
      </c>
      <c r="E53" s="121">
        <f t="shared" si="7"/>
        <v>1661.4637427842626</v>
      </c>
      <c r="F53" s="103"/>
      <c r="G53" s="96">
        <f t="shared" si="5"/>
        <v>488.93625721573744</v>
      </c>
      <c r="H53" s="99"/>
      <c r="I53" s="121">
        <f t="shared" si="6"/>
        <v>2150.4</v>
      </c>
      <c r="J53" s="103"/>
      <c r="K53" s="248">
        <f>IF(D53=1,0.2%,IF(D53=0,0))</f>
        <v>2E-3</v>
      </c>
      <c r="L53" s="280">
        <f t="shared" si="9"/>
        <v>2E-3</v>
      </c>
    </row>
    <row r="54" spans="1:15" ht="18" customHeight="1" x14ac:dyDescent="0.2">
      <c r="A54" s="115" t="s">
        <v>105</v>
      </c>
      <c r="B54" s="119" t="s">
        <v>77</v>
      </c>
      <c r="C54" s="109" t="s">
        <v>34</v>
      </c>
      <c r="D54" s="143">
        <v>1</v>
      </c>
      <c r="E54" s="121">
        <f t="shared" si="7"/>
        <v>415.36593569606566</v>
      </c>
      <c r="F54" s="104"/>
      <c r="G54" s="96">
        <f t="shared" si="5"/>
        <v>122.23406430393436</v>
      </c>
      <c r="H54" s="100"/>
      <c r="I54" s="121">
        <f t="shared" si="6"/>
        <v>537.6</v>
      </c>
      <c r="J54" s="104"/>
      <c r="K54" s="248">
        <f>IF(D54=1,0.05%,IF(D54=0,0))</f>
        <v>5.0000000000000001E-4</v>
      </c>
      <c r="L54" s="280">
        <f t="shared" si="9"/>
        <v>5.0000000000000001E-4</v>
      </c>
    </row>
    <row r="55" spans="1:15" ht="18" customHeight="1" x14ac:dyDescent="0.2">
      <c r="A55" s="115" t="s">
        <v>106</v>
      </c>
      <c r="B55" s="118" t="s">
        <v>51</v>
      </c>
      <c r="C55" s="109" t="s">
        <v>34</v>
      </c>
      <c r="D55" s="143">
        <v>1</v>
      </c>
      <c r="E55" s="121">
        <f t="shared" si="7"/>
        <v>415.36593569606566</v>
      </c>
      <c r="F55" s="104"/>
      <c r="G55" s="96">
        <f t="shared" si="5"/>
        <v>122.23406430393436</v>
      </c>
      <c r="H55" s="100"/>
      <c r="I55" s="121">
        <f t="shared" si="6"/>
        <v>537.6</v>
      </c>
      <c r="J55" s="104"/>
      <c r="K55" s="288">
        <f>N55</f>
        <v>5.0000000000000001E-4</v>
      </c>
      <c r="L55" s="283">
        <f t="shared" si="9"/>
        <v>5.0000000000000001E-4</v>
      </c>
      <c r="M55" s="290" t="s">
        <v>246</v>
      </c>
      <c r="N55" s="291">
        <f>IF(D55=1,O55,IF(D55=0,0%))</f>
        <v>5.0000000000000001E-4</v>
      </c>
      <c r="O55" s="281">
        <f>IF(N30=14.95%,0.05%,IF(N30&lt;14.95%,((0.05%*((14.95%-(14.95%-N30))/14.95%)))))</f>
        <v>5.0000000000000001E-4</v>
      </c>
    </row>
    <row r="56" spans="1:15" ht="18" customHeight="1" x14ac:dyDescent="0.2">
      <c r="A56" s="9"/>
      <c r="B56" s="28"/>
      <c r="C56" s="10"/>
      <c r="D56" s="11"/>
      <c r="E56" s="12"/>
      <c r="F56" s="12"/>
      <c r="G56" s="12"/>
      <c r="H56" s="12"/>
      <c r="I56" s="12"/>
      <c r="J56" s="12"/>
      <c r="K56" s="13"/>
      <c r="L56" s="61"/>
    </row>
    <row r="57" spans="1:15" ht="18" customHeight="1" x14ac:dyDescent="0.2">
      <c r="A57" s="106" t="s">
        <v>23</v>
      </c>
      <c r="B57" s="106" t="s">
        <v>49</v>
      </c>
      <c r="C57" s="106"/>
      <c r="D57" s="67"/>
      <c r="E57" s="251">
        <f>SUM(E58:E87)</f>
        <v>373829.34212645906</v>
      </c>
      <c r="F57" s="252"/>
      <c r="G57" s="251">
        <f>I57-E57</f>
        <v>110010.65787354094</v>
      </c>
      <c r="H57" s="252"/>
      <c r="I57" s="249">
        <f>SUM(I58:I87)</f>
        <v>483840</v>
      </c>
      <c r="J57" s="250"/>
      <c r="K57" s="69">
        <f>SUM(K58:K87)</f>
        <v>0.45000000000000018</v>
      </c>
      <c r="L57" s="111">
        <f>SUM(L58:L87)</f>
        <v>0.45000000000000018</v>
      </c>
      <c r="M57" s="482" t="s">
        <v>245</v>
      </c>
      <c r="N57" s="483">
        <f>SUM(K58:K81)</f>
        <v>0.42800000000000016</v>
      </c>
    </row>
    <row r="58" spans="1:15" ht="18" customHeight="1" x14ac:dyDescent="0.2">
      <c r="A58" s="115" t="s">
        <v>14</v>
      </c>
      <c r="B58" s="118" t="s">
        <v>208</v>
      </c>
      <c r="C58" s="109" t="s">
        <v>34</v>
      </c>
      <c r="D58" s="142">
        <v>1</v>
      </c>
      <c r="E58" s="121">
        <f t="shared" ref="E58:E87" si="11">(I58/(1+$G$19))</f>
        <v>83073.187139213129</v>
      </c>
      <c r="F58" s="103"/>
      <c r="G58" s="96">
        <f t="shared" ref="G58:G87" si="12">I58-E58</f>
        <v>24446.812860786871</v>
      </c>
      <c r="H58" s="99"/>
      <c r="I58" s="121">
        <f t="shared" ref="I58:I87" si="13">L58*$K$19</f>
        <v>107520</v>
      </c>
      <c r="J58" s="103"/>
      <c r="K58" s="248">
        <f>IF(D58=1,10%,IF(D58=0,0))</f>
        <v>0.1</v>
      </c>
      <c r="L58" s="280">
        <v>0.1</v>
      </c>
      <c r="M58" s="482"/>
      <c r="N58" s="483"/>
    </row>
    <row r="59" spans="1:15" ht="18" customHeight="1" x14ac:dyDescent="0.2">
      <c r="A59" s="115" t="s">
        <v>15</v>
      </c>
      <c r="B59" s="118" t="s">
        <v>127</v>
      </c>
      <c r="C59" s="109" t="s">
        <v>34</v>
      </c>
      <c r="D59" s="143">
        <v>1</v>
      </c>
      <c r="E59" s="121">
        <f t="shared" si="11"/>
        <v>4153.6593569606566</v>
      </c>
      <c r="F59" s="104"/>
      <c r="G59" s="96">
        <f t="shared" si="12"/>
        <v>1222.3406430393434</v>
      </c>
      <c r="H59" s="100"/>
      <c r="I59" s="121">
        <f t="shared" si="13"/>
        <v>5376</v>
      </c>
      <c r="J59" s="104"/>
      <c r="K59" s="248">
        <f>IF(D59=1,0.5%,IF(D59=0,0))</f>
        <v>5.0000000000000001E-3</v>
      </c>
      <c r="L59" s="280">
        <f t="shared" ref="L59:L87" si="14">K59</f>
        <v>5.0000000000000001E-3</v>
      </c>
    </row>
    <row r="60" spans="1:15" ht="18" customHeight="1" x14ac:dyDescent="0.2">
      <c r="A60" s="116" t="s">
        <v>80</v>
      </c>
      <c r="B60" s="116" t="s">
        <v>128</v>
      </c>
      <c r="C60" s="109" t="s">
        <v>34</v>
      </c>
      <c r="D60" s="142">
        <v>1</v>
      </c>
      <c r="E60" s="121">
        <f t="shared" si="11"/>
        <v>1246.0978070881968</v>
      </c>
      <c r="F60" s="103"/>
      <c r="G60" s="96">
        <f t="shared" si="12"/>
        <v>366.70219291180319</v>
      </c>
      <c r="H60" s="99"/>
      <c r="I60" s="121">
        <f t="shared" si="13"/>
        <v>1612.8</v>
      </c>
      <c r="J60" s="103"/>
      <c r="K60" s="248">
        <f>IF(D60=1,0.15%,IF(D60=0,0))</f>
        <v>1.5E-3</v>
      </c>
      <c r="L60" s="280">
        <f t="shared" si="14"/>
        <v>1.5E-3</v>
      </c>
    </row>
    <row r="61" spans="1:15" ht="18" customHeight="1" x14ac:dyDescent="0.2">
      <c r="A61" s="115" t="s">
        <v>16</v>
      </c>
      <c r="B61" s="119" t="s">
        <v>61</v>
      </c>
      <c r="C61" s="109" t="s">
        <v>34</v>
      </c>
      <c r="D61" s="143">
        <v>1</v>
      </c>
      <c r="E61" s="121">
        <f t="shared" si="11"/>
        <v>1661.4637427842626</v>
      </c>
      <c r="F61" s="104"/>
      <c r="G61" s="96">
        <f t="shared" si="12"/>
        <v>488.93625721573744</v>
      </c>
      <c r="H61" s="100"/>
      <c r="I61" s="121">
        <f t="shared" si="13"/>
        <v>2150.4</v>
      </c>
      <c r="J61" s="104"/>
      <c r="K61" s="248">
        <f>IF(D61=1,0.2%,IF(D61=0,0))</f>
        <v>2E-3</v>
      </c>
      <c r="L61" s="280">
        <f t="shared" si="14"/>
        <v>2E-3</v>
      </c>
    </row>
    <row r="62" spans="1:15" ht="18" customHeight="1" x14ac:dyDescent="0.2">
      <c r="A62" s="115" t="s">
        <v>38</v>
      </c>
      <c r="B62" s="119" t="s">
        <v>62</v>
      </c>
      <c r="C62" s="109" t="s">
        <v>34</v>
      </c>
      <c r="D62" s="142">
        <v>1</v>
      </c>
      <c r="E62" s="121">
        <f t="shared" si="11"/>
        <v>20768.296784803282</v>
      </c>
      <c r="F62" s="103"/>
      <c r="G62" s="96">
        <f t="shared" si="12"/>
        <v>6111.7032151967178</v>
      </c>
      <c r="H62" s="99"/>
      <c r="I62" s="121">
        <f t="shared" si="13"/>
        <v>26880</v>
      </c>
      <c r="J62" s="103"/>
      <c r="K62" s="248">
        <f>IF(D62=1,2.5%,IF(D62=0,0))</f>
        <v>2.5000000000000001E-2</v>
      </c>
      <c r="L62" s="280">
        <f t="shared" si="14"/>
        <v>2.5000000000000001E-2</v>
      </c>
      <c r="M62" s="24"/>
    </row>
    <row r="63" spans="1:15" ht="18" customHeight="1" x14ac:dyDescent="0.2">
      <c r="A63" s="115" t="s">
        <v>81</v>
      </c>
      <c r="B63" s="119" t="s">
        <v>63</v>
      </c>
      <c r="C63" s="109" t="s">
        <v>34</v>
      </c>
      <c r="D63" s="143">
        <v>1</v>
      </c>
      <c r="E63" s="121">
        <f t="shared" si="11"/>
        <v>74765.868425291817</v>
      </c>
      <c r="F63" s="104"/>
      <c r="G63" s="96">
        <f t="shared" si="12"/>
        <v>22002.131574708183</v>
      </c>
      <c r="H63" s="100"/>
      <c r="I63" s="121">
        <f t="shared" si="13"/>
        <v>96768</v>
      </c>
      <c r="J63" s="104"/>
      <c r="K63" s="248">
        <f>IF(D63=1,9%,IF(D63=0,0))</f>
        <v>0.09</v>
      </c>
      <c r="L63" s="280">
        <f t="shared" si="14"/>
        <v>0.09</v>
      </c>
    </row>
    <row r="64" spans="1:15" ht="18" customHeight="1" x14ac:dyDescent="0.2">
      <c r="A64" s="115" t="s">
        <v>39</v>
      </c>
      <c r="B64" s="119" t="s">
        <v>64</v>
      </c>
      <c r="C64" s="109" t="s">
        <v>34</v>
      </c>
      <c r="D64" s="142">
        <v>1</v>
      </c>
      <c r="E64" s="121">
        <f t="shared" si="11"/>
        <v>7061.2209068331167</v>
      </c>
      <c r="F64" s="103"/>
      <c r="G64" s="96">
        <f t="shared" si="12"/>
        <v>2077.979093166884</v>
      </c>
      <c r="H64" s="99"/>
      <c r="I64" s="121">
        <f t="shared" si="13"/>
        <v>9139.2000000000007</v>
      </c>
      <c r="J64" s="103"/>
      <c r="K64" s="248">
        <f>IF(D64=1,0.85%,IF(D64=0,0))</f>
        <v>8.5000000000000006E-3</v>
      </c>
      <c r="L64" s="280">
        <f t="shared" si="14"/>
        <v>8.5000000000000006E-3</v>
      </c>
    </row>
    <row r="65" spans="1:13" ht="18" customHeight="1" x14ac:dyDescent="0.2">
      <c r="A65" s="115" t="s">
        <v>40</v>
      </c>
      <c r="B65" s="119" t="s">
        <v>216</v>
      </c>
      <c r="C65" s="109" t="s">
        <v>34</v>
      </c>
      <c r="D65" s="143">
        <v>1</v>
      </c>
      <c r="E65" s="121">
        <f t="shared" si="11"/>
        <v>12460.978070881969</v>
      </c>
      <c r="F65" s="104"/>
      <c r="G65" s="96">
        <f t="shared" si="12"/>
        <v>3667.021929118031</v>
      </c>
      <c r="H65" s="100"/>
      <c r="I65" s="121">
        <f t="shared" si="13"/>
        <v>16128</v>
      </c>
      <c r="J65" s="104"/>
      <c r="K65" s="248">
        <f>IF(D65=1,1.5%,IF(D65=0,0))</f>
        <v>1.4999999999999999E-2</v>
      </c>
      <c r="L65" s="280">
        <f t="shared" si="14"/>
        <v>1.4999999999999999E-2</v>
      </c>
    </row>
    <row r="66" spans="1:13" ht="18" customHeight="1" x14ac:dyDescent="0.2">
      <c r="A66" s="115" t="s">
        <v>41</v>
      </c>
      <c r="B66" s="118" t="s">
        <v>65</v>
      </c>
      <c r="C66" s="109" t="s">
        <v>34</v>
      </c>
      <c r="D66" s="142">
        <v>1</v>
      </c>
      <c r="E66" s="121">
        <f t="shared" si="11"/>
        <v>12460.978070881969</v>
      </c>
      <c r="F66" s="103"/>
      <c r="G66" s="96">
        <f t="shared" si="12"/>
        <v>3667.021929118031</v>
      </c>
      <c r="H66" s="99"/>
      <c r="I66" s="121">
        <f t="shared" si="13"/>
        <v>16128</v>
      </c>
      <c r="J66" s="103"/>
      <c r="K66" s="248">
        <f>IF(D66=1,1.5%,IF(D66=0,0))</f>
        <v>1.4999999999999999E-2</v>
      </c>
      <c r="L66" s="280">
        <f t="shared" si="14"/>
        <v>1.4999999999999999E-2</v>
      </c>
    </row>
    <row r="67" spans="1:13" ht="18" customHeight="1" x14ac:dyDescent="0.2">
      <c r="A67" s="115" t="s">
        <v>110</v>
      </c>
      <c r="B67" s="118" t="s">
        <v>130</v>
      </c>
      <c r="C67" s="109" t="s">
        <v>34</v>
      </c>
      <c r="D67" s="143">
        <v>1</v>
      </c>
      <c r="E67" s="121">
        <f t="shared" si="11"/>
        <v>4153.6593569606566</v>
      </c>
      <c r="F67" s="104"/>
      <c r="G67" s="96">
        <f t="shared" si="12"/>
        <v>1222.3406430393434</v>
      </c>
      <c r="H67" s="100"/>
      <c r="I67" s="121">
        <f t="shared" si="13"/>
        <v>5376</v>
      </c>
      <c r="J67" s="104"/>
      <c r="K67" s="248">
        <f>IF(D67=1,0.5%,IF(D67=0,0))</f>
        <v>5.0000000000000001E-3</v>
      </c>
      <c r="L67" s="280">
        <f t="shared" si="14"/>
        <v>5.0000000000000001E-3</v>
      </c>
    </row>
    <row r="68" spans="1:13" ht="18" customHeight="1" x14ac:dyDescent="0.2">
      <c r="A68" s="115" t="s">
        <v>111</v>
      </c>
      <c r="B68" s="118" t="s">
        <v>66</v>
      </c>
      <c r="C68" s="109" t="s">
        <v>34</v>
      </c>
      <c r="D68" s="142">
        <v>1</v>
      </c>
      <c r="E68" s="121">
        <f t="shared" si="11"/>
        <v>20768.296784803282</v>
      </c>
      <c r="F68" s="103"/>
      <c r="G68" s="96">
        <f t="shared" si="12"/>
        <v>6111.7032151967178</v>
      </c>
      <c r="H68" s="99"/>
      <c r="I68" s="121">
        <f t="shared" si="13"/>
        <v>26880</v>
      </c>
      <c r="J68" s="103"/>
      <c r="K68" s="248">
        <f>IF(D68=1,2.5%,IF(D68=0,0))</f>
        <v>2.5000000000000001E-2</v>
      </c>
      <c r="L68" s="280">
        <f t="shared" si="14"/>
        <v>2.5000000000000001E-2</v>
      </c>
    </row>
    <row r="69" spans="1:13" ht="18" customHeight="1" x14ac:dyDescent="0.2">
      <c r="A69" s="115" t="s">
        <v>112</v>
      </c>
      <c r="B69" s="118" t="s">
        <v>67</v>
      </c>
      <c r="C69" s="109" t="s">
        <v>34</v>
      </c>
      <c r="D69" s="143">
        <v>1</v>
      </c>
      <c r="E69" s="121">
        <f t="shared" si="11"/>
        <v>12460.978070881969</v>
      </c>
      <c r="F69" s="104"/>
      <c r="G69" s="96">
        <f t="shared" si="12"/>
        <v>3667.021929118031</v>
      </c>
      <c r="H69" s="100"/>
      <c r="I69" s="121">
        <f t="shared" si="13"/>
        <v>16128</v>
      </c>
      <c r="J69" s="104"/>
      <c r="K69" s="248">
        <f>IF(D69=1,1.5%,IF(D69=0,0))</f>
        <v>1.4999999999999999E-2</v>
      </c>
      <c r="L69" s="280">
        <f t="shared" si="14"/>
        <v>1.4999999999999999E-2</v>
      </c>
    </row>
    <row r="70" spans="1:13" ht="18" customHeight="1" x14ac:dyDescent="0.2">
      <c r="A70" s="115" t="s">
        <v>113</v>
      </c>
      <c r="B70" s="118" t="s">
        <v>68</v>
      </c>
      <c r="C70" s="109" t="s">
        <v>34</v>
      </c>
      <c r="D70" s="142">
        <v>1</v>
      </c>
      <c r="E70" s="121">
        <f t="shared" si="11"/>
        <v>8307.3187139213132</v>
      </c>
      <c r="F70" s="103"/>
      <c r="G70" s="96">
        <f t="shared" si="12"/>
        <v>2444.6812860786868</v>
      </c>
      <c r="H70" s="99"/>
      <c r="I70" s="121">
        <f t="shared" si="13"/>
        <v>10752</v>
      </c>
      <c r="J70" s="103"/>
      <c r="K70" s="248">
        <f>IF(D70=1,1%,IF(D70=0,0))</f>
        <v>0.01</v>
      </c>
      <c r="L70" s="280">
        <f t="shared" si="14"/>
        <v>0.01</v>
      </c>
    </row>
    <row r="71" spans="1:13" ht="18" customHeight="1" x14ac:dyDescent="0.2">
      <c r="A71" s="115" t="s">
        <v>114</v>
      </c>
      <c r="B71" s="118" t="s">
        <v>69</v>
      </c>
      <c r="C71" s="109" t="s">
        <v>34</v>
      </c>
      <c r="D71" s="143">
        <v>1</v>
      </c>
      <c r="E71" s="121">
        <f t="shared" si="11"/>
        <v>8307.3187139213132</v>
      </c>
      <c r="F71" s="104"/>
      <c r="G71" s="96">
        <f t="shared" si="12"/>
        <v>2444.6812860786868</v>
      </c>
      <c r="H71" s="100"/>
      <c r="I71" s="121">
        <f t="shared" si="13"/>
        <v>10752</v>
      </c>
      <c r="J71" s="104"/>
      <c r="K71" s="248">
        <f>IF(D71=1,1%,IF(D71=0,0))</f>
        <v>0.01</v>
      </c>
      <c r="L71" s="280">
        <f t="shared" si="14"/>
        <v>0.01</v>
      </c>
    </row>
    <row r="72" spans="1:13" ht="18" customHeight="1" x14ac:dyDescent="0.2">
      <c r="A72" s="115" t="s">
        <v>115</v>
      </c>
      <c r="B72" s="119" t="s">
        <v>70</v>
      </c>
      <c r="C72" s="109" t="s">
        <v>34</v>
      </c>
      <c r="D72" s="142">
        <v>1</v>
      </c>
      <c r="E72" s="121">
        <f t="shared" si="11"/>
        <v>12460.978070881969</v>
      </c>
      <c r="F72" s="103"/>
      <c r="G72" s="96">
        <f t="shared" si="12"/>
        <v>3667.021929118031</v>
      </c>
      <c r="H72" s="99"/>
      <c r="I72" s="121">
        <f t="shared" si="13"/>
        <v>16128</v>
      </c>
      <c r="J72" s="103"/>
      <c r="K72" s="248">
        <f>IF(D72=1,1.5%,IF(D72=0,0))</f>
        <v>1.4999999999999999E-2</v>
      </c>
      <c r="L72" s="280">
        <f t="shared" si="14"/>
        <v>1.4999999999999999E-2</v>
      </c>
    </row>
    <row r="73" spans="1:13" ht="18" customHeight="1" x14ac:dyDescent="0.2">
      <c r="A73" s="115" t="s">
        <v>116</v>
      </c>
      <c r="B73" s="119" t="s">
        <v>218</v>
      </c>
      <c r="C73" s="109" t="s">
        <v>34</v>
      </c>
      <c r="D73" s="143">
        <v>1</v>
      </c>
      <c r="E73" s="121">
        <f t="shared" si="11"/>
        <v>12460.978070881969</v>
      </c>
      <c r="F73" s="104"/>
      <c r="G73" s="96">
        <f t="shared" si="12"/>
        <v>3667.021929118031</v>
      </c>
      <c r="H73" s="100"/>
      <c r="I73" s="121">
        <f t="shared" si="13"/>
        <v>16128</v>
      </c>
      <c r="J73" s="104"/>
      <c r="K73" s="248">
        <f t="shared" ref="K73:K74" si="15">IF(D73=1,1.5%,IF(D73=0,0))</f>
        <v>1.4999999999999999E-2</v>
      </c>
      <c r="L73" s="280">
        <f t="shared" si="14"/>
        <v>1.4999999999999999E-2</v>
      </c>
    </row>
    <row r="74" spans="1:13" ht="18" customHeight="1" x14ac:dyDescent="0.2">
      <c r="A74" s="115" t="s">
        <v>117</v>
      </c>
      <c r="B74" s="116" t="s">
        <v>71</v>
      </c>
      <c r="C74" s="109" t="s">
        <v>34</v>
      </c>
      <c r="D74" s="142">
        <v>1</v>
      </c>
      <c r="E74" s="121">
        <f t="shared" si="11"/>
        <v>12460.978070881969</v>
      </c>
      <c r="F74" s="103"/>
      <c r="G74" s="96">
        <f t="shared" si="12"/>
        <v>3667.021929118031</v>
      </c>
      <c r="H74" s="99"/>
      <c r="I74" s="121">
        <f t="shared" si="13"/>
        <v>16128</v>
      </c>
      <c r="J74" s="103"/>
      <c r="K74" s="248">
        <f t="shared" si="15"/>
        <v>1.4999999999999999E-2</v>
      </c>
      <c r="L74" s="280">
        <f t="shared" si="14"/>
        <v>1.4999999999999999E-2</v>
      </c>
    </row>
    <row r="75" spans="1:13" ht="18" customHeight="1" x14ac:dyDescent="0.2">
      <c r="A75" s="115" t="s">
        <v>118</v>
      </c>
      <c r="B75" s="116" t="s">
        <v>72</v>
      </c>
      <c r="C75" s="109" t="s">
        <v>34</v>
      </c>
      <c r="D75" s="143">
        <v>1</v>
      </c>
      <c r="E75" s="121">
        <f t="shared" si="11"/>
        <v>13291.709942274101</v>
      </c>
      <c r="F75" s="104"/>
      <c r="G75" s="96">
        <f t="shared" si="12"/>
        <v>3911.4900577258995</v>
      </c>
      <c r="H75" s="100"/>
      <c r="I75" s="121">
        <f t="shared" si="13"/>
        <v>17203.2</v>
      </c>
      <c r="J75" s="104"/>
      <c r="K75" s="248">
        <f>IF(D75=1,1.6%,IF(D75=0,0))</f>
        <v>1.6E-2</v>
      </c>
      <c r="L75" s="280">
        <f t="shared" si="14"/>
        <v>1.6E-2</v>
      </c>
      <c r="M75" s="292"/>
    </row>
    <row r="76" spans="1:13" ht="18" customHeight="1" x14ac:dyDescent="0.2">
      <c r="A76" s="115" t="s">
        <v>119</v>
      </c>
      <c r="B76" s="119" t="s">
        <v>73</v>
      </c>
      <c r="C76" s="109" t="s">
        <v>34</v>
      </c>
      <c r="D76" s="142">
        <v>1</v>
      </c>
      <c r="E76" s="121">
        <f t="shared" si="11"/>
        <v>16614.637427842626</v>
      </c>
      <c r="F76" s="103"/>
      <c r="G76" s="96">
        <f t="shared" si="12"/>
        <v>4889.3625721573735</v>
      </c>
      <c r="H76" s="99"/>
      <c r="I76" s="121">
        <f t="shared" si="13"/>
        <v>21504</v>
      </c>
      <c r="J76" s="103"/>
      <c r="K76" s="248">
        <f>IF(D76=1,2%,IF(D76=0,0))</f>
        <v>0.02</v>
      </c>
      <c r="L76" s="280">
        <f t="shared" si="14"/>
        <v>0.02</v>
      </c>
    </row>
    <row r="77" spans="1:13" ht="18" customHeight="1" x14ac:dyDescent="0.2">
      <c r="A77" s="115" t="s">
        <v>120</v>
      </c>
      <c r="B77" s="119" t="s">
        <v>74</v>
      </c>
      <c r="C77" s="109" t="s">
        <v>34</v>
      </c>
      <c r="D77" s="143">
        <v>1</v>
      </c>
      <c r="E77" s="121">
        <f t="shared" si="11"/>
        <v>12460.978070881969</v>
      </c>
      <c r="F77" s="104"/>
      <c r="G77" s="96">
        <f t="shared" si="12"/>
        <v>3667.021929118031</v>
      </c>
      <c r="H77" s="100"/>
      <c r="I77" s="121">
        <f t="shared" si="13"/>
        <v>16128</v>
      </c>
      <c r="J77" s="104"/>
      <c r="K77" s="248">
        <f>IF(D77=1,1.5%,IF(D77=0,0))</f>
        <v>1.4999999999999999E-2</v>
      </c>
      <c r="L77" s="280">
        <f t="shared" si="14"/>
        <v>1.4999999999999999E-2</v>
      </c>
    </row>
    <row r="78" spans="1:13" ht="18" customHeight="1" x14ac:dyDescent="0.2">
      <c r="A78" s="115" t="s">
        <v>121</v>
      </c>
      <c r="B78" s="119" t="s">
        <v>102</v>
      </c>
      <c r="C78" s="109" t="s">
        <v>34</v>
      </c>
      <c r="D78" s="142">
        <v>1</v>
      </c>
      <c r="E78" s="121">
        <f t="shared" si="11"/>
        <v>415.36593569606566</v>
      </c>
      <c r="F78" s="103"/>
      <c r="G78" s="96">
        <f t="shared" si="12"/>
        <v>122.23406430393436</v>
      </c>
      <c r="H78" s="99"/>
      <c r="I78" s="121">
        <f t="shared" si="13"/>
        <v>537.6</v>
      </c>
      <c r="J78" s="103"/>
      <c r="K78" s="248">
        <f t="shared" ref="K78" si="16">IF(D78=1,0.05%,IF(D78=0,0))</f>
        <v>5.0000000000000001E-4</v>
      </c>
      <c r="L78" s="280">
        <f t="shared" si="14"/>
        <v>5.0000000000000001E-4</v>
      </c>
    </row>
    <row r="79" spans="1:13" ht="18" customHeight="1" x14ac:dyDescent="0.2">
      <c r="A79" s="115" t="s">
        <v>122</v>
      </c>
      <c r="B79" s="119" t="s">
        <v>75</v>
      </c>
      <c r="C79" s="109" t="s">
        <v>34</v>
      </c>
      <c r="D79" s="143">
        <v>1</v>
      </c>
      <c r="E79" s="121">
        <f t="shared" si="11"/>
        <v>830.73187139213132</v>
      </c>
      <c r="F79" s="104"/>
      <c r="G79" s="96">
        <f t="shared" si="12"/>
        <v>244.46812860786872</v>
      </c>
      <c r="H79" s="100"/>
      <c r="I79" s="121">
        <f t="shared" si="13"/>
        <v>1075.2</v>
      </c>
      <c r="J79" s="104"/>
      <c r="K79" s="248">
        <f>IF(D79=1,0.1%,IF(D79=0,0))</f>
        <v>1E-3</v>
      </c>
      <c r="L79" s="280">
        <f t="shared" si="14"/>
        <v>1E-3</v>
      </c>
    </row>
    <row r="80" spans="1:13" ht="18" customHeight="1" x14ac:dyDescent="0.2">
      <c r="A80" s="115" t="s">
        <v>123</v>
      </c>
      <c r="B80" s="119" t="s">
        <v>76</v>
      </c>
      <c r="C80" s="109" t="s">
        <v>34</v>
      </c>
      <c r="D80" s="142">
        <v>1</v>
      </c>
      <c r="E80" s="121">
        <f t="shared" si="11"/>
        <v>2076.8296784803283</v>
      </c>
      <c r="F80" s="103"/>
      <c r="G80" s="96">
        <f t="shared" si="12"/>
        <v>611.17032151967169</v>
      </c>
      <c r="H80" s="99"/>
      <c r="I80" s="121">
        <f t="shared" si="13"/>
        <v>2688</v>
      </c>
      <c r="J80" s="103"/>
      <c r="K80" s="248">
        <f>IF(D80=1,0.25%,IF(D80=0,0))</f>
        <v>2.5000000000000001E-3</v>
      </c>
      <c r="L80" s="280">
        <f t="shared" si="14"/>
        <v>2.5000000000000001E-3</v>
      </c>
    </row>
    <row r="81" spans="1:15" ht="18" customHeight="1" x14ac:dyDescent="0.2">
      <c r="A81" s="115" t="s">
        <v>124</v>
      </c>
      <c r="B81" s="119" t="s">
        <v>77</v>
      </c>
      <c r="C81" s="109" t="s">
        <v>34</v>
      </c>
      <c r="D81" s="143">
        <v>1</v>
      </c>
      <c r="E81" s="121">
        <f t="shared" si="11"/>
        <v>830.73187139213132</v>
      </c>
      <c r="F81" s="104"/>
      <c r="G81" s="96">
        <f t="shared" si="12"/>
        <v>244.46812860786872</v>
      </c>
      <c r="H81" s="100"/>
      <c r="I81" s="121">
        <f t="shared" si="13"/>
        <v>1075.2</v>
      </c>
      <c r="J81" s="104"/>
      <c r="K81" s="248">
        <f>IF(D81=1,0.1%,IF(D81=0,0))</f>
        <v>1E-3</v>
      </c>
      <c r="L81" s="280">
        <f t="shared" si="14"/>
        <v>1E-3</v>
      </c>
    </row>
    <row r="82" spans="1:15" ht="18" customHeight="1" x14ac:dyDescent="0.2">
      <c r="A82" s="115" t="s">
        <v>125</v>
      </c>
      <c r="B82" s="118" t="s">
        <v>51</v>
      </c>
      <c r="C82" s="109" t="s">
        <v>34</v>
      </c>
      <c r="D82" s="142">
        <v>1</v>
      </c>
      <c r="E82" s="121">
        <f t="shared" si="11"/>
        <v>415.36593569606566</v>
      </c>
      <c r="F82" s="103"/>
      <c r="G82" s="96">
        <f t="shared" si="12"/>
        <v>122.23406430393436</v>
      </c>
      <c r="H82" s="99"/>
      <c r="I82" s="121">
        <f t="shared" si="13"/>
        <v>537.6</v>
      </c>
      <c r="J82" s="103"/>
      <c r="K82" s="288">
        <f>N82</f>
        <v>5.0000000000000001E-4</v>
      </c>
      <c r="L82" s="289">
        <f t="shared" si="14"/>
        <v>5.0000000000000001E-4</v>
      </c>
      <c r="M82" s="484" t="s">
        <v>244</v>
      </c>
      <c r="N82" s="291">
        <f>IF(D82=1,O82,IF(D82=0,0%))</f>
        <v>5.0000000000000001E-4</v>
      </c>
      <c r="O82" s="281">
        <f>IF(N57=42.8%,0.05%,IF(N57&lt;42.8%,((0.05%*((42.8%-(42.8%-N57))/42.8%)))))</f>
        <v>5.0000000000000001E-4</v>
      </c>
    </row>
    <row r="83" spans="1:15" ht="18" customHeight="1" x14ac:dyDescent="0.2">
      <c r="A83" s="117" t="s">
        <v>164</v>
      </c>
      <c r="B83" s="119" t="s">
        <v>153</v>
      </c>
      <c r="C83" s="109" t="s">
        <v>34</v>
      </c>
      <c r="D83" s="143">
        <v>1</v>
      </c>
      <c r="E83" s="121">
        <f t="shared" si="11"/>
        <v>4153.6593569606566</v>
      </c>
      <c r="F83" s="104"/>
      <c r="G83" s="96">
        <f t="shared" si="12"/>
        <v>1222.3406430393434</v>
      </c>
      <c r="H83" s="100"/>
      <c r="I83" s="121">
        <f t="shared" si="13"/>
        <v>5376</v>
      </c>
      <c r="J83" s="104"/>
      <c r="K83" s="288">
        <f>N83</f>
        <v>5.0000000000000001E-3</v>
      </c>
      <c r="L83" s="289">
        <f t="shared" si="14"/>
        <v>5.0000000000000001E-3</v>
      </c>
      <c r="M83" s="484"/>
      <c r="N83" s="291">
        <f>IF(D83=1,O83,IF(D83=0,0%))</f>
        <v>5.0000000000000001E-3</v>
      </c>
      <c r="O83" s="281">
        <f>IF(N57=42.8%,0.5%,IF(N57&lt;42.8%,((0.5%*((42.8%-(42.8%-N57))/42.8%)))))</f>
        <v>5.0000000000000001E-3</v>
      </c>
    </row>
    <row r="84" spans="1:15" ht="18" customHeight="1" x14ac:dyDescent="0.2">
      <c r="A84" s="117" t="s">
        <v>165</v>
      </c>
      <c r="B84" s="118" t="s">
        <v>154</v>
      </c>
      <c r="C84" s="109" t="s">
        <v>34</v>
      </c>
      <c r="D84" s="142">
        <v>1</v>
      </c>
      <c r="E84" s="121">
        <f t="shared" si="11"/>
        <v>6230.4890354409845</v>
      </c>
      <c r="F84" s="103"/>
      <c r="G84" s="96">
        <f t="shared" si="12"/>
        <v>1833.5109645590155</v>
      </c>
      <c r="H84" s="99"/>
      <c r="I84" s="121">
        <f t="shared" si="13"/>
        <v>8064</v>
      </c>
      <c r="J84" s="103"/>
      <c r="K84" s="288">
        <f>N84</f>
        <v>7.4999999999999997E-3</v>
      </c>
      <c r="L84" s="289">
        <f t="shared" si="14"/>
        <v>7.4999999999999997E-3</v>
      </c>
      <c r="M84" s="484"/>
      <c r="N84" s="291">
        <f t="shared" ref="N84:N86" si="17">IF(D84=1,O84,IF(D84=0,0%))</f>
        <v>7.4999999999999997E-3</v>
      </c>
      <c r="O84" s="281">
        <f>IF(N57=42.8%,0.75%,IF(N57&lt;42.8%,((0.75%*((42.8%-(42.8%-N57))/42.8%)))))</f>
        <v>7.4999999999999997E-3</v>
      </c>
    </row>
    <row r="85" spans="1:15" ht="18" customHeight="1" x14ac:dyDescent="0.2">
      <c r="A85" s="117" t="s">
        <v>166</v>
      </c>
      <c r="B85" s="118" t="s">
        <v>155</v>
      </c>
      <c r="C85" s="109" t="s">
        <v>34</v>
      </c>
      <c r="D85" s="143">
        <v>1</v>
      </c>
      <c r="E85" s="121">
        <f t="shared" si="11"/>
        <v>4153.6593569606566</v>
      </c>
      <c r="F85" s="104"/>
      <c r="G85" s="96">
        <f t="shared" si="12"/>
        <v>1222.3406430393434</v>
      </c>
      <c r="H85" s="100"/>
      <c r="I85" s="121">
        <f t="shared" si="13"/>
        <v>5376</v>
      </c>
      <c r="J85" s="104"/>
      <c r="K85" s="288">
        <f>N85</f>
        <v>5.0000000000000001E-3</v>
      </c>
      <c r="L85" s="289">
        <f t="shared" si="14"/>
        <v>5.0000000000000001E-3</v>
      </c>
      <c r="M85" s="484"/>
      <c r="N85" s="291">
        <f t="shared" si="17"/>
        <v>5.0000000000000001E-3</v>
      </c>
      <c r="O85" s="281">
        <f>IF(N57=42.8%,0.5%,IF(N57&lt;42.8%,((0.5%*((42.8%-(42.8%-N57))/42.8%)))))</f>
        <v>5.0000000000000001E-3</v>
      </c>
    </row>
    <row r="86" spans="1:15" ht="18" customHeight="1" x14ac:dyDescent="0.2">
      <c r="A86" s="117" t="s">
        <v>167</v>
      </c>
      <c r="B86" s="119" t="s">
        <v>126</v>
      </c>
      <c r="C86" s="109" t="s">
        <v>34</v>
      </c>
      <c r="D86" s="142">
        <v>1</v>
      </c>
      <c r="E86" s="121">
        <f t="shared" si="11"/>
        <v>2076.8296784803283</v>
      </c>
      <c r="F86" s="103"/>
      <c r="G86" s="96">
        <f t="shared" si="12"/>
        <v>611.17032151967169</v>
      </c>
      <c r="H86" s="99"/>
      <c r="I86" s="121">
        <f t="shared" si="13"/>
        <v>2688</v>
      </c>
      <c r="J86" s="103"/>
      <c r="K86" s="288">
        <f>N86</f>
        <v>2.5000000000000001E-3</v>
      </c>
      <c r="L86" s="289">
        <f t="shared" si="14"/>
        <v>2.5000000000000001E-3</v>
      </c>
      <c r="M86" s="484"/>
      <c r="N86" s="291">
        <f t="shared" si="17"/>
        <v>2.5000000000000001E-3</v>
      </c>
      <c r="O86" s="281">
        <f>IF(N57=42.8%,0.25%,IF(N57&lt;42.8%,((0.25%*((42.8%-(42.8%-N57))/42.8%)))))</f>
        <v>2.5000000000000001E-3</v>
      </c>
    </row>
    <row r="87" spans="1:15" ht="18" customHeight="1" x14ac:dyDescent="0.2">
      <c r="A87" s="117" t="s">
        <v>177</v>
      </c>
      <c r="B87" s="119" t="s">
        <v>178</v>
      </c>
      <c r="C87" s="109" t="s">
        <v>34</v>
      </c>
      <c r="D87" s="143">
        <v>1</v>
      </c>
      <c r="E87" s="121">
        <f t="shared" si="11"/>
        <v>1246.0978070881968</v>
      </c>
      <c r="F87" s="104"/>
      <c r="G87" s="96">
        <f t="shared" si="12"/>
        <v>366.70219291180319</v>
      </c>
      <c r="H87" s="100"/>
      <c r="I87" s="121">
        <f t="shared" si="13"/>
        <v>1612.8</v>
      </c>
      <c r="J87" s="104"/>
      <c r="K87" s="248">
        <f>IF(D87=1,0.15%,IF(D87=0,0))</f>
        <v>1.5E-3</v>
      </c>
      <c r="L87" s="284">
        <f t="shared" si="14"/>
        <v>1.5E-3</v>
      </c>
      <c r="M87" s="285"/>
      <c r="N87" s="286"/>
    </row>
    <row r="88" spans="1:15" ht="18" customHeight="1" x14ac:dyDescent="0.2">
      <c r="A88" s="29"/>
      <c r="B88" s="30"/>
      <c r="C88" s="31"/>
      <c r="D88" s="11"/>
      <c r="E88" s="12"/>
      <c r="F88" s="12"/>
      <c r="G88" s="12"/>
      <c r="H88" s="12"/>
      <c r="I88" s="12"/>
      <c r="J88" s="12"/>
      <c r="K88" s="13"/>
      <c r="L88" s="61"/>
      <c r="M88" s="285"/>
      <c r="N88" s="286"/>
    </row>
    <row r="89" spans="1:15" ht="18" customHeight="1" x14ac:dyDescent="0.2">
      <c r="A89" s="106" t="s">
        <v>24</v>
      </c>
      <c r="B89" s="66" t="s">
        <v>53</v>
      </c>
      <c r="C89" s="106"/>
      <c r="D89" s="107"/>
      <c r="E89" s="251">
        <f>SUM(E90:E121)</f>
        <v>207682.96784803277</v>
      </c>
      <c r="F89" s="252"/>
      <c r="G89" s="251">
        <f>I89-E89</f>
        <v>61117.032151967229</v>
      </c>
      <c r="H89" s="252"/>
      <c r="I89" s="249">
        <f>SUM(I90:I121)</f>
        <v>268800</v>
      </c>
      <c r="J89" s="250"/>
      <c r="K89" s="111">
        <f>SUM(K90:K121)</f>
        <v>0.25000000000000011</v>
      </c>
      <c r="L89" s="287">
        <f>SUM(L90:L121)</f>
        <v>0.25000000000000011</v>
      </c>
      <c r="M89" s="482" t="s">
        <v>242</v>
      </c>
      <c r="N89" s="483">
        <f>SUM(K90:K113)</f>
        <v>0.23100000000000009</v>
      </c>
    </row>
    <row r="90" spans="1:15" ht="18" customHeight="1" x14ac:dyDescent="0.2">
      <c r="A90" s="115" t="s">
        <v>0</v>
      </c>
      <c r="B90" s="62" t="s">
        <v>208</v>
      </c>
      <c r="C90" s="109" t="s">
        <v>34</v>
      </c>
      <c r="D90" s="141">
        <v>1</v>
      </c>
      <c r="E90" s="121">
        <f t="shared" ref="E90:E121" si="18">(I90/(1+$G$19))</f>
        <v>70612.209068331154</v>
      </c>
      <c r="F90" s="103"/>
      <c r="G90" s="96">
        <f t="shared" ref="G90:G121" si="19">I90-E90</f>
        <v>20779.790931668846</v>
      </c>
      <c r="H90" s="113"/>
      <c r="I90" s="121">
        <f t="shared" ref="I90:I121" si="20">L90*$K$19</f>
        <v>91392</v>
      </c>
      <c r="J90" s="63"/>
      <c r="K90" s="112">
        <f>IF(D90=1,8.5%,IF(D90=0,0))</f>
        <v>8.5000000000000006E-2</v>
      </c>
      <c r="L90" s="284">
        <f>K90</f>
        <v>8.5000000000000006E-2</v>
      </c>
      <c r="M90" s="482"/>
      <c r="N90" s="483"/>
    </row>
    <row r="91" spans="1:15" ht="18" customHeight="1" x14ac:dyDescent="0.2">
      <c r="A91" s="115" t="s">
        <v>17</v>
      </c>
      <c r="B91" s="64" t="s">
        <v>127</v>
      </c>
      <c r="C91" s="109" t="s">
        <v>34</v>
      </c>
      <c r="D91" s="141">
        <v>1</v>
      </c>
      <c r="E91" s="121">
        <f t="shared" si="18"/>
        <v>20768.296784803282</v>
      </c>
      <c r="F91" s="104"/>
      <c r="G91" s="96">
        <f t="shared" si="19"/>
        <v>6111.7032151967178</v>
      </c>
      <c r="H91" s="114"/>
      <c r="I91" s="121">
        <f t="shared" si="20"/>
        <v>26880</v>
      </c>
      <c r="J91" s="65"/>
      <c r="K91" s="112">
        <f>IF(D91=1,2.5%,IF(D91=0,0))</f>
        <v>2.5000000000000001E-2</v>
      </c>
      <c r="L91" s="280">
        <f t="shared" ref="L91:L121" si="21">K91</f>
        <v>2.5000000000000001E-2</v>
      </c>
    </row>
    <row r="92" spans="1:15" ht="18" customHeight="1" x14ac:dyDescent="0.2">
      <c r="A92" s="116" t="s">
        <v>18</v>
      </c>
      <c r="B92" s="33" t="s">
        <v>128</v>
      </c>
      <c r="C92" s="109" t="s">
        <v>34</v>
      </c>
      <c r="D92" s="141">
        <v>1</v>
      </c>
      <c r="E92" s="121">
        <f t="shared" si="18"/>
        <v>830.73187139213132</v>
      </c>
      <c r="F92" s="103"/>
      <c r="G92" s="96">
        <f t="shared" si="19"/>
        <v>244.46812860786872</v>
      </c>
      <c r="H92" s="113"/>
      <c r="I92" s="121">
        <f t="shared" si="20"/>
        <v>1075.2</v>
      </c>
      <c r="J92" s="63"/>
      <c r="K92" s="112">
        <f>IF(D92=1,0.1%,IF(D92=0,0))</f>
        <v>1E-3</v>
      </c>
      <c r="L92" s="280">
        <f t="shared" si="21"/>
        <v>1E-3</v>
      </c>
    </row>
    <row r="93" spans="1:15" ht="18" customHeight="1" x14ac:dyDescent="0.2">
      <c r="A93" s="115" t="s">
        <v>19</v>
      </c>
      <c r="B93" s="71" t="s">
        <v>61</v>
      </c>
      <c r="C93" s="109" t="s">
        <v>34</v>
      </c>
      <c r="D93" s="141">
        <v>1</v>
      </c>
      <c r="E93" s="121">
        <f t="shared" si="18"/>
        <v>415.36593569606566</v>
      </c>
      <c r="F93" s="104"/>
      <c r="G93" s="96">
        <f t="shared" si="19"/>
        <v>122.23406430393436</v>
      </c>
      <c r="H93" s="114"/>
      <c r="I93" s="121">
        <f t="shared" si="20"/>
        <v>537.6</v>
      </c>
      <c r="J93" s="65"/>
      <c r="K93" s="112">
        <f>IF(D93=1,0.05%,IF(D93=0,0))</f>
        <v>5.0000000000000001E-4</v>
      </c>
      <c r="L93" s="280">
        <f t="shared" si="21"/>
        <v>5.0000000000000001E-4</v>
      </c>
    </row>
    <row r="94" spans="1:15" ht="18" customHeight="1" x14ac:dyDescent="0.2">
      <c r="A94" s="115" t="s">
        <v>42</v>
      </c>
      <c r="B94" s="70" t="s">
        <v>62</v>
      </c>
      <c r="C94" s="109" t="s">
        <v>34</v>
      </c>
      <c r="D94" s="141">
        <v>1</v>
      </c>
      <c r="E94" s="121">
        <f t="shared" si="18"/>
        <v>8307.3187139213132</v>
      </c>
      <c r="F94" s="103"/>
      <c r="G94" s="96">
        <f t="shared" si="19"/>
        <v>2444.6812860786868</v>
      </c>
      <c r="H94" s="113"/>
      <c r="I94" s="121">
        <f t="shared" si="20"/>
        <v>10752</v>
      </c>
      <c r="J94" s="63"/>
      <c r="K94" s="112">
        <f>IF(D94=1,1%,IF(D94=0,0))</f>
        <v>0.01</v>
      </c>
      <c r="L94" s="280">
        <f t="shared" si="21"/>
        <v>0.01</v>
      </c>
      <c r="M94" s="22"/>
    </row>
    <row r="95" spans="1:15" ht="18" customHeight="1" x14ac:dyDescent="0.2">
      <c r="A95" s="115" t="s">
        <v>82</v>
      </c>
      <c r="B95" s="71" t="s">
        <v>63</v>
      </c>
      <c r="C95" s="109" t="s">
        <v>34</v>
      </c>
      <c r="D95" s="141">
        <v>1</v>
      </c>
      <c r="E95" s="121">
        <f t="shared" si="18"/>
        <v>24921.956141763938</v>
      </c>
      <c r="F95" s="104"/>
      <c r="G95" s="96">
        <f t="shared" si="19"/>
        <v>7334.0438582360621</v>
      </c>
      <c r="H95" s="114"/>
      <c r="I95" s="121">
        <f t="shared" si="20"/>
        <v>32256</v>
      </c>
      <c r="J95" s="65"/>
      <c r="K95" s="112">
        <f>IF(D95=1,3%,IF(D95=0,0))</f>
        <v>0.03</v>
      </c>
      <c r="L95" s="280">
        <f t="shared" si="21"/>
        <v>0.03</v>
      </c>
    </row>
    <row r="96" spans="1:15" ht="18" customHeight="1" x14ac:dyDescent="0.2">
      <c r="A96" s="115" t="s">
        <v>43</v>
      </c>
      <c r="B96" s="70" t="s">
        <v>64</v>
      </c>
      <c r="C96" s="109" t="s">
        <v>34</v>
      </c>
      <c r="D96" s="141">
        <v>1</v>
      </c>
      <c r="E96" s="121">
        <f t="shared" si="18"/>
        <v>4153.6593569606566</v>
      </c>
      <c r="F96" s="103"/>
      <c r="G96" s="96">
        <f t="shared" si="19"/>
        <v>1222.3406430393434</v>
      </c>
      <c r="H96" s="113"/>
      <c r="I96" s="121">
        <f t="shared" si="20"/>
        <v>5376</v>
      </c>
      <c r="J96" s="63"/>
      <c r="K96" s="112">
        <f>IF(D96=1,0.5%,IF(D96=0,0))</f>
        <v>5.0000000000000001E-3</v>
      </c>
      <c r="L96" s="280">
        <f t="shared" si="21"/>
        <v>5.0000000000000001E-3</v>
      </c>
      <c r="N96" s="23"/>
    </row>
    <row r="97" spans="1:15" ht="18" customHeight="1" x14ac:dyDescent="0.2">
      <c r="A97" s="115" t="s">
        <v>1</v>
      </c>
      <c r="B97" s="71" t="s">
        <v>216</v>
      </c>
      <c r="C97" s="109" t="s">
        <v>34</v>
      </c>
      <c r="D97" s="141">
        <v>1</v>
      </c>
      <c r="E97" s="121">
        <f t="shared" si="18"/>
        <v>4153.6593569606566</v>
      </c>
      <c r="F97" s="104"/>
      <c r="G97" s="96">
        <f t="shared" si="19"/>
        <v>1222.3406430393434</v>
      </c>
      <c r="H97" s="114"/>
      <c r="I97" s="121">
        <f t="shared" si="20"/>
        <v>5376</v>
      </c>
      <c r="J97" s="65"/>
      <c r="K97" s="112">
        <f t="shared" ref="K97:K98" si="22">IF(D97=1,0.5%,IF(D97=0,0))</f>
        <v>5.0000000000000001E-3</v>
      </c>
      <c r="L97" s="280">
        <f t="shared" si="21"/>
        <v>5.0000000000000001E-3</v>
      </c>
    </row>
    <row r="98" spans="1:15" ht="18" customHeight="1" x14ac:dyDescent="0.2">
      <c r="A98" s="115" t="s">
        <v>131</v>
      </c>
      <c r="B98" s="62" t="s">
        <v>65</v>
      </c>
      <c r="C98" s="109" t="s">
        <v>34</v>
      </c>
      <c r="D98" s="141">
        <v>1</v>
      </c>
      <c r="E98" s="121">
        <f t="shared" si="18"/>
        <v>4153.6593569606566</v>
      </c>
      <c r="F98" s="103"/>
      <c r="G98" s="96">
        <f t="shared" si="19"/>
        <v>1222.3406430393434</v>
      </c>
      <c r="H98" s="113"/>
      <c r="I98" s="121">
        <f t="shared" si="20"/>
        <v>5376</v>
      </c>
      <c r="J98" s="63"/>
      <c r="K98" s="112">
        <f t="shared" si="22"/>
        <v>5.0000000000000001E-3</v>
      </c>
      <c r="L98" s="280">
        <f t="shared" si="21"/>
        <v>5.0000000000000001E-3</v>
      </c>
    </row>
    <row r="99" spans="1:15" ht="18" customHeight="1" x14ac:dyDescent="0.2">
      <c r="A99" s="115" t="s">
        <v>132</v>
      </c>
      <c r="B99" s="64" t="s">
        <v>219</v>
      </c>
      <c r="C99" s="109" t="s">
        <v>34</v>
      </c>
      <c r="D99" s="141">
        <v>1</v>
      </c>
      <c r="E99" s="121">
        <f t="shared" si="18"/>
        <v>2076.8296784803283</v>
      </c>
      <c r="F99" s="104"/>
      <c r="G99" s="96">
        <f t="shared" si="19"/>
        <v>611.17032151967169</v>
      </c>
      <c r="H99" s="114"/>
      <c r="I99" s="121">
        <f t="shared" si="20"/>
        <v>2688</v>
      </c>
      <c r="J99" s="65"/>
      <c r="K99" s="112">
        <f>IF(D99=1,0.25%,IF(D99=0,0))</f>
        <v>2.5000000000000001E-3</v>
      </c>
      <c r="L99" s="280">
        <f t="shared" si="21"/>
        <v>2.5000000000000001E-3</v>
      </c>
    </row>
    <row r="100" spans="1:15" ht="18" customHeight="1" x14ac:dyDescent="0.2">
      <c r="A100" s="115" t="s">
        <v>133</v>
      </c>
      <c r="B100" s="62" t="s">
        <v>66</v>
      </c>
      <c r="C100" s="109" t="s">
        <v>34</v>
      </c>
      <c r="D100" s="141">
        <v>1</v>
      </c>
      <c r="E100" s="121">
        <f t="shared" si="18"/>
        <v>8307.3187139213132</v>
      </c>
      <c r="F100" s="103"/>
      <c r="G100" s="96">
        <f t="shared" si="19"/>
        <v>2444.6812860786868</v>
      </c>
      <c r="H100" s="113"/>
      <c r="I100" s="121">
        <f t="shared" si="20"/>
        <v>10752</v>
      </c>
      <c r="J100" s="63"/>
      <c r="K100" s="112">
        <f>IF(D100=1,1%,IF(D100=0,0))</f>
        <v>0.01</v>
      </c>
      <c r="L100" s="280">
        <f t="shared" si="21"/>
        <v>0.01</v>
      </c>
    </row>
    <row r="101" spans="1:15" ht="18" customHeight="1" x14ac:dyDescent="0.2">
      <c r="A101" s="115" t="s">
        <v>134</v>
      </c>
      <c r="B101" s="64" t="s">
        <v>67</v>
      </c>
      <c r="C101" s="109" t="s">
        <v>34</v>
      </c>
      <c r="D101" s="141">
        <v>1</v>
      </c>
      <c r="E101" s="121">
        <f t="shared" si="18"/>
        <v>8307.3187139213132</v>
      </c>
      <c r="F101" s="104"/>
      <c r="G101" s="96">
        <f t="shared" si="19"/>
        <v>2444.6812860786868</v>
      </c>
      <c r="H101" s="114"/>
      <c r="I101" s="121">
        <f t="shared" si="20"/>
        <v>10752</v>
      </c>
      <c r="J101" s="65"/>
      <c r="K101" s="112">
        <f>IF(D101=1,1%,IF(D101=0,0))</f>
        <v>0.01</v>
      </c>
      <c r="L101" s="280">
        <f t="shared" si="21"/>
        <v>0.01</v>
      </c>
      <c r="O101" s="279"/>
    </row>
    <row r="102" spans="1:15" ht="18" customHeight="1" x14ac:dyDescent="0.2">
      <c r="A102" s="115" t="s">
        <v>135</v>
      </c>
      <c r="B102" s="62" t="s">
        <v>68</v>
      </c>
      <c r="C102" s="109" t="s">
        <v>34</v>
      </c>
      <c r="D102" s="141">
        <v>1</v>
      </c>
      <c r="E102" s="121">
        <f t="shared" si="18"/>
        <v>2492.1956141763935</v>
      </c>
      <c r="F102" s="103"/>
      <c r="G102" s="96">
        <f t="shared" si="19"/>
        <v>733.40438582360639</v>
      </c>
      <c r="H102" s="113"/>
      <c r="I102" s="121">
        <f t="shared" si="20"/>
        <v>3225.6</v>
      </c>
      <c r="J102" s="63"/>
      <c r="K102" s="112">
        <f>IF(D102=1,0.3%,IF(D102=0,0))</f>
        <v>3.0000000000000001E-3</v>
      </c>
      <c r="L102" s="280">
        <f t="shared" si="21"/>
        <v>3.0000000000000001E-3</v>
      </c>
    </row>
    <row r="103" spans="1:15" ht="18" customHeight="1" x14ac:dyDescent="0.2">
      <c r="A103" s="115" t="s">
        <v>136</v>
      </c>
      <c r="B103" s="64" t="s">
        <v>69</v>
      </c>
      <c r="C103" s="109" t="s">
        <v>34</v>
      </c>
      <c r="D103" s="141">
        <v>1</v>
      </c>
      <c r="E103" s="121">
        <f t="shared" si="18"/>
        <v>2907.5615498724592</v>
      </c>
      <c r="F103" s="104"/>
      <c r="G103" s="96">
        <f t="shared" si="19"/>
        <v>855.63845012754064</v>
      </c>
      <c r="H103" s="114"/>
      <c r="I103" s="121">
        <f t="shared" si="20"/>
        <v>3763.2</v>
      </c>
      <c r="J103" s="65"/>
      <c r="K103" s="112">
        <f>IF(D103=1,0.35%,IF(D103=0,0))</f>
        <v>3.4999999999999996E-3</v>
      </c>
      <c r="L103" s="280">
        <f t="shared" si="21"/>
        <v>3.4999999999999996E-3</v>
      </c>
    </row>
    <row r="104" spans="1:15" ht="18" customHeight="1" x14ac:dyDescent="0.2">
      <c r="A104" s="115" t="s">
        <v>137</v>
      </c>
      <c r="B104" s="70" t="s">
        <v>70</v>
      </c>
      <c r="C104" s="109" t="s">
        <v>34</v>
      </c>
      <c r="D104" s="141">
        <v>1</v>
      </c>
      <c r="E104" s="121">
        <f t="shared" si="18"/>
        <v>4153.6593569606566</v>
      </c>
      <c r="F104" s="103"/>
      <c r="G104" s="96">
        <f t="shared" si="19"/>
        <v>1222.3406430393434</v>
      </c>
      <c r="H104" s="113"/>
      <c r="I104" s="121">
        <f t="shared" si="20"/>
        <v>5376</v>
      </c>
      <c r="J104" s="63"/>
      <c r="K104" s="112">
        <f>IF(D104=1,0.5%,IF(D104=0,0))</f>
        <v>5.0000000000000001E-3</v>
      </c>
      <c r="L104" s="280">
        <f t="shared" si="21"/>
        <v>5.0000000000000001E-3</v>
      </c>
    </row>
    <row r="105" spans="1:15" ht="18" customHeight="1" x14ac:dyDescent="0.2">
      <c r="A105" s="115" t="s">
        <v>138</v>
      </c>
      <c r="B105" s="71" t="s">
        <v>217</v>
      </c>
      <c r="C105" s="109" t="s">
        <v>34</v>
      </c>
      <c r="D105" s="141">
        <v>1</v>
      </c>
      <c r="E105" s="121">
        <f t="shared" si="18"/>
        <v>4153.6593569606566</v>
      </c>
      <c r="F105" s="104"/>
      <c r="G105" s="96">
        <f t="shared" si="19"/>
        <v>1222.3406430393434</v>
      </c>
      <c r="H105" s="114"/>
      <c r="I105" s="121">
        <f t="shared" si="20"/>
        <v>5376</v>
      </c>
      <c r="J105" s="65"/>
      <c r="K105" s="112">
        <f>IF(D105=1,0.5%,IF(D105=0,0))</f>
        <v>5.0000000000000001E-3</v>
      </c>
      <c r="L105" s="280">
        <f t="shared" si="21"/>
        <v>5.0000000000000001E-3</v>
      </c>
    </row>
    <row r="106" spans="1:15" ht="18" customHeight="1" x14ac:dyDescent="0.2">
      <c r="A106" s="115" t="s">
        <v>139</v>
      </c>
      <c r="B106" s="33" t="s">
        <v>71</v>
      </c>
      <c r="C106" s="109" t="s">
        <v>34</v>
      </c>
      <c r="D106" s="141">
        <v>1</v>
      </c>
      <c r="E106" s="121">
        <f t="shared" si="18"/>
        <v>6230.4890354409845</v>
      </c>
      <c r="F106" s="103"/>
      <c r="G106" s="96">
        <f t="shared" si="19"/>
        <v>1833.5109645590155</v>
      </c>
      <c r="H106" s="113"/>
      <c r="I106" s="121">
        <f t="shared" si="20"/>
        <v>8064</v>
      </c>
      <c r="J106" s="63"/>
      <c r="K106" s="112">
        <f>IF(D106=1,0.75%,IF(D106=0,0))</f>
        <v>7.4999999999999997E-3</v>
      </c>
      <c r="L106" s="280">
        <f t="shared" si="21"/>
        <v>7.4999999999999997E-3</v>
      </c>
    </row>
    <row r="107" spans="1:15" ht="18" customHeight="1" x14ac:dyDescent="0.2">
      <c r="A107" s="115" t="s">
        <v>140</v>
      </c>
      <c r="B107" s="26" t="s">
        <v>72</v>
      </c>
      <c r="C107" s="109" t="s">
        <v>34</v>
      </c>
      <c r="D107" s="141">
        <v>1</v>
      </c>
      <c r="E107" s="121">
        <f t="shared" si="18"/>
        <v>6645.8549711370506</v>
      </c>
      <c r="F107" s="104"/>
      <c r="G107" s="96">
        <f t="shared" si="19"/>
        <v>1955.7450288629498</v>
      </c>
      <c r="H107" s="114"/>
      <c r="I107" s="121">
        <f t="shared" si="20"/>
        <v>8601.6</v>
      </c>
      <c r="J107" s="65"/>
      <c r="K107" s="112">
        <f>IF(D107=1,0.8%,IF(D107=0,0))</f>
        <v>8.0000000000000002E-3</v>
      </c>
      <c r="L107" s="280">
        <f t="shared" si="21"/>
        <v>8.0000000000000002E-3</v>
      </c>
    </row>
    <row r="108" spans="1:15" ht="18" customHeight="1" x14ac:dyDescent="0.2">
      <c r="A108" s="115" t="s">
        <v>141</v>
      </c>
      <c r="B108" s="70" t="s">
        <v>73</v>
      </c>
      <c r="C108" s="109" t="s">
        <v>34</v>
      </c>
      <c r="D108" s="141">
        <v>1</v>
      </c>
      <c r="E108" s="121">
        <f t="shared" si="18"/>
        <v>4153.6593569606566</v>
      </c>
      <c r="F108" s="103"/>
      <c r="G108" s="96">
        <f t="shared" si="19"/>
        <v>1222.3406430393434</v>
      </c>
      <c r="H108" s="113"/>
      <c r="I108" s="121">
        <f t="shared" si="20"/>
        <v>5376</v>
      </c>
      <c r="J108" s="63"/>
      <c r="K108" s="112">
        <f>IF(D108=1,0.5%,IF(D108=0,0))</f>
        <v>5.0000000000000001E-3</v>
      </c>
      <c r="L108" s="280">
        <f t="shared" si="21"/>
        <v>5.0000000000000001E-3</v>
      </c>
    </row>
    <row r="109" spans="1:15" ht="18" customHeight="1" x14ac:dyDescent="0.2">
      <c r="A109" s="115" t="s">
        <v>142</v>
      </c>
      <c r="B109" s="71" t="s">
        <v>74</v>
      </c>
      <c r="C109" s="109" t="s">
        <v>34</v>
      </c>
      <c r="D109" s="141">
        <v>1</v>
      </c>
      <c r="E109" s="121">
        <f t="shared" si="18"/>
        <v>2492.1956141763935</v>
      </c>
      <c r="F109" s="104"/>
      <c r="G109" s="96">
        <f t="shared" si="19"/>
        <v>733.40438582360639</v>
      </c>
      <c r="H109" s="114"/>
      <c r="I109" s="121">
        <f t="shared" si="20"/>
        <v>3225.6</v>
      </c>
      <c r="J109" s="65"/>
      <c r="K109" s="112">
        <f>IF(D109=1,0.3%,IF(D109=0,0))</f>
        <v>3.0000000000000001E-3</v>
      </c>
      <c r="L109" s="280">
        <f t="shared" si="21"/>
        <v>3.0000000000000001E-3</v>
      </c>
    </row>
    <row r="110" spans="1:15" ht="18" customHeight="1" x14ac:dyDescent="0.2">
      <c r="A110" s="115" t="s">
        <v>143</v>
      </c>
      <c r="B110" s="70" t="s">
        <v>102</v>
      </c>
      <c r="C110" s="109" t="s">
        <v>34</v>
      </c>
      <c r="D110" s="141">
        <v>1</v>
      </c>
      <c r="E110" s="121">
        <f t="shared" si="18"/>
        <v>415.36593569606566</v>
      </c>
      <c r="F110" s="103"/>
      <c r="G110" s="96">
        <f t="shared" si="19"/>
        <v>122.23406430393436</v>
      </c>
      <c r="H110" s="113"/>
      <c r="I110" s="121">
        <f t="shared" si="20"/>
        <v>537.6</v>
      </c>
      <c r="J110" s="63"/>
      <c r="K110" s="112">
        <f>IF(D110=1,0.05%,IF(D110=0,0))</f>
        <v>5.0000000000000001E-4</v>
      </c>
      <c r="L110" s="280">
        <f t="shared" si="21"/>
        <v>5.0000000000000001E-4</v>
      </c>
    </row>
    <row r="111" spans="1:15" ht="18" customHeight="1" x14ac:dyDescent="0.2">
      <c r="A111" s="115" t="s">
        <v>144</v>
      </c>
      <c r="B111" s="71" t="s">
        <v>75</v>
      </c>
      <c r="C111" s="109" t="s">
        <v>34</v>
      </c>
      <c r="D111" s="141">
        <v>1</v>
      </c>
      <c r="E111" s="121">
        <f t="shared" si="18"/>
        <v>415.36593569606566</v>
      </c>
      <c r="F111" s="104"/>
      <c r="G111" s="96">
        <f t="shared" si="19"/>
        <v>122.23406430393436</v>
      </c>
      <c r="H111" s="114"/>
      <c r="I111" s="121">
        <f t="shared" si="20"/>
        <v>537.6</v>
      </c>
      <c r="J111" s="65"/>
      <c r="K111" s="112">
        <f t="shared" ref="K111:K113" si="23">IF(D111=1,0.05%,IF(D111=0,0))</f>
        <v>5.0000000000000001E-4</v>
      </c>
      <c r="L111" s="280">
        <f t="shared" si="21"/>
        <v>5.0000000000000001E-4</v>
      </c>
    </row>
    <row r="112" spans="1:15" ht="18" customHeight="1" x14ac:dyDescent="0.2">
      <c r="A112" s="115" t="s">
        <v>145</v>
      </c>
      <c r="B112" s="70" t="s">
        <v>76</v>
      </c>
      <c r="C112" s="109" t="s">
        <v>34</v>
      </c>
      <c r="D112" s="141">
        <v>1</v>
      </c>
      <c r="E112" s="121">
        <f t="shared" si="18"/>
        <v>415.36593569606566</v>
      </c>
      <c r="F112" s="103"/>
      <c r="G112" s="96">
        <f t="shared" si="19"/>
        <v>122.23406430393436</v>
      </c>
      <c r="H112" s="113"/>
      <c r="I112" s="121">
        <f t="shared" si="20"/>
        <v>537.6</v>
      </c>
      <c r="J112" s="63"/>
      <c r="K112" s="112">
        <f t="shared" si="23"/>
        <v>5.0000000000000001E-4</v>
      </c>
      <c r="L112" s="280">
        <f t="shared" si="21"/>
        <v>5.0000000000000001E-4</v>
      </c>
    </row>
    <row r="113" spans="1:15" ht="18" customHeight="1" x14ac:dyDescent="0.2">
      <c r="A113" s="115" t="s">
        <v>146</v>
      </c>
      <c r="B113" s="71" t="s">
        <v>77</v>
      </c>
      <c r="C113" s="109" t="s">
        <v>34</v>
      </c>
      <c r="D113" s="141">
        <v>1</v>
      </c>
      <c r="E113" s="121">
        <f t="shared" si="18"/>
        <v>415.36593569606566</v>
      </c>
      <c r="F113" s="104"/>
      <c r="G113" s="96">
        <f t="shared" si="19"/>
        <v>122.23406430393436</v>
      </c>
      <c r="H113" s="114"/>
      <c r="I113" s="121">
        <f t="shared" si="20"/>
        <v>537.6</v>
      </c>
      <c r="J113" s="65"/>
      <c r="K113" s="112">
        <f t="shared" si="23"/>
        <v>5.0000000000000001E-4</v>
      </c>
      <c r="L113" s="280">
        <f t="shared" si="21"/>
        <v>5.0000000000000001E-4</v>
      </c>
    </row>
    <row r="114" spans="1:15" ht="18" customHeight="1" x14ac:dyDescent="0.2">
      <c r="A114" s="115" t="s">
        <v>147</v>
      </c>
      <c r="B114" s="62" t="s">
        <v>51</v>
      </c>
      <c r="C114" s="109" t="s">
        <v>34</v>
      </c>
      <c r="D114" s="141">
        <v>1</v>
      </c>
      <c r="E114" s="121">
        <f t="shared" si="18"/>
        <v>415.36593569606566</v>
      </c>
      <c r="F114" s="103"/>
      <c r="G114" s="96">
        <f t="shared" si="19"/>
        <v>122.23406430393436</v>
      </c>
      <c r="H114" s="113"/>
      <c r="I114" s="121">
        <f t="shared" si="20"/>
        <v>537.6</v>
      </c>
      <c r="J114" s="63"/>
      <c r="K114" s="282">
        <f t="shared" ref="K114:K120" si="24">N114</f>
        <v>5.0000000000000001E-4</v>
      </c>
      <c r="L114" s="283">
        <f t="shared" ref="L114:L119" si="25">K114</f>
        <v>5.0000000000000001E-4</v>
      </c>
      <c r="M114" s="484" t="s">
        <v>241</v>
      </c>
      <c r="N114" s="291">
        <f t="shared" ref="N114:N120" si="26">IF(D114=1,O114,IF(D114=0,0%))</f>
        <v>5.0000000000000001E-4</v>
      </c>
      <c r="O114" s="281">
        <f>IF(N89=23.1%,0.05%,IF(N89&lt;23.1%,((0.05%*((23.1%-(23.1%-N89))/23.1%)))))</f>
        <v>5.0000000000000001E-4</v>
      </c>
    </row>
    <row r="115" spans="1:15" ht="18" customHeight="1" x14ac:dyDescent="0.2">
      <c r="A115" s="117" t="s">
        <v>147</v>
      </c>
      <c r="B115" s="71" t="s">
        <v>163</v>
      </c>
      <c r="C115" s="109" t="s">
        <v>34</v>
      </c>
      <c r="D115" s="141">
        <v>1</v>
      </c>
      <c r="E115" s="121">
        <f t="shared" si="18"/>
        <v>2076.8296784803283</v>
      </c>
      <c r="F115" s="104"/>
      <c r="G115" s="96">
        <f t="shared" si="19"/>
        <v>611.17032151967169</v>
      </c>
      <c r="H115" s="114"/>
      <c r="I115" s="121">
        <f t="shared" si="20"/>
        <v>2688</v>
      </c>
      <c r="J115" s="65"/>
      <c r="K115" s="282">
        <f t="shared" si="24"/>
        <v>2.5000000000000001E-3</v>
      </c>
      <c r="L115" s="283">
        <f t="shared" si="25"/>
        <v>2.5000000000000001E-3</v>
      </c>
      <c r="M115" s="484"/>
      <c r="N115" s="291">
        <f t="shared" si="26"/>
        <v>2.5000000000000001E-3</v>
      </c>
      <c r="O115" s="281">
        <f>IF(N89=23.1%,0.25%,IF(N89&lt;23.1%,((0.25%*((23.1%-(23.1%-N89))/23.1%)))))</f>
        <v>2.5000000000000001E-3</v>
      </c>
    </row>
    <row r="116" spans="1:15" ht="18" customHeight="1" x14ac:dyDescent="0.2">
      <c r="A116" s="117" t="s">
        <v>157</v>
      </c>
      <c r="B116" s="62" t="s">
        <v>162</v>
      </c>
      <c r="C116" s="109" t="s">
        <v>34</v>
      </c>
      <c r="D116" s="141">
        <v>1</v>
      </c>
      <c r="E116" s="121">
        <f t="shared" si="18"/>
        <v>4153.6593569606566</v>
      </c>
      <c r="F116" s="103"/>
      <c r="G116" s="96">
        <f t="shared" si="19"/>
        <v>1222.3406430393434</v>
      </c>
      <c r="H116" s="113"/>
      <c r="I116" s="121">
        <f t="shared" si="20"/>
        <v>5376</v>
      </c>
      <c r="J116" s="63"/>
      <c r="K116" s="282">
        <f t="shared" si="24"/>
        <v>5.0000000000000001E-3</v>
      </c>
      <c r="L116" s="283">
        <f t="shared" si="25"/>
        <v>5.0000000000000001E-3</v>
      </c>
      <c r="M116" s="484"/>
      <c r="N116" s="291">
        <f t="shared" si="26"/>
        <v>5.0000000000000001E-3</v>
      </c>
      <c r="O116" s="281">
        <f>IF(N89=23.1%,0.5%,IF(N89&lt;23.1%,((0.5%*((23.1%-(23.1%-N89))/23.1%)))))</f>
        <v>5.0000000000000001E-3</v>
      </c>
    </row>
    <row r="117" spans="1:15" ht="18" customHeight="1" x14ac:dyDescent="0.2">
      <c r="A117" s="117" t="s">
        <v>158</v>
      </c>
      <c r="B117" s="64" t="s">
        <v>156</v>
      </c>
      <c r="C117" s="109" t="s">
        <v>34</v>
      </c>
      <c r="D117" s="141">
        <v>1</v>
      </c>
      <c r="E117" s="121">
        <f t="shared" si="18"/>
        <v>2076.8296784803283</v>
      </c>
      <c r="F117" s="104"/>
      <c r="G117" s="96">
        <f t="shared" si="19"/>
        <v>611.17032151967169</v>
      </c>
      <c r="H117" s="114"/>
      <c r="I117" s="121">
        <f t="shared" si="20"/>
        <v>2688</v>
      </c>
      <c r="J117" s="65"/>
      <c r="K117" s="282">
        <f t="shared" si="24"/>
        <v>2.5000000000000001E-3</v>
      </c>
      <c r="L117" s="283">
        <f t="shared" si="25"/>
        <v>2.5000000000000001E-3</v>
      </c>
      <c r="M117" s="484"/>
      <c r="N117" s="291">
        <f t="shared" si="26"/>
        <v>2.5000000000000001E-3</v>
      </c>
      <c r="O117" s="281">
        <f>IF(N89=23.1%,0.25%,IF(N89&lt;23.1%,((0.25%*((23.1%-(23.1%-N89))/23.1%)))))</f>
        <v>2.5000000000000001E-3</v>
      </c>
    </row>
    <row r="118" spans="1:15" ht="18" customHeight="1" x14ac:dyDescent="0.2">
      <c r="A118" s="117" t="s">
        <v>159</v>
      </c>
      <c r="B118" s="62" t="s">
        <v>78</v>
      </c>
      <c r="C118" s="109" t="s">
        <v>34</v>
      </c>
      <c r="D118" s="141">
        <v>1</v>
      </c>
      <c r="E118" s="121">
        <f t="shared" si="18"/>
        <v>2076.8296784803283</v>
      </c>
      <c r="F118" s="103"/>
      <c r="G118" s="96">
        <f t="shared" si="19"/>
        <v>611.17032151967169</v>
      </c>
      <c r="H118" s="113"/>
      <c r="I118" s="121">
        <f t="shared" si="20"/>
        <v>2688</v>
      </c>
      <c r="J118" s="63"/>
      <c r="K118" s="282">
        <f t="shared" si="24"/>
        <v>2.5000000000000001E-3</v>
      </c>
      <c r="L118" s="283">
        <f>K118</f>
        <v>2.5000000000000001E-3</v>
      </c>
      <c r="M118" s="484"/>
      <c r="N118" s="291">
        <f t="shared" si="26"/>
        <v>2.5000000000000001E-3</v>
      </c>
      <c r="O118" s="281">
        <f>IF(N89=23.1%,0.25%,IF(N89&lt;23.1%,((0.25%*((23.1%-(23.1%-N89))/23.1%)))))</f>
        <v>2.5000000000000001E-3</v>
      </c>
    </row>
    <row r="119" spans="1:15" ht="18" customHeight="1" x14ac:dyDescent="0.2">
      <c r="A119" s="115" t="s">
        <v>160</v>
      </c>
      <c r="B119" s="64" t="s">
        <v>50</v>
      </c>
      <c r="C119" s="109" t="s">
        <v>34</v>
      </c>
      <c r="D119" s="141">
        <v>1</v>
      </c>
      <c r="E119" s="121">
        <f t="shared" si="18"/>
        <v>415.36593569606566</v>
      </c>
      <c r="F119" s="104"/>
      <c r="G119" s="96">
        <f t="shared" si="19"/>
        <v>122.23406430393436</v>
      </c>
      <c r="H119" s="114"/>
      <c r="I119" s="121">
        <f t="shared" si="20"/>
        <v>537.6</v>
      </c>
      <c r="J119" s="65"/>
      <c r="K119" s="282">
        <f t="shared" si="24"/>
        <v>5.0000000000000001E-4</v>
      </c>
      <c r="L119" s="283">
        <f t="shared" si="25"/>
        <v>5.0000000000000001E-4</v>
      </c>
      <c r="M119" s="484"/>
      <c r="N119" s="291">
        <f t="shared" si="26"/>
        <v>5.0000000000000001E-4</v>
      </c>
      <c r="O119" s="281">
        <f>IF(N89=23.1%,0.05%,IF(N89&lt;23.1%,((0.05%*((23.1%-(23.1%-N89))/23.1%)))))</f>
        <v>5.0000000000000001E-4</v>
      </c>
    </row>
    <row r="120" spans="1:15" ht="18" customHeight="1" x14ac:dyDescent="0.2">
      <c r="A120" s="115" t="s">
        <v>161</v>
      </c>
      <c r="B120" s="62" t="s">
        <v>52</v>
      </c>
      <c r="C120" s="109" t="s">
        <v>34</v>
      </c>
      <c r="D120" s="141">
        <v>1</v>
      </c>
      <c r="E120" s="121">
        <f t="shared" si="18"/>
        <v>415.36593569606566</v>
      </c>
      <c r="F120" s="103"/>
      <c r="G120" s="96">
        <f t="shared" si="19"/>
        <v>122.23406430393436</v>
      </c>
      <c r="H120" s="113"/>
      <c r="I120" s="121">
        <f t="shared" si="20"/>
        <v>537.6</v>
      </c>
      <c r="J120" s="63"/>
      <c r="K120" s="282">
        <f t="shared" si="24"/>
        <v>5.0000000000000001E-4</v>
      </c>
      <c r="L120" s="283">
        <f t="shared" si="21"/>
        <v>5.0000000000000001E-4</v>
      </c>
      <c r="M120" s="484"/>
      <c r="N120" s="291">
        <f t="shared" si="26"/>
        <v>5.0000000000000001E-4</v>
      </c>
      <c r="O120" s="281">
        <f>IF(N89=23.1%,0.05%,IF(N89&lt;23.1%,((0.05%*((23.1%-(23.1%-N89))/23.1%)))))</f>
        <v>5.0000000000000001E-4</v>
      </c>
    </row>
    <row r="121" spans="1:15" ht="18" customHeight="1" x14ac:dyDescent="0.2">
      <c r="A121" s="115" t="s">
        <v>179</v>
      </c>
      <c r="B121" s="64" t="s">
        <v>180</v>
      </c>
      <c r="C121" s="109" t="s">
        <v>34</v>
      </c>
      <c r="D121" s="141">
        <v>1</v>
      </c>
      <c r="E121" s="121">
        <f t="shared" si="18"/>
        <v>4153.6593569606566</v>
      </c>
      <c r="F121" s="104"/>
      <c r="G121" s="96">
        <f t="shared" si="19"/>
        <v>1222.3406430393434</v>
      </c>
      <c r="H121" s="114"/>
      <c r="I121" s="121">
        <f t="shared" si="20"/>
        <v>5376</v>
      </c>
      <c r="J121" s="65"/>
      <c r="K121" s="112">
        <f>IF(D121=1,0.5%,IF(D121=0,0))</f>
        <v>5.0000000000000001E-3</v>
      </c>
      <c r="L121" s="280">
        <f t="shared" si="21"/>
        <v>5.0000000000000001E-3</v>
      </c>
    </row>
    <row r="122" spans="1:15" ht="18" customHeight="1" x14ac:dyDescent="0.2">
      <c r="A122" s="9"/>
      <c r="B122" s="28"/>
      <c r="C122" s="10"/>
      <c r="D122" s="11"/>
      <c r="E122" s="12"/>
      <c r="F122" s="12"/>
      <c r="G122" s="12"/>
      <c r="H122" s="12"/>
      <c r="I122" s="12"/>
      <c r="J122" s="12"/>
      <c r="K122" s="13"/>
    </row>
    <row r="123" spans="1:15" ht="18" customHeight="1" x14ac:dyDescent="0.2">
      <c r="A123" s="106" t="s">
        <v>25</v>
      </c>
      <c r="B123" s="106" t="s">
        <v>152</v>
      </c>
      <c r="C123" s="106"/>
      <c r="D123" s="107"/>
      <c r="E123" s="251">
        <f>SUM(E124:E129)</f>
        <v>83073.187139213129</v>
      </c>
      <c r="F123" s="252"/>
      <c r="G123" s="251">
        <f>I123-E123</f>
        <v>24446.812860786871</v>
      </c>
      <c r="H123" s="252"/>
      <c r="I123" s="266">
        <f>SUM(I124:I129)</f>
        <v>107520</v>
      </c>
      <c r="J123" s="250"/>
      <c r="K123" s="69">
        <f>SUM(K124:K129)</f>
        <v>0.1</v>
      </c>
      <c r="L123" s="111">
        <f>SUM(L124:L129)</f>
        <v>0.1</v>
      </c>
    </row>
    <row r="124" spans="1:15" ht="18" customHeight="1" x14ac:dyDescent="0.2">
      <c r="A124" s="108" t="s">
        <v>20</v>
      </c>
      <c r="B124" s="110" t="s">
        <v>243</v>
      </c>
      <c r="C124" s="109" t="s">
        <v>34</v>
      </c>
      <c r="D124" s="141">
        <v>1</v>
      </c>
      <c r="E124" s="121">
        <f t="shared" ref="E124:E129" si="27">(I124/(1+$G$19))</f>
        <v>2076.8296784803283</v>
      </c>
      <c r="F124" s="103"/>
      <c r="G124" s="96">
        <f t="shared" ref="G124:G129" si="28">I124-E124</f>
        <v>611.17032151967169</v>
      </c>
      <c r="H124" s="99"/>
      <c r="I124" s="121">
        <f t="shared" ref="I124:I129" si="29">L124*$K$19</f>
        <v>2688</v>
      </c>
      <c r="J124" s="103"/>
      <c r="K124" s="248">
        <f>IF(D124=1,0.25%,IF(D124=0,0))</f>
        <v>2.5000000000000001E-3</v>
      </c>
      <c r="L124" s="280">
        <f t="shared" ref="L124:L129" si="30">K124</f>
        <v>2.5000000000000001E-3</v>
      </c>
    </row>
    <row r="125" spans="1:15" ht="18" customHeight="1" x14ac:dyDescent="0.2">
      <c r="A125" s="108" t="s">
        <v>2</v>
      </c>
      <c r="B125" s="110" t="s">
        <v>149</v>
      </c>
      <c r="C125" s="109" t="s">
        <v>34</v>
      </c>
      <c r="D125" s="141">
        <v>1</v>
      </c>
      <c r="E125" s="121">
        <f t="shared" si="27"/>
        <v>2076.8296784803283</v>
      </c>
      <c r="F125" s="104"/>
      <c r="G125" s="96">
        <f t="shared" si="28"/>
        <v>611.17032151967169</v>
      </c>
      <c r="H125" s="100"/>
      <c r="I125" s="121">
        <f t="shared" si="29"/>
        <v>2688</v>
      </c>
      <c r="J125" s="104"/>
      <c r="K125" s="248">
        <f>IF(D125=1,0.25%,IF(D125=0,0))</f>
        <v>2.5000000000000001E-3</v>
      </c>
      <c r="L125" s="280">
        <f t="shared" si="30"/>
        <v>2.5000000000000001E-3</v>
      </c>
    </row>
    <row r="126" spans="1:15" ht="18" customHeight="1" x14ac:dyDescent="0.2">
      <c r="A126" s="108" t="s">
        <v>83</v>
      </c>
      <c r="B126" s="110" t="s">
        <v>54</v>
      </c>
      <c r="C126" s="109" t="s">
        <v>34</v>
      </c>
      <c r="D126" s="141">
        <v>1</v>
      </c>
      <c r="E126" s="121">
        <f t="shared" si="27"/>
        <v>41536.593569606564</v>
      </c>
      <c r="F126" s="103"/>
      <c r="G126" s="96">
        <f t="shared" si="28"/>
        <v>12223.406430393436</v>
      </c>
      <c r="H126" s="99"/>
      <c r="I126" s="121">
        <f t="shared" si="29"/>
        <v>53760</v>
      </c>
      <c r="J126" s="103"/>
      <c r="K126" s="248">
        <f>IF(D126=1,5%,IF(D126=0,0))</f>
        <v>0.05</v>
      </c>
      <c r="L126" s="280">
        <f>K126</f>
        <v>0.05</v>
      </c>
    </row>
    <row r="127" spans="1:15" ht="18" customHeight="1" x14ac:dyDescent="0.2">
      <c r="A127" s="108" t="s">
        <v>83</v>
      </c>
      <c r="B127" s="110" t="s">
        <v>150</v>
      </c>
      <c r="C127" s="109" t="s">
        <v>34</v>
      </c>
      <c r="D127" s="141">
        <v>1</v>
      </c>
      <c r="E127" s="121">
        <f t="shared" si="27"/>
        <v>16614.637427842626</v>
      </c>
      <c r="F127" s="104"/>
      <c r="G127" s="96">
        <f t="shared" si="28"/>
        <v>4889.3625721573735</v>
      </c>
      <c r="H127" s="100"/>
      <c r="I127" s="121">
        <f t="shared" si="29"/>
        <v>21504</v>
      </c>
      <c r="J127" s="104"/>
      <c r="K127" s="248">
        <f>IF(D127=1,2%,IF(D127=0,0))</f>
        <v>0.02</v>
      </c>
      <c r="L127" s="280">
        <f t="shared" si="30"/>
        <v>0.02</v>
      </c>
    </row>
    <row r="128" spans="1:15" ht="18" customHeight="1" x14ac:dyDescent="0.2">
      <c r="A128" s="108" t="s">
        <v>33</v>
      </c>
      <c r="B128" s="110" t="s">
        <v>151</v>
      </c>
      <c r="C128" s="109" t="s">
        <v>34</v>
      </c>
      <c r="D128" s="141">
        <v>1</v>
      </c>
      <c r="E128" s="121">
        <f t="shared" si="27"/>
        <v>16614.637427842626</v>
      </c>
      <c r="F128" s="103"/>
      <c r="G128" s="96">
        <f t="shared" si="28"/>
        <v>4889.3625721573735</v>
      </c>
      <c r="H128" s="99"/>
      <c r="I128" s="121">
        <f t="shared" si="29"/>
        <v>21504</v>
      </c>
      <c r="J128" s="103"/>
      <c r="K128" s="248">
        <f>IF(D128=1,2%,IF(D128=0,0))</f>
        <v>0.02</v>
      </c>
      <c r="L128" s="280">
        <f t="shared" si="30"/>
        <v>0.02</v>
      </c>
    </row>
    <row r="129" spans="1:16" ht="18" customHeight="1" x14ac:dyDescent="0.2">
      <c r="A129" s="108" t="s">
        <v>211</v>
      </c>
      <c r="B129" s="110" t="s">
        <v>79</v>
      </c>
      <c r="C129" s="109" t="s">
        <v>34</v>
      </c>
      <c r="D129" s="141">
        <v>1</v>
      </c>
      <c r="E129" s="121">
        <f t="shared" si="27"/>
        <v>4153.6593569606566</v>
      </c>
      <c r="F129" s="104"/>
      <c r="G129" s="96">
        <f t="shared" si="28"/>
        <v>1222.3406430393434</v>
      </c>
      <c r="H129" s="100"/>
      <c r="I129" s="121">
        <f t="shared" si="29"/>
        <v>5376</v>
      </c>
      <c r="J129" s="104"/>
      <c r="K129" s="248">
        <f t="shared" ref="K129" si="31">IF(D129=1,0.5%,IF(D129=0,0))</f>
        <v>5.0000000000000001E-3</v>
      </c>
      <c r="L129" s="280">
        <f t="shared" si="30"/>
        <v>5.0000000000000001E-3</v>
      </c>
    </row>
    <row r="130" spans="1:16" ht="18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6" ht="18" customHeight="1" x14ac:dyDescent="0.2">
      <c r="A131" s="468" t="s">
        <v>234</v>
      </c>
      <c r="B131" s="469"/>
      <c r="C131" s="469"/>
      <c r="D131" s="469"/>
      <c r="E131" s="469"/>
      <c r="F131" s="469"/>
      <c r="G131" s="469"/>
      <c r="H131" s="276"/>
      <c r="I131" s="273">
        <f>L12</f>
        <v>1075200.0000000005</v>
      </c>
      <c r="J131" s="277"/>
      <c r="K131" s="274" t="s">
        <v>235</v>
      </c>
      <c r="L131" s="275" t="s">
        <v>235</v>
      </c>
    </row>
    <row r="132" spans="1:16" ht="18" customHeight="1" x14ac:dyDescent="0.2">
      <c r="A132" s="464" t="s">
        <v>223</v>
      </c>
      <c r="B132" s="464"/>
      <c r="C132" s="464"/>
      <c r="D132" s="464"/>
      <c r="E132" s="464"/>
      <c r="F132" s="464"/>
      <c r="G132" s="465"/>
      <c r="H132" s="466"/>
      <c r="I132" s="481">
        <f>I123+I89+I57+I30+I21</f>
        <v>1075200</v>
      </c>
      <c r="J132" s="462"/>
      <c r="K132" s="480" t="s">
        <v>238</v>
      </c>
      <c r="L132" s="278">
        <f>I131-I132</f>
        <v>0</v>
      </c>
      <c r="N132" s="271"/>
    </row>
    <row r="133" spans="1:16" ht="18" customHeight="1" x14ac:dyDescent="0.2">
      <c r="A133" s="464"/>
      <c r="B133" s="464"/>
      <c r="C133" s="464"/>
      <c r="D133" s="464"/>
      <c r="E133" s="464"/>
      <c r="F133" s="464"/>
      <c r="G133" s="465"/>
      <c r="H133" s="467"/>
      <c r="I133" s="481"/>
      <c r="J133" s="463"/>
      <c r="K133" s="480"/>
      <c r="L133" s="272">
        <f>1-(I132/I131)</f>
        <v>0</v>
      </c>
    </row>
    <row r="134" spans="1:16" ht="63.6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3"/>
      <c r="J134" s="73"/>
      <c r="K134" s="74"/>
      <c r="L134" s="75"/>
    </row>
    <row r="135" spans="1:16" x14ac:dyDescent="0.2">
      <c r="B135" s="37"/>
      <c r="C135" s="37"/>
      <c r="D135" s="37"/>
      <c r="E135" s="37"/>
      <c r="F135" s="37"/>
      <c r="G135" s="37"/>
      <c r="H135" s="37"/>
      <c r="I135" s="37"/>
      <c r="J135" s="37"/>
      <c r="L135" s="32"/>
      <c r="M135" s="183"/>
      <c r="N135" s="61"/>
      <c r="O135" s="61"/>
    </row>
    <row r="136" spans="1:16" x14ac:dyDescent="0.2">
      <c r="A136" s="33"/>
      <c r="B136" s="37"/>
      <c r="C136" s="37"/>
      <c r="D136" s="37"/>
      <c r="E136" s="37"/>
      <c r="F136" s="37"/>
      <c r="G136" s="37"/>
      <c r="H136" s="37"/>
      <c r="I136" s="37"/>
      <c r="J136" s="37"/>
      <c r="L136" s="32"/>
      <c r="M136" s="61"/>
      <c r="N136" s="61"/>
      <c r="O136" s="61"/>
    </row>
    <row r="137" spans="1:16" x14ac:dyDescent="0.2">
      <c r="H137" s="37"/>
      <c r="I137" s="37"/>
      <c r="J137" s="37"/>
      <c r="L137" s="32"/>
      <c r="M137" s="61"/>
      <c r="N137" s="61"/>
      <c r="O137" s="184"/>
    </row>
    <row r="138" spans="1:16" ht="26.25" customHeight="1" x14ac:dyDescent="0.2">
      <c r="B138" s="33"/>
      <c r="C138" s="33"/>
      <c r="D138" s="34"/>
      <c r="E138" s="34"/>
      <c r="F138" s="34"/>
      <c r="G138" s="34"/>
      <c r="H138" s="37"/>
      <c r="I138" s="37"/>
      <c r="J138" s="37"/>
      <c r="P138" s="243"/>
    </row>
    <row r="139" spans="1:16" x14ac:dyDescent="0.2">
      <c r="P139" s="61"/>
    </row>
    <row r="140" spans="1:16" x14ac:dyDescent="0.2">
      <c r="H140" s="476" t="s">
        <v>210</v>
      </c>
      <c r="I140" s="476"/>
      <c r="J140" s="476"/>
      <c r="K140" s="476"/>
      <c r="L140" s="476"/>
      <c r="P140" s="61"/>
    </row>
    <row r="141" spans="1:16" x14ac:dyDescent="0.2">
      <c r="C141" s="35"/>
      <c r="H141" s="475" t="s">
        <v>205</v>
      </c>
      <c r="I141" s="475"/>
      <c r="J141" s="475"/>
      <c r="K141" s="247">
        <f>L141/$I$132</f>
        <v>0.35149999999999998</v>
      </c>
      <c r="L141" s="186">
        <f>I22+I25+I31+I32+I33+I58+I59+I60+I87+I90+I91+I92+I121</f>
        <v>377932.79999999999</v>
      </c>
      <c r="P141" s="61"/>
    </row>
    <row r="142" spans="1:16" x14ac:dyDescent="0.2">
      <c r="H142" s="475" t="s">
        <v>168</v>
      </c>
      <c r="I142" s="475"/>
      <c r="J142" s="475"/>
      <c r="K142" s="247">
        <f t="shared" ref="K142:K152" si="32">L142/$I$132</f>
        <v>0.2</v>
      </c>
      <c r="L142" s="186">
        <f>I35+I36+I37+I62+I63+I64+I94+I95+I96</f>
        <v>215040</v>
      </c>
      <c r="P142" s="61"/>
    </row>
    <row r="143" spans="1:16" x14ac:dyDescent="0.2">
      <c r="H143" s="475" t="s">
        <v>169</v>
      </c>
      <c r="I143" s="475"/>
      <c r="J143" s="475"/>
      <c r="K143" s="247">
        <f t="shared" si="32"/>
        <v>8.3500000000000005E-2</v>
      </c>
      <c r="L143" s="186">
        <f>I41+I42+I43+I52+I68+I69+I70+I79+I100+I101+I102+I111</f>
        <v>89779.200000000012</v>
      </c>
      <c r="P143" s="61"/>
    </row>
    <row r="144" spans="1:16" ht="11.25" customHeight="1" x14ac:dyDescent="0.2">
      <c r="H144" s="474" t="s">
        <v>170</v>
      </c>
      <c r="I144" s="474"/>
      <c r="J144" s="474"/>
      <c r="K144" s="247">
        <f t="shared" si="32"/>
        <v>3.85E-2</v>
      </c>
      <c r="L144" s="186">
        <f>I71+I72+I103+I104+I44+I45</f>
        <v>41395.199999999997</v>
      </c>
      <c r="P144" s="61"/>
    </row>
    <row r="145" spans="1:16" x14ac:dyDescent="0.2">
      <c r="H145" s="474" t="s">
        <v>171</v>
      </c>
      <c r="I145" s="474"/>
      <c r="J145" s="474"/>
      <c r="K145" s="247">
        <f t="shared" si="32"/>
        <v>5.3499999999999999E-2</v>
      </c>
      <c r="L145" s="186">
        <f>I38+I39+I40+I65+I66+I67+I97+I98+I99</f>
        <v>57523.199999999997</v>
      </c>
      <c r="P145" s="244"/>
    </row>
    <row r="146" spans="1:16" x14ac:dyDescent="0.2">
      <c r="H146" s="474" t="s">
        <v>172</v>
      </c>
      <c r="I146" s="474"/>
      <c r="J146" s="474"/>
      <c r="K146" s="247">
        <f t="shared" si="32"/>
        <v>5.1000000000000004E-2</v>
      </c>
      <c r="L146" s="186">
        <f>I47+I48+I74+I75+I106+I107</f>
        <v>54835.200000000004</v>
      </c>
      <c r="P146" s="61"/>
    </row>
    <row r="147" spans="1:16" x14ac:dyDescent="0.2">
      <c r="A147" s="16"/>
      <c r="B147" s="16"/>
      <c r="C147" s="16"/>
      <c r="D147" s="16"/>
      <c r="E147" s="16"/>
      <c r="F147" s="16"/>
      <c r="G147" s="16"/>
      <c r="H147" s="474" t="s">
        <v>173</v>
      </c>
      <c r="I147" s="474"/>
      <c r="J147" s="474"/>
      <c r="K147" s="247">
        <f t="shared" si="32"/>
        <v>2.75E-2</v>
      </c>
      <c r="L147" s="186">
        <f>I76+I108+I49</f>
        <v>29568</v>
      </c>
      <c r="P147" s="61"/>
    </row>
    <row r="148" spans="1:16" x14ac:dyDescent="0.2">
      <c r="H148" s="475" t="s">
        <v>175</v>
      </c>
      <c r="I148" s="475"/>
      <c r="J148" s="475"/>
      <c r="K148" s="247">
        <f t="shared" si="32"/>
        <v>5.9500000000000129E-2</v>
      </c>
      <c r="L148" s="186">
        <f>I132-N148</f>
        <v>63974.40000000014</v>
      </c>
      <c r="M148" s="36" t="s">
        <v>221</v>
      </c>
      <c r="N148" s="182">
        <f>SUM(L141+L142+L143+L144+L145+L146+L147+L149+L150)</f>
        <v>1011225.5999999999</v>
      </c>
      <c r="P148" s="61"/>
    </row>
    <row r="149" spans="1:16" ht="24" customHeight="1" x14ac:dyDescent="0.2">
      <c r="H149" s="477" t="s">
        <v>152</v>
      </c>
      <c r="I149" s="478"/>
      <c r="J149" s="479"/>
      <c r="K149" s="247">
        <f t="shared" si="32"/>
        <v>0.1</v>
      </c>
      <c r="L149" s="186">
        <f>I123</f>
        <v>107520</v>
      </c>
    </row>
    <row r="150" spans="1:16" ht="18.75" customHeight="1" x14ac:dyDescent="0.2">
      <c r="H150" s="474" t="s">
        <v>174</v>
      </c>
      <c r="I150" s="474"/>
      <c r="J150" s="474"/>
      <c r="K150" s="247">
        <f t="shared" si="32"/>
        <v>3.5000000000000003E-2</v>
      </c>
      <c r="L150" s="186">
        <f>I55+I82+I83+I84+I85+I86+I114+I115+I116+I117+I118+I119+I120</f>
        <v>37632</v>
      </c>
    </row>
    <row r="151" spans="1:16" x14ac:dyDescent="0.2">
      <c r="H151" s="34"/>
      <c r="I151" s="34"/>
      <c r="J151" s="34"/>
    </row>
    <row r="152" spans="1:16" x14ac:dyDescent="0.2">
      <c r="A152" s="16"/>
      <c r="B152" s="16"/>
      <c r="C152" s="16"/>
      <c r="D152" s="16"/>
      <c r="E152" s="16"/>
      <c r="F152" s="16"/>
      <c r="G152" s="16"/>
      <c r="H152" s="457" t="s">
        <v>222</v>
      </c>
      <c r="I152" s="457"/>
      <c r="J152" s="457"/>
      <c r="K152" s="247">
        <f t="shared" si="32"/>
        <v>1</v>
      </c>
      <c r="L152" s="182">
        <f>SUM(L141:L150)</f>
        <v>1075200</v>
      </c>
      <c r="M152" s="61"/>
      <c r="N152" s="245"/>
      <c r="O152" s="246"/>
      <c r="P152" s="61"/>
    </row>
    <row r="154" spans="1:16" x14ac:dyDescent="0.2">
      <c r="H154" s="16"/>
      <c r="I154" s="16"/>
      <c r="J154" s="16"/>
      <c r="K154" s="16"/>
    </row>
  </sheetData>
  <sheetProtection algorithmName="SHA-512" hashValue="5qUjLsUjH3cVv4RGCcWSUtksQv9vhVib7kl1fjoov/fIz4lJiSztWvPd+Y98H9fKsf0b5PMRFLSFb8APkudrYQ==" saltValue="6q0AriQ3svUqNYushm6ZrQ==" spinCount="100000" sheet="1" selectLockedCells="1"/>
  <customSheetViews>
    <customSheetView guid="{77FD295D-1BCD-41C6-B306-76E0FF93C8E4}" showPageBreaks="1" printArea="1" topLeftCell="A17">
      <selection activeCell="M24" sqref="M24"/>
      <pageMargins left="0.19685039370078741" right="0.19685039370078741" top="0.55118110236220474" bottom="0.35433070866141736" header="0" footer="0"/>
      <printOptions horizontalCentered="1"/>
      <pageSetup paperSize="8" scale="85" fitToHeight="0" orientation="landscape" verticalDpi="598" r:id="rId1"/>
      <headerFooter alignWithMargins="0">
        <oddFooter>&amp;R&amp;"Verdana,Negrito itálico"&amp;10Página &amp;P de &amp;N</oddFooter>
      </headerFooter>
    </customSheetView>
  </customSheetViews>
  <mergeCells count="42">
    <mergeCell ref="M30:M31"/>
    <mergeCell ref="N30:N31"/>
    <mergeCell ref="M114:M120"/>
    <mergeCell ref="M89:M90"/>
    <mergeCell ref="N89:N90"/>
    <mergeCell ref="M57:M58"/>
    <mergeCell ref="N57:N58"/>
    <mergeCell ref="M82:M86"/>
    <mergeCell ref="H146:J146"/>
    <mergeCell ref="H147:J147"/>
    <mergeCell ref="H148:J148"/>
    <mergeCell ref="H149:J149"/>
    <mergeCell ref="K132:K133"/>
    <mergeCell ref="I132:I133"/>
    <mergeCell ref="H152:J152"/>
    <mergeCell ref="G18:H18"/>
    <mergeCell ref="G19:H19"/>
    <mergeCell ref="J132:J133"/>
    <mergeCell ref="A132:G133"/>
    <mergeCell ref="H132:H133"/>
    <mergeCell ref="A131:G131"/>
    <mergeCell ref="E18:F19"/>
    <mergeCell ref="I18:J19"/>
    <mergeCell ref="H150:J150"/>
    <mergeCell ref="H141:J141"/>
    <mergeCell ref="H142:J142"/>
    <mergeCell ref="H143:J143"/>
    <mergeCell ref="H144:J144"/>
    <mergeCell ref="H145:J145"/>
    <mergeCell ref="H140:L140"/>
    <mergeCell ref="N5:N11"/>
    <mergeCell ref="A16:K16"/>
    <mergeCell ref="C18:C19"/>
    <mergeCell ref="A18:A19"/>
    <mergeCell ref="D18:D19"/>
    <mergeCell ref="B18:B19"/>
    <mergeCell ref="M5:M11"/>
    <mergeCell ref="E11:K11"/>
    <mergeCell ref="L18:L19"/>
    <mergeCell ref="A17:L17"/>
    <mergeCell ref="E12:I12"/>
    <mergeCell ref="I14:J14"/>
  </mergeCells>
  <phoneticPr fontId="0" type="noConversion"/>
  <printOptions horizontalCentered="1" verticalCentered="1"/>
  <pageMargins left="0.19685039370078741" right="0.19685039370078741" top="0.55118110236220474" bottom="0.35433070866141736" header="0" footer="0"/>
  <pageSetup paperSize="8" fitToHeight="0" orientation="landscape" verticalDpi="598" r:id="rId2"/>
  <headerFooter alignWithMargins="0">
    <oddHeader xml:space="preserve">&amp;L  </oddHeader>
    <oddFooter>&amp;R&amp;"Verdana,Negrito itálico"Página &amp;P de &amp;N</oddFooter>
  </headerFooter>
  <rowBreaks count="4" manualBreakCount="4">
    <brk id="29" max="11" man="1"/>
    <brk id="55" max="11" man="1"/>
    <brk id="87" max="11" man="1"/>
    <brk id="121" max="16383" man="1"/>
  </rowBreaks>
  <ignoredErrors>
    <ignoredError sqref="K80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39CA-2233-4B65-B933-B0AAD46C058E}">
  <sheetPr>
    <pageSetUpPr fitToPage="1"/>
  </sheetPr>
  <dimension ref="A1:AY41"/>
  <sheetViews>
    <sheetView zoomScale="85" zoomScaleNormal="85" workbookViewId="0">
      <selection activeCell="B26" sqref="B26"/>
    </sheetView>
  </sheetViews>
  <sheetFormatPr defaultColWidth="9.140625" defaultRowHeight="12.75" x14ac:dyDescent="0.2"/>
  <cols>
    <col min="1" max="1" width="6.42578125" customWidth="1"/>
    <col min="2" max="2" width="70.7109375" customWidth="1"/>
    <col min="3" max="3" width="13.140625" customWidth="1"/>
    <col min="4" max="4" width="9.5703125" customWidth="1"/>
    <col min="5" max="5" width="14.28515625" customWidth="1"/>
    <col min="6" max="6" width="15.140625" customWidth="1"/>
    <col min="7" max="7" width="24.42578125" customWidth="1"/>
    <col min="8" max="8" width="21.7109375" customWidth="1"/>
    <col min="9" max="9" width="18.7109375" customWidth="1"/>
    <col min="10" max="10" width="24.42578125" customWidth="1"/>
    <col min="11" max="13" width="0" hidden="1" customWidth="1"/>
    <col min="14" max="14" width="6.85546875" customWidth="1"/>
    <col min="15" max="15" width="16.5703125" customWidth="1"/>
    <col min="16" max="19" width="16.7109375" customWidth="1"/>
    <col min="20" max="20" width="2.42578125" customWidth="1"/>
    <col min="21" max="21" width="21.28515625" customWidth="1"/>
    <col min="22" max="22" width="13" customWidth="1"/>
  </cols>
  <sheetData>
    <row r="1" spans="1:23" s="2" customFormat="1" ht="54.75" customHeight="1" x14ac:dyDescent="0.2">
      <c r="A1" s="1"/>
      <c r="B1" s="237" t="s">
        <v>215</v>
      </c>
      <c r="C1" s="1"/>
      <c r="D1" s="1"/>
      <c r="E1" s="1"/>
      <c r="F1" s="1"/>
      <c r="G1" s="1"/>
      <c r="H1" s="1"/>
      <c r="I1" s="1"/>
    </row>
    <row r="2" spans="1:23" s="2" customFormat="1" ht="28.9" customHeight="1" x14ac:dyDescent="0.2">
      <c r="A2" s="3"/>
      <c r="B2" s="3"/>
      <c r="C2" s="3"/>
      <c r="E2" s="4"/>
      <c r="F2" s="4"/>
      <c r="G2" s="4"/>
      <c r="H2" s="5"/>
      <c r="I2" s="6"/>
    </row>
    <row r="3" spans="1:23" s="2" customFormat="1" ht="40.15" customHeight="1" x14ac:dyDescent="0.2">
      <c r="A3" s="394" t="str">
        <f>'Planilha Orçamentária - Projeto'!A3</f>
        <v>ÓRGÃO CONTRATANTE: SEÇÃO JUDICIÁRIA ....</v>
      </c>
      <c r="B3" s="92"/>
      <c r="C3" s="92"/>
      <c r="D3" s="92"/>
      <c r="E3" s="92"/>
      <c r="F3" s="92"/>
      <c r="G3" s="92"/>
      <c r="H3" s="92"/>
      <c r="I3" s="92"/>
      <c r="J3" s="93"/>
    </row>
    <row r="4" spans="1:23" s="2" customFormat="1" x14ac:dyDescent="0.2">
      <c r="A4" s="90"/>
      <c r="B4" s="90"/>
      <c r="C4" s="90"/>
      <c r="D4" s="90"/>
      <c r="E4" s="90"/>
      <c r="F4" s="90"/>
      <c r="G4" s="90"/>
      <c r="H4" s="90"/>
      <c r="I4" s="90"/>
      <c r="J4" s="91"/>
    </row>
    <row r="5" spans="1:23" s="2" customFormat="1" ht="42" customHeight="1" x14ac:dyDescent="0.2">
      <c r="A5" s="509" t="s">
        <v>294</v>
      </c>
      <c r="B5" s="510"/>
      <c r="C5" s="510"/>
      <c r="D5" s="510"/>
      <c r="E5" s="510"/>
      <c r="F5" s="510"/>
      <c r="G5" s="510"/>
      <c r="H5" s="510"/>
      <c r="I5" s="510"/>
      <c r="J5" s="511"/>
      <c r="K5" s="446" t="s">
        <v>214</v>
      </c>
      <c r="L5" s="440" t="s">
        <v>209</v>
      </c>
    </row>
    <row r="6" spans="1:23" s="2" customFormat="1" ht="21.6" customHeight="1" x14ac:dyDescent="0.2">
      <c r="A6" s="395" t="str">
        <f>'Planilha Orçamentária - Projeto'!A6</f>
        <v xml:space="preserve">ENDEREÇO DA OBRA: </v>
      </c>
      <c r="B6" s="338"/>
      <c r="C6" s="95"/>
      <c r="D6" s="95"/>
      <c r="E6" s="95"/>
      <c r="F6" s="95"/>
      <c r="G6" s="95"/>
      <c r="H6" s="95"/>
      <c r="I6" s="95"/>
      <c r="J6" s="136"/>
      <c r="K6" s="447"/>
      <c r="L6" s="440"/>
    </row>
    <row r="7" spans="1:23" s="2" customFormat="1" x14ac:dyDescent="0.2">
      <c r="A7" s="7"/>
      <c r="B7" s="7"/>
      <c r="C7" s="7"/>
      <c r="D7" s="7"/>
      <c r="E7" s="7"/>
      <c r="F7" s="7"/>
      <c r="G7" s="7"/>
      <c r="H7" s="7"/>
      <c r="I7" s="7"/>
      <c r="J7" s="60"/>
      <c r="K7" s="447"/>
      <c r="L7" s="440"/>
    </row>
    <row r="8" spans="1:23" s="2" customFormat="1" ht="21.6" customHeight="1" x14ac:dyDescent="0.2">
      <c r="A8" s="331" t="str">
        <f>'Planilha Orçamentária - Projeto'!A8</f>
        <v>NOME DA EMPRESA:</v>
      </c>
      <c r="B8" s="89"/>
      <c r="C8" s="81"/>
      <c r="D8" s="7"/>
      <c r="E8" s="331" t="s">
        <v>199</v>
      </c>
      <c r="F8" s="333" t="str">
        <f>'Planilha Orçamentária - Projeto'!G8</f>
        <v>NOME E TÍTULO DO RESP. TÉCN.</v>
      </c>
      <c r="G8" s="83"/>
      <c r="H8" s="83"/>
      <c r="I8" s="333" t="s">
        <v>198</v>
      </c>
      <c r="J8" s="396" t="str">
        <f>'Planilha Orçamentária - Projeto'!L8</f>
        <v>Nº CREA/CAU xx</v>
      </c>
      <c r="K8" s="447"/>
      <c r="L8" s="440"/>
    </row>
    <row r="9" spans="1:23" s="2" customFormat="1" ht="19.899999999999999" customHeight="1" x14ac:dyDescent="0.2">
      <c r="A9" s="330" t="s">
        <v>194</v>
      </c>
      <c r="B9" s="397" t="str">
        <f>'Planilha Orçamentária - Projeto'!B9</f>
        <v>XX.YYY.ZZZ/AAAA-BB</v>
      </c>
      <c r="C9" s="82"/>
      <c r="D9" s="7"/>
      <c r="E9" s="335" t="s">
        <v>197</v>
      </c>
      <c r="F9" s="78"/>
      <c r="G9" s="78"/>
      <c r="H9" s="398" t="str">
        <f>'Planilha Orçamentária - Projeto'!I9</f>
        <v>dd/mm/aaaa</v>
      </c>
      <c r="I9" s="79"/>
      <c r="J9" s="84"/>
      <c r="K9" s="447"/>
      <c r="L9" s="440"/>
      <c r="Q9" s="91"/>
    </row>
    <row r="10" spans="1:23" s="2" customFormat="1" ht="13.5" thickBot="1" x14ac:dyDescent="0.25">
      <c r="A10" s="8"/>
      <c r="B10" s="8"/>
      <c r="C10" s="8"/>
      <c r="D10" s="56"/>
      <c r="E10" s="56"/>
      <c r="F10" s="56"/>
      <c r="G10" s="56"/>
      <c r="H10" s="56"/>
      <c r="I10" s="56"/>
      <c r="J10" s="80"/>
      <c r="K10" s="447"/>
      <c r="L10" s="440"/>
      <c r="Q10" s="91"/>
    </row>
    <row r="11" spans="1:23" s="2" customFormat="1" ht="15" customHeight="1" thickBot="1" x14ac:dyDescent="0.25">
      <c r="A11" s="359" t="s">
        <v>295</v>
      </c>
      <c r="B11" s="133"/>
      <c r="C11" s="399">
        <f>'Planilha Orçamentária - Projeto'!C11</f>
        <v>5000</v>
      </c>
      <c r="D11" s="126"/>
      <c r="E11" s="448" t="s">
        <v>296</v>
      </c>
      <c r="F11" s="448"/>
      <c r="G11" s="448"/>
      <c r="H11" s="448"/>
      <c r="I11" s="449"/>
      <c r="J11" s="373" t="s">
        <v>297</v>
      </c>
      <c r="K11" s="447"/>
      <c r="L11" s="440"/>
      <c r="O11" s="496" t="s">
        <v>326</v>
      </c>
      <c r="P11" s="497"/>
      <c r="Q11" s="497"/>
      <c r="R11" s="497"/>
      <c r="S11" s="498"/>
      <c r="T11" s="339"/>
      <c r="U11" s="339"/>
    </row>
    <row r="12" spans="1:23" s="2" customFormat="1" ht="15" customHeight="1" thickBot="1" x14ac:dyDescent="0.25">
      <c r="A12" s="360" t="s">
        <v>313</v>
      </c>
      <c r="B12" s="133"/>
      <c r="C12" s="370">
        <v>2</v>
      </c>
      <c r="D12" s="126"/>
      <c r="E12" s="453" t="s">
        <v>307</v>
      </c>
      <c r="F12" s="454"/>
      <c r="G12" s="454"/>
      <c r="H12" s="454"/>
      <c r="I12" s="512"/>
      <c r="J12" s="374">
        <v>0</v>
      </c>
      <c r="K12" s="59">
        <f>((L12*(I21+I30+I59+I91+I125)))</f>
        <v>0</v>
      </c>
      <c r="L12" s="264" t="str">
        <f>IF(C11&gt;=10000,"3,5%",IF(C11&lt;=3000,"5%","4%"))</f>
        <v>4%</v>
      </c>
      <c r="N12" s="325"/>
    </row>
    <row r="13" spans="1:23" s="2" customFormat="1" ht="15" customHeight="1" thickBot="1" x14ac:dyDescent="0.25">
      <c r="A13" s="360" t="s">
        <v>305</v>
      </c>
      <c r="B13" s="130"/>
      <c r="C13" s="400">
        <f>IF(J11="NÃO",C11/C12,"N/A")</f>
        <v>2500</v>
      </c>
      <c r="D13" s="11"/>
      <c r="E13" s="12"/>
      <c r="F13" s="12"/>
      <c r="G13" s="12"/>
      <c r="H13" s="12"/>
      <c r="I13" s="13"/>
      <c r="J13" s="60"/>
      <c r="O13" s="499" t="s">
        <v>304</v>
      </c>
      <c r="P13" s="500"/>
      <c r="Q13" s="500"/>
      <c r="R13" s="500"/>
      <c r="S13" s="341">
        <f>IF(J11="NÃO",C13,J12)</f>
        <v>2500</v>
      </c>
      <c r="T13" s="349"/>
      <c r="U13" s="504" t="s">
        <v>312</v>
      </c>
      <c r="V13" s="505"/>
      <c r="W13" s="340"/>
    </row>
    <row r="14" spans="1:23" s="14" customFormat="1" ht="15" customHeight="1" thickBot="1" x14ac:dyDescent="0.25">
      <c r="A14" s="360" t="s">
        <v>306</v>
      </c>
      <c r="B14" s="129"/>
      <c r="C14" s="371">
        <v>3900</v>
      </c>
      <c r="D14" s="127"/>
      <c r="E14" s="178" t="s">
        <v>298</v>
      </c>
      <c r="F14" s="180"/>
      <c r="G14" s="181"/>
      <c r="H14" s="401">
        <f>IF(S13=0,"INFORMAR ÁREA",SUM(O18:S18))</f>
        <v>11</v>
      </c>
      <c r="I14" s="128" t="s">
        <v>107</v>
      </c>
      <c r="J14" s="402">
        <f>'BDI Engenharia Consultiva'!O22</f>
        <v>0.2942804255218856</v>
      </c>
      <c r="U14" s="353" t="s">
        <v>309</v>
      </c>
      <c r="V14" s="350" t="str">
        <f>IF(S13&gt;1200,"N/A",IF(S13&lt;=400,"N/A",3+((S13-400)/200)))</f>
        <v>N/A</v>
      </c>
    </row>
    <row r="15" spans="1:23" s="2" customFormat="1" ht="15" customHeight="1" thickBot="1" x14ac:dyDescent="0.25">
      <c r="D15" s="263"/>
      <c r="E15" s="356" t="s">
        <v>319</v>
      </c>
      <c r="F15" s="356"/>
      <c r="G15" s="356"/>
      <c r="H15" s="372">
        <v>6</v>
      </c>
      <c r="I15" s="358" t="s">
        <v>322</v>
      </c>
      <c r="J15" s="376" t="s">
        <v>353</v>
      </c>
      <c r="O15" s="501" t="s">
        <v>299</v>
      </c>
      <c r="P15" s="502"/>
      <c r="Q15" s="502"/>
      <c r="R15" s="502"/>
      <c r="S15" s="503"/>
      <c r="U15" s="354" t="s">
        <v>310</v>
      </c>
      <c r="V15" s="351" t="str">
        <f>IF(S13&lt;=1200,"N/A",IF(S13&gt;2400,"N/A",7+((S13-1200)/400)))</f>
        <v>N/A</v>
      </c>
    </row>
    <row r="16" spans="1:23" s="2" customFormat="1" ht="16.5" thickBot="1" x14ac:dyDescent="0.3">
      <c r="A16" s="441"/>
      <c r="B16" s="442"/>
      <c r="C16" s="442"/>
      <c r="D16" s="442"/>
      <c r="E16" s="442"/>
      <c r="F16" s="442"/>
      <c r="G16" s="442"/>
      <c r="H16" s="442"/>
      <c r="I16" s="442"/>
      <c r="U16" s="355" t="s">
        <v>311</v>
      </c>
      <c r="V16" s="352">
        <f>IF(S13&lt;=2400,"N/A",10+((S13-2400)/600))</f>
        <v>10.166666666666666</v>
      </c>
    </row>
    <row r="17" spans="1:51" s="58" customFormat="1" ht="26.25" customHeight="1" x14ac:dyDescent="0.2">
      <c r="A17" s="450" t="s">
        <v>336</v>
      </c>
      <c r="B17" s="506"/>
      <c r="C17" s="506"/>
      <c r="D17" s="506"/>
      <c r="E17" s="506"/>
      <c r="F17" s="506"/>
      <c r="G17" s="506"/>
      <c r="H17" s="506"/>
      <c r="I17" s="506"/>
      <c r="J17" s="507"/>
      <c r="K17" s="255"/>
      <c r="N17" s="16"/>
      <c r="O17" s="342" t="s">
        <v>300</v>
      </c>
      <c r="P17" s="343" t="s">
        <v>301</v>
      </c>
      <c r="Q17" s="343" t="s">
        <v>303</v>
      </c>
      <c r="R17" s="343" t="s">
        <v>302</v>
      </c>
      <c r="S17" s="344" t="s">
        <v>308</v>
      </c>
      <c r="T17" s="21"/>
      <c r="U17" s="21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51" s="125" customFormat="1" ht="26.25" customHeight="1" thickBot="1" x14ac:dyDescent="0.25">
      <c r="A18" s="443" t="s">
        <v>26</v>
      </c>
      <c r="B18" s="443" t="s">
        <v>5</v>
      </c>
      <c r="C18" s="443" t="s">
        <v>35</v>
      </c>
      <c r="D18" s="444" t="s">
        <v>7</v>
      </c>
      <c r="E18" s="470" t="s">
        <v>317</v>
      </c>
      <c r="F18" s="444" t="s">
        <v>316</v>
      </c>
      <c r="G18" s="444"/>
      <c r="H18" s="470" t="s">
        <v>318</v>
      </c>
      <c r="I18" s="489" t="s">
        <v>315</v>
      </c>
      <c r="J18" s="444" t="s">
        <v>323</v>
      </c>
      <c r="K18" s="256"/>
      <c r="N18" s="16"/>
      <c r="O18" s="345" t="str">
        <f>IF(S13=0,"N/A",IF(S13&lt;=200,2,"N/A"))</f>
        <v>N/A</v>
      </c>
      <c r="P18" s="346" t="str">
        <f>IF(S13&gt;400,"N/A",IF(S13&lt;=200,"N/A",3))</f>
        <v>N/A</v>
      </c>
      <c r="Q18" s="347" t="str">
        <f>IF(V14="N/A","N/A",ROUNDUP(V14,0))</f>
        <v>N/A</v>
      </c>
      <c r="R18" s="347" t="str">
        <f>IF(V15="N/A","N/A",ROUNDUP(V15,0))</f>
        <v>N/A</v>
      </c>
      <c r="S18" s="348">
        <f>IF(V16="N/A","N/A",ROUNDUP(V16,0))</f>
        <v>11</v>
      </c>
      <c r="T18" s="16"/>
      <c r="U18" s="21"/>
      <c r="V18" s="377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</row>
    <row r="19" spans="1:51" s="125" customFormat="1" ht="15" customHeight="1" x14ac:dyDescent="0.2">
      <c r="A19" s="443"/>
      <c r="B19" s="445"/>
      <c r="C19" s="443"/>
      <c r="D19" s="444"/>
      <c r="E19" s="472"/>
      <c r="F19" s="508">
        <f>J14</f>
        <v>0.2942804255218856</v>
      </c>
      <c r="G19" s="508"/>
      <c r="H19" s="472"/>
      <c r="I19" s="490"/>
      <c r="J19" s="444"/>
      <c r="K19" s="257"/>
      <c r="N19" s="16"/>
      <c r="O19" s="16"/>
      <c r="P19" s="16"/>
      <c r="Q19" s="16"/>
      <c r="R19" s="16"/>
      <c r="S19" s="16"/>
      <c r="T19" s="16"/>
      <c r="U19" s="21"/>
      <c r="V19" s="378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</row>
    <row r="20" spans="1:51" s="16" customFormat="1" ht="18" customHeight="1" x14ac:dyDescent="0.2">
      <c r="A20" s="17"/>
      <c r="B20" s="18"/>
      <c r="C20" s="17"/>
      <c r="D20" s="19"/>
      <c r="E20" s="19"/>
      <c r="F20" s="76"/>
      <c r="G20" s="76"/>
      <c r="H20" s="19"/>
      <c r="I20" s="19"/>
      <c r="J20" s="61"/>
      <c r="K20" s="20"/>
      <c r="L20" s="21"/>
      <c r="M20" s="22"/>
    </row>
    <row r="21" spans="1:51" s="16" customFormat="1" ht="18" customHeight="1" x14ac:dyDescent="0.2">
      <c r="A21" s="363" t="s">
        <v>21</v>
      </c>
      <c r="B21" s="363" t="s">
        <v>314</v>
      </c>
      <c r="C21" s="364"/>
      <c r="D21" s="390"/>
      <c r="E21" s="105"/>
      <c r="F21" s="491"/>
      <c r="G21" s="492"/>
      <c r="H21" s="362">
        <f>SUM(H22:H23)</f>
        <v>9595.69</v>
      </c>
      <c r="I21" s="69"/>
      <c r="J21" s="111"/>
      <c r="K21" s="24"/>
      <c r="L21" s="24"/>
    </row>
    <row r="22" spans="1:51" s="16" customFormat="1" ht="22.5" customHeight="1" x14ac:dyDescent="0.2">
      <c r="A22" s="365" t="s">
        <v>9</v>
      </c>
      <c r="B22" s="608" t="s">
        <v>348</v>
      </c>
      <c r="C22" s="366" t="s">
        <v>34</v>
      </c>
      <c r="D22" s="375">
        <v>1</v>
      </c>
      <c r="E22" s="412">
        <v>1205.96</v>
      </c>
      <c r="F22" s="493">
        <f>E22*(1+$F$19)</f>
        <v>1560.8504219623733</v>
      </c>
      <c r="G22" s="494"/>
      <c r="H22" s="379">
        <f>TRUNC(D22*F22,2)</f>
        <v>1560.85</v>
      </c>
      <c r="I22" s="414" t="s">
        <v>351</v>
      </c>
      <c r="J22" s="415" t="s">
        <v>349</v>
      </c>
      <c r="K22" s="25"/>
    </row>
    <row r="23" spans="1:51" s="16" customFormat="1" ht="22.5" customHeight="1" x14ac:dyDescent="0.2">
      <c r="A23" s="365" t="s">
        <v>55</v>
      </c>
      <c r="B23" s="608" t="s">
        <v>352</v>
      </c>
      <c r="C23" s="366" t="s">
        <v>327</v>
      </c>
      <c r="D23" s="403">
        <f>H14*H15</f>
        <v>66</v>
      </c>
      <c r="E23" s="413">
        <v>94.06</v>
      </c>
      <c r="F23" s="493">
        <f>E23*(1+$F$19)</f>
        <v>121.74001682458857</v>
      </c>
      <c r="G23" s="494"/>
      <c r="H23" s="379">
        <f>TRUNC(D23*F23,2)</f>
        <v>8034.84</v>
      </c>
      <c r="I23" s="414" t="s">
        <v>351</v>
      </c>
      <c r="J23" s="415" t="s">
        <v>350</v>
      </c>
      <c r="K23" s="23"/>
    </row>
    <row r="24" spans="1:51" s="16" customFormat="1" ht="18" customHeight="1" x14ac:dyDescent="0.2">
      <c r="A24" s="367"/>
      <c r="B24" s="368"/>
      <c r="C24" s="369"/>
      <c r="D24" s="126"/>
      <c r="E24" s="392"/>
      <c r="F24" s="495"/>
      <c r="G24" s="495"/>
      <c r="H24" s="392"/>
      <c r="I24" s="357"/>
      <c r="J24" s="404"/>
      <c r="P24" s="381"/>
    </row>
    <row r="25" spans="1:51" s="16" customFormat="1" ht="18" customHeight="1" x14ac:dyDescent="0.2">
      <c r="A25" s="363" t="s">
        <v>22</v>
      </c>
      <c r="B25" s="363" t="s">
        <v>328</v>
      </c>
      <c r="C25" s="364"/>
      <c r="D25" s="390"/>
      <c r="E25" s="105"/>
      <c r="F25" s="491"/>
      <c r="G25" s="492"/>
      <c r="H25" s="362">
        <f>H26</f>
        <v>1514.3</v>
      </c>
      <c r="I25" s="69"/>
      <c r="J25" s="111"/>
    </row>
    <row r="26" spans="1:51" s="16" customFormat="1" ht="23.25" customHeight="1" x14ac:dyDescent="0.2">
      <c r="A26" s="365" t="s">
        <v>10</v>
      </c>
      <c r="B26" s="608" t="s">
        <v>321</v>
      </c>
      <c r="C26" s="366" t="s">
        <v>320</v>
      </c>
      <c r="D26" s="405">
        <f>C14</f>
        <v>3900</v>
      </c>
      <c r="E26" s="413">
        <v>0.3</v>
      </c>
      <c r="F26" s="493">
        <f>E26*(1+$F$19)</f>
        <v>0.38828412765656567</v>
      </c>
      <c r="G26" s="494"/>
      <c r="H26" s="361">
        <f>TRUNC(D26*F26,2)</f>
        <v>1514.3</v>
      </c>
      <c r="I26" s="416" t="s">
        <v>325</v>
      </c>
      <c r="J26" s="417" t="s">
        <v>324</v>
      </c>
    </row>
    <row r="27" spans="1:51" s="16" customFormat="1" ht="18" customHeight="1" thickBo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51" s="16" customFormat="1" ht="18" customHeight="1" thickBot="1" x14ac:dyDescent="0.25">
      <c r="A28" s="2"/>
      <c r="B28" s="2"/>
      <c r="C28" s="2"/>
      <c r="D28" s="2"/>
      <c r="E28" s="2"/>
      <c r="F28" s="485" t="s">
        <v>330</v>
      </c>
      <c r="G28" s="488"/>
      <c r="H28" s="406">
        <f>SUM(H21+H25)</f>
        <v>11109.99</v>
      </c>
      <c r="I28" s="2"/>
      <c r="J28" s="2"/>
      <c r="K28" s="2"/>
      <c r="L28" s="2"/>
      <c r="M28" s="2"/>
      <c r="N28" s="2"/>
    </row>
    <row r="29" spans="1:51" ht="13.5" thickBot="1" x14ac:dyDescent="0.25">
      <c r="A29" s="487" t="s">
        <v>329</v>
      </c>
      <c r="B29" s="48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6"/>
      <c r="P29" s="16"/>
      <c r="Q29" s="16"/>
      <c r="R29" s="16"/>
      <c r="S29" s="16"/>
      <c r="T29" s="2"/>
      <c r="U29" s="2"/>
      <c r="V29" s="2"/>
      <c r="W29" s="2"/>
      <c r="X29" s="2"/>
    </row>
    <row r="30" spans="1:51" ht="18" customHeight="1" thickBot="1" x14ac:dyDescent="0.25">
      <c r="A30" s="2"/>
      <c r="B30" s="2"/>
      <c r="C30" s="2"/>
      <c r="D30" s="2"/>
      <c r="E30" s="2"/>
      <c r="F30" s="485" t="s">
        <v>342</v>
      </c>
      <c r="G30" s="486"/>
      <c r="H30" s="418" t="s">
        <v>343</v>
      </c>
      <c r="I30" s="2"/>
      <c r="J30" s="2"/>
      <c r="K30" s="2"/>
      <c r="L30" s="2"/>
      <c r="M30" s="2"/>
      <c r="N30" s="2"/>
      <c r="O30" s="16"/>
      <c r="P30" s="16"/>
      <c r="Q30" s="16"/>
      <c r="R30" s="16"/>
      <c r="S30" s="16"/>
      <c r="T30" s="2"/>
      <c r="U30" s="2"/>
      <c r="V30" s="2"/>
      <c r="W30" s="2"/>
      <c r="X30" s="2"/>
    </row>
    <row r="31" spans="1:51" ht="13.5" thickBot="1" x14ac:dyDescent="0.25">
      <c r="A31" s="407"/>
      <c r="B31" s="2" t="s">
        <v>331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6"/>
      <c r="P31" s="16"/>
      <c r="Q31" s="16"/>
      <c r="R31" s="16"/>
      <c r="S31" s="16"/>
      <c r="T31" s="2"/>
      <c r="U31" s="2"/>
      <c r="V31" s="2"/>
      <c r="W31" s="2"/>
      <c r="X31" s="2"/>
    </row>
    <row r="32" spans="1:51" ht="13.5" customHeight="1" thickBot="1" x14ac:dyDescent="0.25">
      <c r="A32" s="2"/>
      <c r="B32" s="2"/>
      <c r="C32" s="2"/>
      <c r="D32" s="2"/>
      <c r="E32" s="2"/>
      <c r="F32" s="514" t="s">
        <v>334</v>
      </c>
      <c r="G32" s="514"/>
      <c r="H32" s="514"/>
      <c r="I32" s="408"/>
      <c r="J32" s="408"/>
      <c r="K32" s="408"/>
      <c r="L32" s="408"/>
      <c r="M32" s="408"/>
      <c r="N32" s="2"/>
      <c r="O32" s="16"/>
      <c r="P32" s="16"/>
      <c r="Q32" s="16"/>
      <c r="R32" s="16"/>
      <c r="S32" s="2"/>
      <c r="T32" s="2"/>
      <c r="U32" s="2"/>
      <c r="V32" s="2"/>
      <c r="W32" s="2"/>
      <c r="X32" s="2"/>
    </row>
    <row r="33" spans="1:24" ht="15.75" thickBot="1" x14ac:dyDescent="0.25">
      <c r="A33" s="409"/>
      <c r="B33" s="2" t="s">
        <v>332</v>
      </c>
      <c r="C33" s="2"/>
      <c r="D33" s="2"/>
      <c r="E33" s="2"/>
      <c r="F33" s="519" t="s">
        <v>292</v>
      </c>
      <c r="G33" s="519"/>
      <c r="H33" s="519"/>
      <c r="I33" s="410"/>
      <c r="J33" s="410"/>
      <c r="K33" s="410"/>
      <c r="L33" s="410"/>
      <c r="M33" s="410"/>
      <c r="N33" s="2"/>
      <c r="O33" s="16"/>
      <c r="P33" s="16"/>
      <c r="Q33" s="16"/>
      <c r="R33" s="16"/>
      <c r="S33" s="2"/>
      <c r="T33" s="2"/>
      <c r="U33" s="2"/>
      <c r="V33" s="2"/>
      <c r="W33" s="2"/>
      <c r="X33" s="2"/>
    </row>
    <row r="34" spans="1:24" ht="15.75" thickBot="1" x14ac:dyDescent="0.25">
      <c r="A34" s="2"/>
      <c r="B34" s="2"/>
      <c r="C34" s="2"/>
      <c r="D34" s="2"/>
      <c r="E34" s="2"/>
      <c r="F34" s="519" t="s">
        <v>293</v>
      </c>
      <c r="G34" s="519"/>
      <c r="H34" s="519"/>
      <c r="I34" s="410"/>
      <c r="J34" s="410"/>
      <c r="K34" s="410"/>
      <c r="L34" s="410"/>
      <c r="M34" s="410"/>
      <c r="N34" s="2"/>
      <c r="O34" s="16"/>
      <c r="P34" s="16"/>
      <c r="Q34" s="16"/>
      <c r="R34" s="16"/>
      <c r="S34" s="2"/>
      <c r="T34" s="2"/>
      <c r="U34" s="2"/>
      <c r="V34" s="2"/>
      <c r="W34" s="2"/>
      <c r="X34" s="2"/>
    </row>
    <row r="35" spans="1:24" ht="13.5" thickBot="1" x14ac:dyDescent="0.25">
      <c r="A35" s="411"/>
      <c r="B35" s="2" t="s">
        <v>333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6"/>
      <c r="P35" s="16"/>
      <c r="Q35" s="16"/>
      <c r="R35" s="16"/>
      <c r="S35" s="2"/>
      <c r="T35" s="2"/>
      <c r="U35" s="2"/>
      <c r="V35" s="2"/>
      <c r="W35" s="2"/>
      <c r="X35" s="2"/>
    </row>
    <row r="36" spans="1:2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6"/>
      <c r="P36" s="16"/>
      <c r="Q36" s="16"/>
      <c r="R36" s="16"/>
      <c r="S36" s="2"/>
      <c r="T36" s="2"/>
      <c r="U36" s="2"/>
      <c r="V36" s="2"/>
      <c r="W36" s="2"/>
      <c r="X36" s="2"/>
    </row>
    <row r="37" spans="1:24" x14ac:dyDescent="0.2">
      <c r="A37" s="513" t="s">
        <v>286</v>
      </c>
      <c r="B37" s="5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515" t="s">
        <v>341</v>
      </c>
      <c r="B38" s="51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5.5" customHeight="1" x14ac:dyDescent="0.2">
      <c r="A39" s="517" t="s">
        <v>344</v>
      </c>
      <c r="B39" s="51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</sheetData>
  <sheetProtection algorithmName="SHA-512" hashValue="PFopXoliql8a+rkzmiD9a1bSlsuR/LmEn5iQ9BI3Buy87b4VrxATwQ2w1xqG0R8GKiAi2+GGD5ry/72kEIDhow==" saltValue="+Ytt7zjrJKcQ+2XAbPUWLA==" spinCount="100000" sheet="1" selectLockedCells="1"/>
  <mergeCells count="36">
    <mergeCell ref="A37:B37"/>
    <mergeCell ref="F32:H32"/>
    <mergeCell ref="A38:B38"/>
    <mergeCell ref="A39:B39"/>
    <mergeCell ref="F33:H33"/>
    <mergeCell ref="F34:H34"/>
    <mergeCell ref="J18:J19"/>
    <mergeCell ref="F19:G19"/>
    <mergeCell ref="K5:K11"/>
    <mergeCell ref="L5:L11"/>
    <mergeCell ref="E11:I11"/>
    <mergeCell ref="A16:I16"/>
    <mergeCell ref="A5:J5"/>
    <mergeCell ref="E12:I12"/>
    <mergeCell ref="A18:A19"/>
    <mergeCell ref="B18:B19"/>
    <mergeCell ref="C18:C19"/>
    <mergeCell ref="D18:D19"/>
    <mergeCell ref="E18:E19"/>
    <mergeCell ref="O11:S11"/>
    <mergeCell ref="O13:R13"/>
    <mergeCell ref="O15:S15"/>
    <mergeCell ref="U13:V13"/>
    <mergeCell ref="A17:J17"/>
    <mergeCell ref="F30:G30"/>
    <mergeCell ref="A29:B29"/>
    <mergeCell ref="F28:G28"/>
    <mergeCell ref="I18:I19"/>
    <mergeCell ref="F21:G21"/>
    <mergeCell ref="F22:G22"/>
    <mergeCell ref="F23:G23"/>
    <mergeCell ref="F24:G24"/>
    <mergeCell ref="F25:G25"/>
    <mergeCell ref="F26:G26"/>
    <mergeCell ref="F18:G18"/>
    <mergeCell ref="H18:H19"/>
  </mergeCells>
  <dataValidations disablePrompts="1" count="1">
    <dataValidation type="list" allowBlank="1" showInputMessage="1" showErrorMessage="1" sqref="J11" xr:uid="{E2C8C5DF-5C5E-4A99-91E4-9B79C87D77F1}">
      <formula1>"SIM,NÃO"</formula1>
    </dataValidation>
  </dataValidations>
  <pageMargins left="0.511811024" right="0.511811024" top="0.78740157499999996" bottom="0.78740157499999996" header="0.31496062000000002" footer="0.31496062000000002"/>
  <pageSetup paperSize="8" scale="9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7"/>
  <sheetViews>
    <sheetView workbookViewId="0">
      <selection activeCell="H21" sqref="H21:I21"/>
    </sheetView>
  </sheetViews>
  <sheetFormatPr defaultRowHeight="12.75" x14ac:dyDescent="0.2"/>
  <cols>
    <col min="1" max="1" width="47.7109375" style="175" customWidth="1"/>
    <col min="2" max="3" width="9.7109375" style="175" customWidth="1"/>
    <col min="4" max="4" width="10.85546875" style="175" customWidth="1"/>
    <col min="5" max="5" width="9.7109375" style="175" customWidth="1"/>
    <col min="6" max="6" width="33" style="175" customWidth="1"/>
    <col min="7" max="9" width="9.7109375" style="175" customWidth="1"/>
    <col min="10" max="10" width="12.28515625" style="175" hidden="1" customWidth="1"/>
    <col min="11" max="11" width="22" style="175" customWidth="1"/>
    <col min="12" max="12" width="17.42578125" style="175" customWidth="1"/>
    <col min="13" max="13" width="9.140625" style="175"/>
    <col min="14" max="14" width="7.28515625" style="175" customWidth="1"/>
    <col min="15" max="15" width="0.140625" style="175" customWidth="1"/>
    <col min="16" max="256" width="9.140625" style="175"/>
    <col min="257" max="257" width="37.42578125" style="175" customWidth="1"/>
    <col min="258" max="261" width="9.7109375" style="175" customWidth="1"/>
    <col min="262" max="262" width="27.140625" style="175" customWidth="1"/>
    <col min="263" max="265" width="9.7109375" style="175" customWidth="1"/>
    <col min="266" max="512" width="9.140625" style="175"/>
    <col min="513" max="513" width="37.42578125" style="175" customWidth="1"/>
    <col min="514" max="517" width="9.7109375" style="175" customWidth="1"/>
    <col min="518" max="518" width="27.140625" style="175" customWidth="1"/>
    <col min="519" max="521" width="9.7109375" style="175" customWidth="1"/>
    <col min="522" max="768" width="9.140625" style="175"/>
    <col min="769" max="769" width="37.42578125" style="175" customWidth="1"/>
    <col min="770" max="773" width="9.7109375" style="175" customWidth="1"/>
    <col min="774" max="774" width="27.140625" style="175" customWidth="1"/>
    <col min="775" max="777" width="9.7109375" style="175" customWidth="1"/>
    <col min="778" max="1024" width="9.140625" style="175"/>
    <col min="1025" max="1025" width="37.42578125" style="175" customWidth="1"/>
    <col min="1026" max="1029" width="9.7109375" style="175" customWidth="1"/>
    <col min="1030" max="1030" width="27.140625" style="175" customWidth="1"/>
    <col min="1031" max="1033" width="9.7109375" style="175" customWidth="1"/>
    <col min="1034" max="1280" width="9.140625" style="175"/>
    <col min="1281" max="1281" width="37.42578125" style="175" customWidth="1"/>
    <col min="1282" max="1285" width="9.7109375" style="175" customWidth="1"/>
    <col min="1286" max="1286" width="27.140625" style="175" customWidth="1"/>
    <col min="1287" max="1289" width="9.7109375" style="175" customWidth="1"/>
    <col min="1290" max="1536" width="9.140625" style="175"/>
    <col min="1537" max="1537" width="37.42578125" style="175" customWidth="1"/>
    <col min="1538" max="1541" width="9.7109375" style="175" customWidth="1"/>
    <col min="1542" max="1542" width="27.140625" style="175" customWidth="1"/>
    <col min="1543" max="1545" width="9.7109375" style="175" customWidth="1"/>
    <col min="1546" max="1792" width="9.140625" style="175"/>
    <col min="1793" max="1793" width="37.42578125" style="175" customWidth="1"/>
    <col min="1794" max="1797" width="9.7109375" style="175" customWidth="1"/>
    <col min="1798" max="1798" width="27.140625" style="175" customWidth="1"/>
    <col min="1799" max="1801" width="9.7109375" style="175" customWidth="1"/>
    <col min="1802" max="2048" width="9.140625" style="175"/>
    <col min="2049" max="2049" width="37.42578125" style="175" customWidth="1"/>
    <col min="2050" max="2053" width="9.7109375" style="175" customWidth="1"/>
    <col min="2054" max="2054" width="27.140625" style="175" customWidth="1"/>
    <col min="2055" max="2057" width="9.7109375" style="175" customWidth="1"/>
    <col min="2058" max="2304" width="9.140625" style="175"/>
    <col min="2305" max="2305" width="37.42578125" style="175" customWidth="1"/>
    <col min="2306" max="2309" width="9.7109375" style="175" customWidth="1"/>
    <col min="2310" max="2310" width="27.140625" style="175" customWidth="1"/>
    <col min="2311" max="2313" width="9.7109375" style="175" customWidth="1"/>
    <col min="2314" max="2560" width="9.140625" style="175"/>
    <col min="2561" max="2561" width="37.42578125" style="175" customWidth="1"/>
    <col min="2562" max="2565" width="9.7109375" style="175" customWidth="1"/>
    <col min="2566" max="2566" width="27.140625" style="175" customWidth="1"/>
    <col min="2567" max="2569" width="9.7109375" style="175" customWidth="1"/>
    <col min="2570" max="2816" width="9.140625" style="175"/>
    <col min="2817" max="2817" width="37.42578125" style="175" customWidth="1"/>
    <col min="2818" max="2821" width="9.7109375" style="175" customWidth="1"/>
    <col min="2822" max="2822" width="27.140625" style="175" customWidth="1"/>
    <col min="2823" max="2825" width="9.7109375" style="175" customWidth="1"/>
    <col min="2826" max="3072" width="9.140625" style="175"/>
    <col min="3073" max="3073" width="37.42578125" style="175" customWidth="1"/>
    <col min="3074" max="3077" width="9.7109375" style="175" customWidth="1"/>
    <col min="3078" max="3078" width="27.140625" style="175" customWidth="1"/>
    <col min="3079" max="3081" width="9.7109375" style="175" customWidth="1"/>
    <col min="3082" max="3328" width="9.140625" style="175"/>
    <col min="3329" max="3329" width="37.42578125" style="175" customWidth="1"/>
    <col min="3330" max="3333" width="9.7109375" style="175" customWidth="1"/>
    <col min="3334" max="3334" width="27.140625" style="175" customWidth="1"/>
    <col min="3335" max="3337" width="9.7109375" style="175" customWidth="1"/>
    <col min="3338" max="3584" width="9.140625" style="175"/>
    <col min="3585" max="3585" width="37.42578125" style="175" customWidth="1"/>
    <col min="3586" max="3589" width="9.7109375" style="175" customWidth="1"/>
    <col min="3590" max="3590" width="27.140625" style="175" customWidth="1"/>
    <col min="3591" max="3593" width="9.7109375" style="175" customWidth="1"/>
    <col min="3594" max="3840" width="9.140625" style="175"/>
    <col min="3841" max="3841" width="37.42578125" style="175" customWidth="1"/>
    <col min="3842" max="3845" width="9.7109375" style="175" customWidth="1"/>
    <col min="3846" max="3846" width="27.140625" style="175" customWidth="1"/>
    <col min="3847" max="3849" width="9.7109375" style="175" customWidth="1"/>
    <col min="3850" max="4096" width="9.140625" style="175"/>
    <col min="4097" max="4097" width="37.42578125" style="175" customWidth="1"/>
    <col min="4098" max="4101" width="9.7109375" style="175" customWidth="1"/>
    <col min="4102" max="4102" width="27.140625" style="175" customWidth="1"/>
    <col min="4103" max="4105" width="9.7109375" style="175" customWidth="1"/>
    <col min="4106" max="4352" width="9.140625" style="175"/>
    <col min="4353" max="4353" width="37.42578125" style="175" customWidth="1"/>
    <col min="4354" max="4357" width="9.7109375" style="175" customWidth="1"/>
    <col min="4358" max="4358" width="27.140625" style="175" customWidth="1"/>
    <col min="4359" max="4361" width="9.7109375" style="175" customWidth="1"/>
    <col min="4362" max="4608" width="9.140625" style="175"/>
    <col min="4609" max="4609" width="37.42578125" style="175" customWidth="1"/>
    <col min="4610" max="4613" width="9.7109375" style="175" customWidth="1"/>
    <col min="4614" max="4614" width="27.140625" style="175" customWidth="1"/>
    <col min="4615" max="4617" width="9.7109375" style="175" customWidth="1"/>
    <col min="4618" max="4864" width="9.140625" style="175"/>
    <col min="4865" max="4865" width="37.42578125" style="175" customWidth="1"/>
    <col min="4866" max="4869" width="9.7109375" style="175" customWidth="1"/>
    <col min="4870" max="4870" width="27.140625" style="175" customWidth="1"/>
    <col min="4871" max="4873" width="9.7109375" style="175" customWidth="1"/>
    <col min="4874" max="5120" width="9.140625" style="175"/>
    <col min="5121" max="5121" width="37.42578125" style="175" customWidth="1"/>
    <col min="5122" max="5125" width="9.7109375" style="175" customWidth="1"/>
    <col min="5126" max="5126" width="27.140625" style="175" customWidth="1"/>
    <col min="5127" max="5129" width="9.7109375" style="175" customWidth="1"/>
    <col min="5130" max="5376" width="9.140625" style="175"/>
    <col min="5377" max="5377" width="37.42578125" style="175" customWidth="1"/>
    <col min="5378" max="5381" width="9.7109375" style="175" customWidth="1"/>
    <col min="5382" max="5382" width="27.140625" style="175" customWidth="1"/>
    <col min="5383" max="5385" width="9.7109375" style="175" customWidth="1"/>
    <col min="5386" max="5632" width="9.140625" style="175"/>
    <col min="5633" max="5633" width="37.42578125" style="175" customWidth="1"/>
    <col min="5634" max="5637" width="9.7109375" style="175" customWidth="1"/>
    <col min="5638" max="5638" width="27.140625" style="175" customWidth="1"/>
    <col min="5639" max="5641" width="9.7109375" style="175" customWidth="1"/>
    <col min="5642" max="5888" width="9.140625" style="175"/>
    <col min="5889" max="5889" width="37.42578125" style="175" customWidth="1"/>
    <col min="5890" max="5893" width="9.7109375" style="175" customWidth="1"/>
    <col min="5894" max="5894" width="27.140625" style="175" customWidth="1"/>
    <col min="5895" max="5897" width="9.7109375" style="175" customWidth="1"/>
    <col min="5898" max="6144" width="9.140625" style="175"/>
    <col min="6145" max="6145" width="37.42578125" style="175" customWidth="1"/>
    <col min="6146" max="6149" width="9.7109375" style="175" customWidth="1"/>
    <col min="6150" max="6150" width="27.140625" style="175" customWidth="1"/>
    <col min="6151" max="6153" width="9.7109375" style="175" customWidth="1"/>
    <col min="6154" max="6400" width="9.140625" style="175"/>
    <col min="6401" max="6401" width="37.42578125" style="175" customWidth="1"/>
    <col min="6402" max="6405" width="9.7109375" style="175" customWidth="1"/>
    <col min="6406" max="6406" width="27.140625" style="175" customWidth="1"/>
    <col min="6407" max="6409" width="9.7109375" style="175" customWidth="1"/>
    <col min="6410" max="6656" width="9.140625" style="175"/>
    <col min="6657" max="6657" width="37.42578125" style="175" customWidth="1"/>
    <col min="6658" max="6661" width="9.7109375" style="175" customWidth="1"/>
    <col min="6662" max="6662" width="27.140625" style="175" customWidth="1"/>
    <col min="6663" max="6665" width="9.7109375" style="175" customWidth="1"/>
    <col min="6666" max="6912" width="9.140625" style="175"/>
    <col min="6913" max="6913" width="37.42578125" style="175" customWidth="1"/>
    <col min="6914" max="6917" width="9.7109375" style="175" customWidth="1"/>
    <col min="6918" max="6918" width="27.140625" style="175" customWidth="1"/>
    <col min="6919" max="6921" width="9.7109375" style="175" customWidth="1"/>
    <col min="6922" max="7168" width="9.140625" style="175"/>
    <col min="7169" max="7169" width="37.42578125" style="175" customWidth="1"/>
    <col min="7170" max="7173" width="9.7109375" style="175" customWidth="1"/>
    <col min="7174" max="7174" width="27.140625" style="175" customWidth="1"/>
    <col min="7175" max="7177" width="9.7109375" style="175" customWidth="1"/>
    <col min="7178" max="7424" width="9.140625" style="175"/>
    <col min="7425" max="7425" width="37.42578125" style="175" customWidth="1"/>
    <col min="7426" max="7429" width="9.7109375" style="175" customWidth="1"/>
    <col min="7430" max="7430" width="27.140625" style="175" customWidth="1"/>
    <col min="7431" max="7433" width="9.7109375" style="175" customWidth="1"/>
    <col min="7434" max="7680" width="9.140625" style="175"/>
    <col min="7681" max="7681" width="37.42578125" style="175" customWidth="1"/>
    <col min="7682" max="7685" width="9.7109375" style="175" customWidth="1"/>
    <col min="7686" max="7686" width="27.140625" style="175" customWidth="1"/>
    <col min="7687" max="7689" width="9.7109375" style="175" customWidth="1"/>
    <col min="7690" max="7936" width="9.140625" style="175"/>
    <col min="7937" max="7937" width="37.42578125" style="175" customWidth="1"/>
    <col min="7938" max="7941" width="9.7109375" style="175" customWidth="1"/>
    <col min="7942" max="7942" width="27.140625" style="175" customWidth="1"/>
    <col min="7943" max="7945" width="9.7109375" style="175" customWidth="1"/>
    <col min="7946" max="8192" width="9.140625" style="175"/>
    <col min="8193" max="8193" width="37.42578125" style="175" customWidth="1"/>
    <col min="8194" max="8197" width="9.7109375" style="175" customWidth="1"/>
    <col min="8198" max="8198" width="27.140625" style="175" customWidth="1"/>
    <col min="8199" max="8201" width="9.7109375" style="175" customWidth="1"/>
    <col min="8202" max="8448" width="9.140625" style="175"/>
    <col min="8449" max="8449" width="37.42578125" style="175" customWidth="1"/>
    <col min="8450" max="8453" width="9.7109375" style="175" customWidth="1"/>
    <col min="8454" max="8454" width="27.140625" style="175" customWidth="1"/>
    <col min="8455" max="8457" width="9.7109375" style="175" customWidth="1"/>
    <col min="8458" max="8704" width="9.140625" style="175"/>
    <col min="8705" max="8705" width="37.42578125" style="175" customWidth="1"/>
    <col min="8706" max="8709" width="9.7109375" style="175" customWidth="1"/>
    <col min="8710" max="8710" width="27.140625" style="175" customWidth="1"/>
    <col min="8711" max="8713" width="9.7109375" style="175" customWidth="1"/>
    <col min="8714" max="8960" width="9.140625" style="175"/>
    <col min="8961" max="8961" width="37.42578125" style="175" customWidth="1"/>
    <col min="8962" max="8965" width="9.7109375" style="175" customWidth="1"/>
    <col min="8966" max="8966" width="27.140625" style="175" customWidth="1"/>
    <col min="8967" max="8969" width="9.7109375" style="175" customWidth="1"/>
    <col min="8970" max="9216" width="9.140625" style="175"/>
    <col min="9217" max="9217" width="37.42578125" style="175" customWidth="1"/>
    <col min="9218" max="9221" width="9.7109375" style="175" customWidth="1"/>
    <col min="9222" max="9222" width="27.140625" style="175" customWidth="1"/>
    <col min="9223" max="9225" width="9.7109375" style="175" customWidth="1"/>
    <col min="9226" max="9472" width="9.140625" style="175"/>
    <col min="9473" max="9473" width="37.42578125" style="175" customWidth="1"/>
    <col min="9474" max="9477" width="9.7109375" style="175" customWidth="1"/>
    <col min="9478" max="9478" width="27.140625" style="175" customWidth="1"/>
    <col min="9479" max="9481" width="9.7109375" style="175" customWidth="1"/>
    <col min="9482" max="9728" width="9.140625" style="175"/>
    <col min="9729" max="9729" width="37.42578125" style="175" customWidth="1"/>
    <col min="9730" max="9733" width="9.7109375" style="175" customWidth="1"/>
    <col min="9734" max="9734" width="27.140625" style="175" customWidth="1"/>
    <col min="9735" max="9737" width="9.7109375" style="175" customWidth="1"/>
    <col min="9738" max="9984" width="9.140625" style="175"/>
    <col min="9985" max="9985" width="37.42578125" style="175" customWidth="1"/>
    <col min="9986" max="9989" width="9.7109375" style="175" customWidth="1"/>
    <col min="9990" max="9990" width="27.140625" style="175" customWidth="1"/>
    <col min="9991" max="9993" width="9.7109375" style="175" customWidth="1"/>
    <col min="9994" max="10240" width="9.140625" style="175"/>
    <col min="10241" max="10241" width="37.42578125" style="175" customWidth="1"/>
    <col min="10242" max="10245" width="9.7109375" style="175" customWidth="1"/>
    <col min="10246" max="10246" width="27.140625" style="175" customWidth="1"/>
    <col min="10247" max="10249" width="9.7109375" style="175" customWidth="1"/>
    <col min="10250" max="10496" width="9.140625" style="175"/>
    <col min="10497" max="10497" width="37.42578125" style="175" customWidth="1"/>
    <col min="10498" max="10501" width="9.7109375" style="175" customWidth="1"/>
    <col min="10502" max="10502" width="27.140625" style="175" customWidth="1"/>
    <col min="10503" max="10505" width="9.7109375" style="175" customWidth="1"/>
    <col min="10506" max="10752" width="9.140625" style="175"/>
    <col min="10753" max="10753" width="37.42578125" style="175" customWidth="1"/>
    <col min="10754" max="10757" width="9.7109375" style="175" customWidth="1"/>
    <col min="10758" max="10758" width="27.140625" style="175" customWidth="1"/>
    <col min="10759" max="10761" width="9.7109375" style="175" customWidth="1"/>
    <col min="10762" max="11008" width="9.140625" style="175"/>
    <col min="11009" max="11009" width="37.42578125" style="175" customWidth="1"/>
    <col min="11010" max="11013" width="9.7109375" style="175" customWidth="1"/>
    <col min="11014" max="11014" width="27.140625" style="175" customWidth="1"/>
    <col min="11015" max="11017" width="9.7109375" style="175" customWidth="1"/>
    <col min="11018" max="11264" width="9.140625" style="175"/>
    <col min="11265" max="11265" width="37.42578125" style="175" customWidth="1"/>
    <col min="11266" max="11269" width="9.7109375" style="175" customWidth="1"/>
    <col min="11270" max="11270" width="27.140625" style="175" customWidth="1"/>
    <col min="11271" max="11273" width="9.7109375" style="175" customWidth="1"/>
    <col min="11274" max="11520" width="9.140625" style="175"/>
    <col min="11521" max="11521" width="37.42578125" style="175" customWidth="1"/>
    <col min="11522" max="11525" width="9.7109375" style="175" customWidth="1"/>
    <col min="11526" max="11526" width="27.140625" style="175" customWidth="1"/>
    <col min="11527" max="11529" width="9.7109375" style="175" customWidth="1"/>
    <col min="11530" max="11776" width="9.140625" style="175"/>
    <col min="11777" max="11777" width="37.42578125" style="175" customWidth="1"/>
    <col min="11778" max="11781" width="9.7109375" style="175" customWidth="1"/>
    <col min="11782" max="11782" width="27.140625" style="175" customWidth="1"/>
    <col min="11783" max="11785" width="9.7109375" style="175" customWidth="1"/>
    <col min="11786" max="12032" width="9.140625" style="175"/>
    <col min="12033" max="12033" width="37.42578125" style="175" customWidth="1"/>
    <col min="12034" max="12037" width="9.7109375" style="175" customWidth="1"/>
    <col min="12038" max="12038" width="27.140625" style="175" customWidth="1"/>
    <col min="12039" max="12041" width="9.7109375" style="175" customWidth="1"/>
    <col min="12042" max="12288" width="9.140625" style="175"/>
    <col min="12289" max="12289" width="37.42578125" style="175" customWidth="1"/>
    <col min="12290" max="12293" width="9.7109375" style="175" customWidth="1"/>
    <col min="12294" max="12294" width="27.140625" style="175" customWidth="1"/>
    <col min="12295" max="12297" width="9.7109375" style="175" customWidth="1"/>
    <col min="12298" max="12544" width="9.140625" style="175"/>
    <col min="12545" max="12545" width="37.42578125" style="175" customWidth="1"/>
    <col min="12546" max="12549" width="9.7109375" style="175" customWidth="1"/>
    <col min="12550" max="12550" width="27.140625" style="175" customWidth="1"/>
    <col min="12551" max="12553" width="9.7109375" style="175" customWidth="1"/>
    <col min="12554" max="12800" width="9.140625" style="175"/>
    <col min="12801" max="12801" width="37.42578125" style="175" customWidth="1"/>
    <col min="12802" max="12805" width="9.7109375" style="175" customWidth="1"/>
    <col min="12806" max="12806" width="27.140625" style="175" customWidth="1"/>
    <col min="12807" max="12809" width="9.7109375" style="175" customWidth="1"/>
    <col min="12810" max="13056" width="9.140625" style="175"/>
    <col min="13057" max="13057" width="37.42578125" style="175" customWidth="1"/>
    <col min="13058" max="13061" width="9.7109375" style="175" customWidth="1"/>
    <col min="13062" max="13062" width="27.140625" style="175" customWidth="1"/>
    <col min="13063" max="13065" width="9.7109375" style="175" customWidth="1"/>
    <col min="13066" max="13312" width="9.140625" style="175"/>
    <col min="13313" max="13313" width="37.42578125" style="175" customWidth="1"/>
    <col min="13314" max="13317" width="9.7109375" style="175" customWidth="1"/>
    <col min="13318" max="13318" width="27.140625" style="175" customWidth="1"/>
    <col min="13319" max="13321" width="9.7109375" style="175" customWidth="1"/>
    <col min="13322" max="13568" width="9.140625" style="175"/>
    <col min="13569" max="13569" width="37.42578125" style="175" customWidth="1"/>
    <col min="13570" max="13573" width="9.7109375" style="175" customWidth="1"/>
    <col min="13574" max="13574" width="27.140625" style="175" customWidth="1"/>
    <col min="13575" max="13577" width="9.7109375" style="175" customWidth="1"/>
    <col min="13578" max="13824" width="9.140625" style="175"/>
    <col min="13825" max="13825" width="37.42578125" style="175" customWidth="1"/>
    <col min="13826" max="13829" width="9.7109375" style="175" customWidth="1"/>
    <col min="13830" max="13830" width="27.140625" style="175" customWidth="1"/>
    <col min="13831" max="13833" width="9.7109375" style="175" customWidth="1"/>
    <col min="13834" max="14080" width="9.140625" style="175"/>
    <col min="14081" max="14081" width="37.42578125" style="175" customWidth="1"/>
    <col min="14082" max="14085" width="9.7109375" style="175" customWidth="1"/>
    <col min="14086" max="14086" width="27.140625" style="175" customWidth="1"/>
    <col min="14087" max="14089" width="9.7109375" style="175" customWidth="1"/>
    <col min="14090" max="14336" width="9.140625" style="175"/>
    <col min="14337" max="14337" width="37.42578125" style="175" customWidth="1"/>
    <col min="14338" max="14341" width="9.7109375" style="175" customWidth="1"/>
    <col min="14342" max="14342" width="27.140625" style="175" customWidth="1"/>
    <col min="14343" max="14345" width="9.7109375" style="175" customWidth="1"/>
    <col min="14346" max="14592" width="9.140625" style="175"/>
    <col min="14593" max="14593" width="37.42578125" style="175" customWidth="1"/>
    <col min="14594" max="14597" width="9.7109375" style="175" customWidth="1"/>
    <col min="14598" max="14598" width="27.140625" style="175" customWidth="1"/>
    <col min="14599" max="14601" width="9.7109375" style="175" customWidth="1"/>
    <col min="14602" max="14848" width="9.140625" style="175"/>
    <col min="14849" max="14849" width="37.42578125" style="175" customWidth="1"/>
    <col min="14850" max="14853" width="9.7109375" style="175" customWidth="1"/>
    <col min="14854" max="14854" width="27.140625" style="175" customWidth="1"/>
    <col min="14855" max="14857" width="9.7109375" style="175" customWidth="1"/>
    <col min="14858" max="15104" width="9.140625" style="175"/>
    <col min="15105" max="15105" width="37.42578125" style="175" customWidth="1"/>
    <col min="15106" max="15109" width="9.7109375" style="175" customWidth="1"/>
    <col min="15110" max="15110" width="27.140625" style="175" customWidth="1"/>
    <col min="15111" max="15113" width="9.7109375" style="175" customWidth="1"/>
    <col min="15114" max="15360" width="9.140625" style="175"/>
    <col min="15361" max="15361" width="37.42578125" style="175" customWidth="1"/>
    <col min="15362" max="15365" width="9.7109375" style="175" customWidth="1"/>
    <col min="15366" max="15366" width="27.140625" style="175" customWidth="1"/>
    <col min="15367" max="15369" width="9.7109375" style="175" customWidth="1"/>
    <col min="15370" max="15616" width="9.140625" style="175"/>
    <col min="15617" max="15617" width="37.42578125" style="175" customWidth="1"/>
    <col min="15618" max="15621" width="9.7109375" style="175" customWidth="1"/>
    <col min="15622" max="15622" width="27.140625" style="175" customWidth="1"/>
    <col min="15623" max="15625" width="9.7109375" style="175" customWidth="1"/>
    <col min="15626" max="15872" width="9.140625" style="175"/>
    <col min="15873" max="15873" width="37.42578125" style="175" customWidth="1"/>
    <col min="15874" max="15877" width="9.7109375" style="175" customWidth="1"/>
    <col min="15878" max="15878" width="27.140625" style="175" customWidth="1"/>
    <col min="15879" max="15881" width="9.7109375" style="175" customWidth="1"/>
    <col min="15882" max="16128" width="9.140625" style="175"/>
    <col min="16129" max="16129" width="37.42578125" style="175" customWidth="1"/>
    <col min="16130" max="16133" width="9.7109375" style="175" customWidth="1"/>
    <col min="16134" max="16134" width="27.140625" style="175" customWidth="1"/>
    <col min="16135" max="16137" width="9.7109375" style="175" customWidth="1"/>
    <col min="16138" max="16384" width="9.140625" style="175"/>
  </cols>
  <sheetData>
    <row r="1" spans="1:20" ht="84" customHeight="1" x14ac:dyDescent="0.2">
      <c r="A1" s="293"/>
      <c r="B1" s="555" t="s">
        <v>335</v>
      </c>
      <c r="C1" s="556"/>
      <c r="D1" s="556"/>
      <c r="E1" s="556"/>
      <c r="F1" s="556"/>
      <c r="G1" s="556"/>
      <c r="H1" s="556"/>
      <c r="I1" s="556"/>
      <c r="J1" s="302"/>
      <c r="K1" s="302"/>
      <c r="L1" s="302"/>
      <c r="M1" s="302"/>
    </row>
    <row r="2" spans="1:20" ht="20.25" x14ac:dyDescent="0.2">
      <c r="A2" s="557" t="s">
        <v>248</v>
      </c>
      <c r="B2" s="557"/>
      <c r="C2" s="557"/>
      <c r="D2" s="557"/>
      <c r="E2" s="557"/>
      <c r="F2" s="557"/>
      <c r="G2" s="557"/>
      <c r="H2" s="557"/>
      <c r="I2" s="557"/>
      <c r="J2" s="302"/>
      <c r="K2" s="302"/>
      <c r="L2" s="302"/>
      <c r="M2" s="302"/>
    </row>
    <row r="3" spans="1:20" ht="21" customHeight="1" x14ac:dyDescent="0.2">
      <c r="A3" s="558"/>
      <c r="B3" s="558"/>
      <c r="C3" s="558"/>
      <c r="D3" s="558"/>
      <c r="E3" s="558"/>
      <c r="F3" s="558"/>
      <c r="G3" s="558"/>
      <c r="H3" s="558"/>
      <c r="I3" s="558"/>
      <c r="J3" s="302"/>
      <c r="K3" s="302"/>
      <c r="L3" s="302"/>
      <c r="M3" s="302"/>
    </row>
    <row r="4" spans="1:20" ht="15.75" customHeight="1" x14ac:dyDescent="0.2">
      <c r="A4" s="303" t="s">
        <v>249</v>
      </c>
      <c r="B4" s="559" t="s">
        <v>249</v>
      </c>
      <c r="C4" s="560"/>
      <c r="D4" s="560"/>
      <c r="E4" s="560"/>
      <c r="F4" s="561" t="s">
        <v>250</v>
      </c>
      <c r="G4" s="562"/>
      <c r="H4" s="562"/>
      <c r="I4" s="563"/>
      <c r="J4" s="302"/>
      <c r="K4" s="304"/>
      <c r="L4" s="302"/>
      <c r="M4" s="302"/>
    </row>
    <row r="5" spans="1:20" s="294" customFormat="1" x14ac:dyDescent="0.2">
      <c r="A5" s="305" t="s">
        <v>251</v>
      </c>
      <c r="B5" s="561" t="s">
        <v>252</v>
      </c>
      <c r="C5" s="562"/>
      <c r="D5" s="562"/>
      <c r="E5" s="562"/>
      <c r="F5" s="561" t="s">
        <v>253</v>
      </c>
      <c r="G5" s="562"/>
      <c r="H5" s="562"/>
      <c r="I5" s="563"/>
      <c r="J5" s="306"/>
      <c r="K5" s="306"/>
      <c r="L5" s="306"/>
      <c r="M5" s="306"/>
    </row>
    <row r="6" spans="1:20" x14ac:dyDescent="0.2">
      <c r="A6" s="305" t="s">
        <v>254</v>
      </c>
      <c r="B6" s="561" t="s">
        <v>255</v>
      </c>
      <c r="C6" s="562"/>
      <c r="D6" s="562"/>
      <c r="E6" s="562"/>
      <c r="F6" s="561" t="s">
        <v>256</v>
      </c>
      <c r="G6" s="562"/>
      <c r="H6" s="562"/>
      <c r="I6" s="563"/>
      <c r="J6" s="302"/>
      <c r="K6" s="302"/>
      <c r="L6" s="302"/>
      <c r="M6" s="302"/>
    </row>
    <row r="7" spans="1:20" ht="25.5" x14ac:dyDescent="0.2">
      <c r="A7" s="305" t="s">
        <v>257</v>
      </c>
      <c r="B7" s="561" t="s">
        <v>258</v>
      </c>
      <c r="C7" s="562"/>
      <c r="D7" s="562"/>
      <c r="E7" s="562"/>
      <c r="F7" s="561" t="s">
        <v>259</v>
      </c>
      <c r="G7" s="562"/>
      <c r="H7" s="562"/>
      <c r="I7" s="563"/>
      <c r="J7" s="302"/>
      <c r="K7" s="302"/>
      <c r="L7" s="302"/>
      <c r="M7" s="302"/>
    </row>
    <row r="8" spans="1:20" s="295" customFormat="1" ht="14.25" x14ac:dyDescent="0.2">
      <c r="A8" s="564" t="s">
        <v>260</v>
      </c>
      <c r="B8" s="565"/>
      <c r="C8" s="565"/>
      <c r="D8" s="565"/>
      <c r="E8" s="565"/>
      <c r="F8" s="565"/>
      <c r="G8" s="565"/>
      <c r="H8" s="565"/>
      <c r="I8" s="566"/>
      <c r="J8" s="307"/>
      <c r="K8" s="308"/>
      <c r="L8" s="307"/>
      <c r="M8" s="307"/>
    </row>
    <row r="9" spans="1:20" s="296" customFormat="1" ht="21" customHeight="1" x14ac:dyDescent="0.2">
      <c r="A9" s="554"/>
      <c r="B9" s="554"/>
      <c r="C9" s="554"/>
      <c r="D9" s="554"/>
      <c r="E9" s="554"/>
      <c r="F9" s="554"/>
      <c r="G9" s="554"/>
      <c r="H9" s="554"/>
      <c r="I9" s="554"/>
      <c r="J9" s="302"/>
      <c r="K9" s="302"/>
      <c r="L9" s="302"/>
      <c r="M9" s="302"/>
      <c r="N9" s="175"/>
      <c r="O9" s="175"/>
      <c r="P9" s="175"/>
      <c r="Q9" s="175"/>
      <c r="R9" s="175"/>
      <c r="S9" s="175"/>
      <c r="T9" s="175"/>
    </row>
    <row r="10" spans="1:20" ht="12.75" customHeight="1" x14ac:dyDescent="0.2">
      <c r="A10" s="533" t="s">
        <v>261</v>
      </c>
      <c r="B10" s="533"/>
      <c r="C10" s="533"/>
      <c r="D10" s="533"/>
      <c r="E10" s="533"/>
      <c r="F10" s="533"/>
      <c r="G10" s="533"/>
      <c r="H10" s="533"/>
      <c r="I10" s="533"/>
      <c r="J10" s="302"/>
      <c r="K10" s="302"/>
      <c r="L10" s="302"/>
      <c r="M10" s="302"/>
    </row>
    <row r="11" spans="1:20" ht="12.75" customHeight="1" x14ac:dyDescent="0.2">
      <c r="A11" s="533"/>
      <c r="B11" s="533"/>
      <c r="C11" s="533"/>
      <c r="D11" s="533"/>
      <c r="E11" s="533"/>
      <c r="F11" s="533"/>
      <c r="G11" s="533"/>
      <c r="H11" s="533"/>
      <c r="I11" s="533"/>
      <c r="J11" s="302"/>
      <c r="K11" s="302"/>
      <c r="L11" s="302"/>
      <c r="M11" s="302"/>
    </row>
    <row r="12" spans="1:20" s="296" customFormat="1" ht="15.75" x14ac:dyDescent="0.2">
      <c r="A12" s="552"/>
      <c r="B12" s="552"/>
      <c r="C12" s="552"/>
      <c r="D12" s="552"/>
      <c r="E12" s="552"/>
      <c r="F12" s="552"/>
      <c r="G12" s="552"/>
      <c r="H12" s="552"/>
      <c r="I12" s="552"/>
      <c r="J12" s="302"/>
      <c r="K12" s="302"/>
      <c r="L12" s="302"/>
      <c r="M12" s="302"/>
      <c r="N12" s="175"/>
      <c r="O12" s="175"/>
      <c r="P12" s="175"/>
      <c r="Q12" s="175"/>
      <c r="R12" s="175"/>
      <c r="S12" s="175"/>
      <c r="T12" s="175"/>
    </row>
    <row r="13" spans="1:20" s="297" customFormat="1" ht="15.75" x14ac:dyDescent="0.25">
      <c r="A13" s="309" t="s">
        <v>5</v>
      </c>
      <c r="B13" s="553" t="s">
        <v>262</v>
      </c>
      <c r="C13" s="553"/>
      <c r="D13" s="553" t="s">
        <v>263</v>
      </c>
      <c r="E13" s="553"/>
      <c r="F13" s="553" t="s">
        <v>264</v>
      </c>
      <c r="G13" s="553"/>
      <c r="H13" s="553" t="s">
        <v>265</v>
      </c>
      <c r="I13" s="553"/>
      <c r="J13" s="310"/>
      <c r="K13" s="310"/>
      <c r="L13" s="310"/>
      <c r="M13" s="310"/>
    </row>
    <row r="14" spans="1:20" ht="14.25" x14ac:dyDescent="0.2">
      <c r="A14" s="311" t="s">
        <v>266</v>
      </c>
      <c r="B14" s="312" t="s">
        <v>267</v>
      </c>
      <c r="C14" s="312" t="s">
        <v>268</v>
      </c>
      <c r="D14" s="312" t="s">
        <v>267</v>
      </c>
      <c r="E14" s="312" t="s">
        <v>268</v>
      </c>
      <c r="F14" s="312" t="s">
        <v>267</v>
      </c>
      <c r="G14" s="312" t="s">
        <v>268</v>
      </c>
      <c r="H14" s="312" t="s">
        <v>267</v>
      </c>
      <c r="I14" s="312" t="s">
        <v>268</v>
      </c>
      <c r="J14" s="302"/>
      <c r="K14" s="302"/>
      <c r="L14" s="302"/>
      <c r="M14" s="302"/>
    </row>
    <row r="15" spans="1:20" x14ac:dyDescent="0.2">
      <c r="A15" s="313" t="s">
        <v>269</v>
      </c>
      <c r="B15" s="314">
        <v>0.03</v>
      </c>
      <c r="C15" s="314">
        <v>6.1600000000000002E-2</v>
      </c>
      <c r="D15" s="314">
        <v>5.5E-2</v>
      </c>
      <c r="E15" s="314">
        <v>8.9599999999999999E-2</v>
      </c>
      <c r="F15" s="314">
        <v>0.04</v>
      </c>
      <c r="G15" s="314">
        <v>7.3999999999999996E-2</v>
      </c>
      <c r="H15" s="298">
        <v>0.04</v>
      </c>
      <c r="I15" s="298">
        <v>7.3999999999999996E-2</v>
      </c>
      <c r="J15" s="302"/>
      <c r="K15" s="302"/>
      <c r="L15" s="302"/>
      <c r="M15" s="302"/>
    </row>
    <row r="16" spans="1:20" ht="14.25" x14ac:dyDescent="0.2">
      <c r="A16" s="311" t="s">
        <v>270</v>
      </c>
      <c r="B16" s="544">
        <v>5.8999999999999999E-3</v>
      </c>
      <c r="C16" s="544"/>
      <c r="D16" s="544">
        <v>1.3899999999999999E-2</v>
      </c>
      <c r="E16" s="544"/>
      <c r="F16" s="544">
        <v>1.23E-2</v>
      </c>
      <c r="G16" s="544"/>
      <c r="H16" s="545">
        <v>1.23E-2</v>
      </c>
      <c r="I16" s="551"/>
      <c r="J16" s="302"/>
      <c r="K16" s="302"/>
      <c r="L16" s="302"/>
      <c r="M16" s="302"/>
    </row>
    <row r="17" spans="1:17" ht="14.25" x14ac:dyDescent="0.2">
      <c r="A17" s="311" t="s">
        <v>271</v>
      </c>
      <c r="B17" s="544">
        <v>8.0000000000000002E-3</v>
      </c>
      <c r="C17" s="544"/>
      <c r="D17" s="544">
        <v>0.01</v>
      </c>
      <c r="E17" s="544"/>
      <c r="F17" s="544">
        <v>8.0000000000000002E-3</v>
      </c>
      <c r="G17" s="544"/>
      <c r="H17" s="545">
        <v>8.0000000000000002E-3</v>
      </c>
      <c r="I17" s="551"/>
      <c r="J17" s="302"/>
      <c r="K17" s="302"/>
      <c r="L17" s="302"/>
      <c r="M17" s="302"/>
    </row>
    <row r="18" spans="1:17" ht="13.5" thickBot="1" x14ac:dyDescent="0.25">
      <c r="A18" s="315" t="s">
        <v>272</v>
      </c>
      <c r="B18" s="544">
        <v>9.7000000000000003E-3</v>
      </c>
      <c r="C18" s="544"/>
      <c r="D18" s="544">
        <v>1.2699999999999999E-2</v>
      </c>
      <c r="E18" s="544"/>
      <c r="F18" s="544">
        <v>1.2699999999999999E-2</v>
      </c>
      <c r="G18" s="544"/>
      <c r="H18" s="545">
        <v>1.2699999999999999E-2</v>
      </c>
      <c r="I18" s="545"/>
      <c r="J18" s="302"/>
      <c r="K18" s="302"/>
      <c r="L18" s="302"/>
      <c r="M18" s="302"/>
    </row>
    <row r="19" spans="1:17" ht="14.25" x14ac:dyDescent="0.2">
      <c r="A19" s="316" t="s">
        <v>273</v>
      </c>
      <c r="B19" s="548">
        <v>4.65E-2</v>
      </c>
      <c r="C19" s="548"/>
      <c r="D19" s="548">
        <v>8.6499999999999994E-2</v>
      </c>
      <c r="E19" s="548"/>
      <c r="F19" s="548">
        <v>5.3999999999999999E-2</v>
      </c>
      <c r="G19" s="548"/>
      <c r="H19" s="549">
        <f>SUM(H20:I22)</f>
        <v>0.10900000000000001</v>
      </c>
      <c r="I19" s="550"/>
      <c r="J19" s="302"/>
      <c r="K19" s="302"/>
      <c r="L19" s="538" t="s">
        <v>274</v>
      </c>
      <c r="M19" s="539"/>
    </row>
    <row r="20" spans="1:17" ht="15.75" customHeight="1" x14ac:dyDescent="0.2">
      <c r="A20" s="317" t="s">
        <v>275</v>
      </c>
      <c r="B20" s="544">
        <v>0.02</v>
      </c>
      <c r="C20" s="544"/>
      <c r="D20" s="544">
        <v>0.05</v>
      </c>
      <c r="E20" s="544"/>
      <c r="F20" s="544">
        <v>3.5000000000000003E-2</v>
      </c>
      <c r="G20" s="544"/>
      <c r="H20" s="545">
        <v>3.5000000000000003E-2</v>
      </c>
      <c r="I20" s="545"/>
      <c r="J20" s="302"/>
      <c r="K20" s="302"/>
      <c r="L20" s="540"/>
      <c r="M20" s="541"/>
    </row>
    <row r="21" spans="1:17" ht="13.5" thickBot="1" x14ac:dyDescent="0.25">
      <c r="A21" s="317" t="s">
        <v>276</v>
      </c>
      <c r="B21" s="544" t="s">
        <v>277</v>
      </c>
      <c r="C21" s="544"/>
      <c r="D21" s="544" t="s">
        <v>277</v>
      </c>
      <c r="E21" s="544"/>
      <c r="F21" s="544" t="s">
        <v>277</v>
      </c>
      <c r="G21" s="544"/>
      <c r="H21" s="545">
        <v>1.32E-2</v>
      </c>
      <c r="I21" s="545"/>
      <c r="J21" s="302"/>
      <c r="K21" s="302"/>
      <c r="L21" s="542"/>
      <c r="M21" s="543"/>
    </row>
    <row r="22" spans="1:17" ht="15.75" customHeight="1" x14ac:dyDescent="0.2">
      <c r="A22" s="317" t="s">
        <v>278</v>
      </c>
      <c r="B22" s="544" t="s">
        <v>277</v>
      </c>
      <c r="C22" s="544"/>
      <c r="D22" s="544" t="s">
        <v>277</v>
      </c>
      <c r="E22" s="544"/>
      <c r="F22" s="544" t="s">
        <v>277</v>
      </c>
      <c r="G22" s="544"/>
      <c r="H22" s="545">
        <v>6.08E-2</v>
      </c>
      <c r="I22" s="545"/>
      <c r="J22" s="302"/>
      <c r="K22" s="302"/>
      <c r="L22" s="546" t="s">
        <v>279</v>
      </c>
      <c r="M22" s="547"/>
      <c r="O22" s="299">
        <f>H24</f>
        <v>0.2942804255218856</v>
      </c>
    </row>
    <row r="23" spans="1:17" ht="15.75" thickBot="1" x14ac:dyDescent="0.25">
      <c r="A23" s="318"/>
      <c r="B23" s="319"/>
      <c r="C23" s="319"/>
      <c r="D23" s="319"/>
      <c r="E23" s="319"/>
      <c r="F23" s="319"/>
      <c r="G23" s="319"/>
      <c r="H23" s="320"/>
      <c r="I23" s="320"/>
      <c r="J23" s="302"/>
      <c r="K23" s="302"/>
      <c r="L23" s="536" t="s">
        <v>280</v>
      </c>
      <c r="M23" s="537"/>
    </row>
    <row r="24" spans="1:17" ht="26.25" x14ac:dyDescent="0.2">
      <c r="A24" s="528" t="s">
        <v>281</v>
      </c>
      <c r="B24" s="529"/>
      <c r="C24" s="529"/>
      <c r="D24" s="529"/>
      <c r="E24" s="529"/>
      <c r="F24" s="529"/>
      <c r="G24" s="530"/>
      <c r="H24" s="531">
        <f>(((1+H28+H29+H30)*(1+H31)*(1+H32))/(1-H33))-1</f>
        <v>0.2942804255218856</v>
      </c>
      <c r="I24" s="531"/>
      <c r="J24" s="321">
        <f>H24</f>
        <v>0.2942804255218856</v>
      </c>
      <c r="K24" s="322"/>
      <c r="L24" s="302"/>
      <c r="M24" s="302"/>
    </row>
    <row r="25" spans="1:17" ht="21.75" customHeight="1" x14ac:dyDescent="0.2">
      <c r="A25" s="532"/>
      <c r="B25" s="532"/>
      <c r="C25" s="532"/>
      <c r="D25" s="532"/>
      <c r="E25" s="532"/>
      <c r="F25" s="532"/>
      <c r="G25" s="532"/>
      <c r="H25" s="532"/>
      <c r="I25" s="532"/>
      <c r="J25" s="302"/>
      <c r="K25" s="302"/>
      <c r="L25" s="302"/>
      <c r="M25" s="302"/>
    </row>
    <row r="26" spans="1:17" ht="15.75" x14ac:dyDescent="0.2">
      <c r="A26" s="533" t="s">
        <v>282</v>
      </c>
      <c r="B26" s="533"/>
      <c r="C26" s="533"/>
      <c r="D26" s="533"/>
      <c r="E26" s="533"/>
      <c r="F26" s="533"/>
      <c r="G26" s="533"/>
      <c r="H26" s="533"/>
      <c r="I26" s="533"/>
      <c r="J26" s="302"/>
      <c r="K26" s="302"/>
      <c r="L26" s="302"/>
      <c r="M26" s="302"/>
    </row>
    <row r="27" spans="1:17" ht="18" customHeight="1" x14ac:dyDescent="0.2">
      <c r="A27" s="534" t="s">
        <v>283</v>
      </c>
      <c r="B27" s="534"/>
      <c r="C27" s="534"/>
      <c r="D27" s="534"/>
      <c r="E27" s="534"/>
      <c r="F27" s="534"/>
      <c r="G27" s="534"/>
      <c r="H27" s="535" t="s">
        <v>265</v>
      </c>
      <c r="I27" s="535"/>
      <c r="J27" s="302"/>
      <c r="K27" s="302"/>
      <c r="L27" s="302"/>
      <c r="M27" s="302"/>
    </row>
    <row r="28" spans="1:17" ht="18" customHeight="1" x14ac:dyDescent="0.2">
      <c r="A28" s="522" t="s">
        <v>252</v>
      </c>
      <c r="B28" s="522"/>
      <c r="C28" s="522"/>
      <c r="D28" s="522"/>
      <c r="E28" s="522"/>
      <c r="F28" s="522"/>
      <c r="G28" s="522"/>
      <c r="H28" s="523">
        <f>H15</f>
        <v>0.04</v>
      </c>
      <c r="I28" s="523"/>
      <c r="J28" s="302"/>
      <c r="K28" s="302"/>
      <c r="L28" s="302"/>
      <c r="M28" s="302"/>
    </row>
    <row r="29" spans="1:17" ht="18" customHeight="1" x14ac:dyDescent="0.2">
      <c r="A29" s="524" t="s">
        <v>284</v>
      </c>
      <c r="B29" s="524"/>
      <c r="C29" s="524"/>
      <c r="D29" s="524"/>
      <c r="E29" s="524"/>
      <c r="F29" s="524"/>
      <c r="G29" s="524"/>
      <c r="H29" s="523">
        <f>H17</f>
        <v>8.0000000000000002E-3</v>
      </c>
      <c r="I29" s="523"/>
      <c r="J29" s="302"/>
      <c r="K29" s="302"/>
      <c r="L29" s="302"/>
      <c r="M29" s="302"/>
    </row>
    <row r="30" spans="1:17" ht="17.25" customHeight="1" x14ac:dyDescent="0.2">
      <c r="A30" s="524" t="s">
        <v>258</v>
      </c>
      <c r="B30" s="524"/>
      <c r="C30" s="524"/>
      <c r="D30" s="524"/>
      <c r="E30" s="524"/>
      <c r="F30" s="524"/>
      <c r="G30" s="524"/>
      <c r="H30" s="523">
        <f>H18</f>
        <v>1.2699999999999999E-2</v>
      </c>
      <c r="I30" s="523"/>
      <c r="J30" s="302"/>
      <c r="K30" s="302"/>
      <c r="L30" s="302"/>
      <c r="M30" s="302"/>
      <c r="Q30" s="391"/>
    </row>
    <row r="31" spans="1:17" ht="18" customHeight="1" x14ac:dyDescent="0.2">
      <c r="A31" s="522" t="s">
        <v>253</v>
      </c>
      <c r="B31" s="522"/>
      <c r="C31" s="522"/>
      <c r="D31" s="522"/>
      <c r="E31" s="522"/>
      <c r="F31" s="522"/>
      <c r="G31" s="522"/>
      <c r="H31" s="523">
        <f>H16</f>
        <v>1.23E-2</v>
      </c>
      <c r="I31" s="523"/>
      <c r="J31" s="302"/>
      <c r="K31" s="302"/>
      <c r="L31" s="302"/>
      <c r="M31" s="302"/>
    </row>
    <row r="32" spans="1:17" ht="18" customHeight="1" x14ac:dyDescent="0.2">
      <c r="A32" s="524" t="s">
        <v>256</v>
      </c>
      <c r="B32" s="524"/>
      <c r="C32" s="524"/>
      <c r="D32" s="524"/>
      <c r="E32" s="524"/>
      <c r="F32" s="524"/>
      <c r="G32" s="524"/>
      <c r="H32" s="523">
        <f>I15</f>
        <v>7.3999999999999996E-2</v>
      </c>
      <c r="I32" s="523"/>
      <c r="J32" s="302"/>
      <c r="K32" s="302"/>
      <c r="L32" s="302"/>
      <c r="M32" s="302"/>
    </row>
    <row r="33" spans="1:13" ht="16.5" customHeight="1" x14ac:dyDescent="0.2">
      <c r="A33" s="522" t="s">
        <v>259</v>
      </c>
      <c r="B33" s="522"/>
      <c r="C33" s="522"/>
      <c r="D33" s="522"/>
      <c r="E33" s="522"/>
      <c r="F33" s="522"/>
      <c r="G33" s="522"/>
      <c r="H33" s="523">
        <f>H19</f>
        <v>0.10900000000000001</v>
      </c>
      <c r="I33" s="523"/>
      <c r="J33" s="302"/>
      <c r="K33" s="302"/>
      <c r="L33" s="302"/>
      <c r="M33" s="302"/>
    </row>
    <row r="34" spans="1:13" ht="16.5" customHeight="1" x14ac:dyDescent="0.2">
      <c r="A34" s="525"/>
      <c r="B34" s="525"/>
      <c r="C34" s="525"/>
      <c r="D34" s="525"/>
      <c r="E34" s="525"/>
      <c r="F34" s="525"/>
      <c r="G34" s="525"/>
      <c r="H34" s="525"/>
      <c r="I34" s="525"/>
      <c r="J34" s="302"/>
      <c r="K34" s="302"/>
      <c r="L34" s="302"/>
      <c r="M34" s="302"/>
    </row>
    <row r="35" spans="1:13" ht="15" x14ac:dyDescent="0.2">
      <c r="A35" s="526" t="s">
        <v>285</v>
      </c>
      <c r="B35" s="526"/>
      <c r="C35" s="526"/>
      <c r="D35" s="526"/>
      <c r="E35" s="526"/>
      <c r="F35" s="526"/>
      <c r="G35" s="526"/>
      <c r="H35" s="526"/>
      <c r="I35" s="526"/>
      <c r="J35" s="302"/>
      <c r="K35" s="302"/>
      <c r="L35" s="302"/>
      <c r="M35" s="302"/>
    </row>
    <row r="36" spans="1:13" ht="15" x14ac:dyDescent="0.2">
      <c r="A36" s="323"/>
      <c r="B36" s="323"/>
      <c r="C36" s="323"/>
      <c r="D36" s="323"/>
      <c r="E36" s="323"/>
      <c r="F36" s="323"/>
      <c r="G36" s="323"/>
      <c r="H36" s="323"/>
      <c r="I36" s="323"/>
      <c r="J36" s="302"/>
      <c r="K36" s="302"/>
      <c r="L36" s="302"/>
      <c r="M36" s="302"/>
    </row>
    <row r="37" spans="1:13" ht="15" x14ac:dyDescent="0.2">
      <c r="A37" s="324" t="s">
        <v>286</v>
      </c>
      <c r="B37" s="323"/>
      <c r="C37" s="323"/>
      <c r="D37" s="323"/>
      <c r="E37" s="323"/>
      <c r="F37" s="323"/>
      <c r="G37" s="323"/>
      <c r="H37" s="323"/>
      <c r="I37" s="323"/>
      <c r="J37" s="302"/>
      <c r="K37" s="302"/>
      <c r="L37" s="302"/>
      <c r="M37" s="302"/>
    </row>
    <row r="38" spans="1:13" ht="54.75" customHeight="1" x14ac:dyDescent="0.2">
      <c r="A38" s="527" t="s">
        <v>287</v>
      </c>
      <c r="B38" s="527"/>
      <c r="C38" s="527"/>
      <c r="D38" s="527"/>
      <c r="E38" s="527"/>
      <c r="F38" s="527"/>
      <c r="G38" s="527"/>
      <c r="H38" s="527"/>
      <c r="I38" s="527"/>
      <c r="J38" s="527"/>
      <c r="K38" s="302"/>
      <c r="L38" s="302"/>
      <c r="M38" s="302"/>
    </row>
    <row r="39" spans="1:13" ht="21" customHeight="1" x14ac:dyDescent="0.2">
      <c r="A39" s="527" t="s">
        <v>288</v>
      </c>
      <c r="B39" s="527"/>
      <c r="C39" s="527"/>
      <c r="D39" s="527"/>
      <c r="E39" s="527"/>
      <c r="F39" s="527"/>
      <c r="G39" s="527"/>
      <c r="H39" s="527"/>
      <c r="I39" s="527"/>
      <c r="J39" s="300"/>
      <c r="K39" s="302"/>
      <c r="L39" s="302"/>
      <c r="M39" s="302"/>
    </row>
    <row r="40" spans="1:13" ht="42" customHeight="1" x14ac:dyDescent="0.2">
      <c r="A40" s="527" t="s">
        <v>289</v>
      </c>
      <c r="B40" s="527"/>
      <c r="C40" s="527"/>
      <c r="D40" s="527"/>
      <c r="E40" s="527"/>
      <c r="F40" s="527"/>
      <c r="G40" s="527"/>
      <c r="H40" s="527"/>
      <c r="I40" s="527"/>
      <c r="J40" s="527"/>
      <c r="K40" s="302"/>
      <c r="L40" s="302"/>
      <c r="M40" s="302"/>
    </row>
    <row r="41" spans="1:13" s="294" customFormat="1" ht="21" customHeight="1" x14ac:dyDescent="0.2">
      <c r="A41" s="521" t="s">
        <v>290</v>
      </c>
      <c r="B41" s="521"/>
      <c r="C41" s="521"/>
      <c r="D41" s="521"/>
      <c r="E41" s="393"/>
      <c r="F41" s="301"/>
      <c r="G41" s="301"/>
      <c r="H41" s="301"/>
      <c r="I41" s="301"/>
      <c r="J41" s="301"/>
      <c r="K41" s="306"/>
      <c r="L41" s="306"/>
      <c r="M41" s="306"/>
    </row>
    <row r="42" spans="1:13" ht="21" customHeight="1" x14ac:dyDescent="0.2">
      <c r="A42" s="306" t="s">
        <v>291</v>
      </c>
      <c r="B42" s="302"/>
      <c r="C42" s="302"/>
      <c r="D42" s="302"/>
      <c r="E42" s="302"/>
      <c r="F42" s="302"/>
      <c r="G42" s="302"/>
      <c r="H42" s="302"/>
      <c r="I42" s="302"/>
      <c r="J42" s="300"/>
      <c r="K42" s="302"/>
      <c r="L42" s="302"/>
      <c r="M42" s="302"/>
    </row>
    <row r="43" spans="1:13" x14ac:dyDescent="0.2">
      <c r="A43" s="391"/>
      <c r="B43" s="391"/>
      <c r="C43" s="391"/>
      <c r="D43" s="391"/>
      <c r="E43" s="391"/>
      <c r="F43" s="391"/>
      <c r="G43" s="391"/>
      <c r="H43" s="391"/>
      <c r="I43" s="391"/>
      <c r="J43" s="300"/>
      <c r="K43" s="302"/>
      <c r="L43" s="302"/>
      <c r="M43" s="302"/>
    </row>
    <row r="44" spans="1:13" x14ac:dyDescent="0.2">
      <c r="A44" s="391"/>
      <c r="B44" s="391"/>
      <c r="C44" s="391"/>
      <c r="D44" s="391"/>
      <c r="E44" s="391"/>
      <c r="F44" s="391"/>
      <c r="G44" s="391"/>
      <c r="H44" s="391"/>
      <c r="I44" s="391"/>
      <c r="J44" s="300"/>
      <c r="K44" s="302"/>
      <c r="L44" s="302"/>
      <c r="M44" s="302"/>
    </row>
    <row r="45" spans="1:13" ht="15" x14ac:dyDescent="0.2">
      <c r="A45" s="519" t="s">
        <v>347</v>
      </c>
      <c r="B45" s="519"/>
      <c r="C45" s="519"/>
      <c r="D45" s="519"/>
      <c r="E45" s="519"/>
      <c r="F45" s="519"/>
      <c r="G45" s="519"/>
      <c r="H45" s="519"/>
      <c r="I45" s="519"/>
      <c r="J45" s="300"/>
      <c r="K45" s="302"/>
      <c r="L45" s="302"/>
      <c r="M45" s="302"/>
    </row>
    <row r="46" spans="1:13" ht="15" x14ac:dyDescent="0.2">
      <c r="A46" s="519" t="s">
        <v>293</v>
      </c>
      <c r="B46" s="519"/>
      <c r="C46" s="519"/>
      <c r="D46" s="519"/>
      <c r="E46" s="519"/>
      <c r="F46" s="519"/>
      <c r="G46" s="519"/>
      <c r="H46" s="519"/>
      <c r="I46" s="519"/>
      <c r="J46" s="300"/>
      <c r="K46" s="302"/>
      <c r="L46" s="302"/>
      <c r="M46" s="302"/>
    </row>
    <row r="47" spans="1:13" x14ac:dyDescent="0.2">
      <c r="A47" s="520"/>
      <c r="B47" s="520"/>
      <c r="C47" s="520"/>
      <c r="D47" s="520"/>
      <c r="E47" s="520"/>
      <c r="F47" s="520"/>
      <c r="G47" s="520"/>
      <c r="H47" s="520"/>
      <c r="I47" s="520"/>
    </row>
  </sheetData>
  <sheetProtection algorithmName="SHA-512" hashValue="t+53TAgC1itdR3TOBFzGOPLXqsZFbp36kkuHuJFtwW4PUe7/U2ydE2q97yz5NfI2zjIHmyPtvsjZDjqDb4JqeA==" saltValue="XgchU4NKaAqnOM/KlNOcxg==" spinCount="100000" sheet="1" objects="1" scenarios="1" selectLockedCells="1"/>
  <mergeCells count="77">
    <mergeCell ref="A9:I9"/>
    <mergeCell ref="B1:I1"/>
    <mergeCell ref="A2:I2"/>
    <mergeCell ref="A3:I3"/>
    <mergeCell ref="B4:E4"/>
    <mergeCell ref="F4:I4"/>
    <mergeCell ref="B5:E5"/>
    <mergeCell ref="F5:I5"/>
    <mergeCell ref="B6:E6"/>
    <mergeCell ref="F6:I6"/>
    <mergeCell ref="B7:E7"/>
    <mergeCell ref="F7:I7"/>
    <mergeCell ref="A8:I8"/>
    <mergeCell ref="A10:I11"/>
    <mergeCell ref="A12:I12"/>
    <mergeCell ref="B13:C13"/>
    <mergeCell ref="D13:E13"/>
    <mergeCell ref="F13:G13"/>
    <mergeCell ref="H13:I13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L23:M23"/>
    <mergeCell ref="L19:M21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L22:M22"/>
    <mergeCell ref="A24:G24"/>
    <mergeCell ref="H24:I24"/>
    <mergeCell ref="A25:I25"/>
    <mergeCell ref="A26:I26"/>
    <mergeCell ref="A27:G27"/>
    <mergeCell ref="H27:I27"/>
    <mergeCell ref="A28:G28"/>
    <mergeCell ref="H28:I28"/>
    <mergeCell ref="A29:G29"/>
    <mergeCell ref="H29:I29"/>
    <mergeCell ref="A30:G30"/>
    <mergeCell ref="H30:I30"/>
    <mergeCell ref="A45:I45"/>
    <mergeCell ref="A46:I46"/>
    <mergeCell ref="A47:I47"/>
    <mergeCell ref="A41:D41"/>
    <mergeCell ref="A31:G31"/>
    <mergeCell ref="H31:I31"/>
    <mergeCell ref="A32:G32"/>
    <mergeCell ref="H32:I32"/>
    <mergeCell ref="A33:G33"/>
    <mergeCell ref="H33:I33"/>
    <mergeCell ref="A34:I34"/>
    <mergeCell ref="A35:I35"/>
    <mergeCell ref="A38:J38"/>
    <mergeCell ref="A40:J40"/>
    <mergeCell ref="A39:I3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L108"/>
  <sheetViews>
    <sheetView showGridLines="0" view="pageBreakPreview" topLeftCell="A4" zoomScale="115" zoomScaleNormal="75" zoomScaleSheetLayoutView="115" workbookViewId="0">
      <selection activeCell="D20" sqref="D20"/>
    </sheetView>
  </sheetViews>
  <sheetFormatPr defaultColWidth="9.140625" defaultRowHeight="11.25" x14ac:dyDescent="0.2"/>
  <cols>
    <col min="1" max="1" width="5.7109375" style="21" customWidth="1"/>
    <col min="2" max="2" width="38.140625" style="27" customWidth="1"/>
    <col min="3" max="3" width="15.5703125" style="235" customWidth="1"/>
    <col min="4" max="4" width="11.28515625" style="4" customWidth="1"/>
    <col min="5" max="9" width="14.7109375" style="27" customWidth="1"/>
    <col min="10" max="10" width="5.140625" style="27" customWidth="1"/>
    <col min="11" max="12" width="0" style="27" hidden="1" customWidth="1"/>
    <col min="13" max="16384" width="9.140625" style="27"/>
  </cols>
  <sheetData>
    <row r="1" spans="1:9" s="3" customFormat="1" ht="54.75" customHeight="1" x14ac:dyDescent="0.2">
      <c r="A1" s="53"/>
      <c r="B1" s="187" t="s">
        <v>201</v>
      </c>
      <c r="C1" s="55"/>
      <c r="D1" s="53"/>
      <c r="E1" s="1"/>
      <c r="F1" s="1"/>
    </row>
    <row r="2" spans="1:9" s="3" customFormat="1" ht="15" x14ac:dyDescent="0.2">
      <c r="A2" s="53"/>
      <c r="B2" s="187"/>
      <c r="C2" s="55"/>
      <c r="D2" s="53"/>
      <c r="E2" s="1"/>
      <c r="F2" s="1"/>
    </row>
    <row r="3" spans="1:9" s="3" customFormat="1" ht="15.75" x14ac:dyDescent="0.2">
      <c r="A3" s="567" t="str">
        <f>'Planilha Orçamentária - Projeto'!A3</f>
        <v>ÓRGÃO CONTRATANTE: SEÇÃO JUDICIÁRIA ....</v>
      </c>
      <c r="B3" s="567"/>
      <c r="C3" s="567"/>
      <c r="D3" s="567"/>
      <c r="E3" s="567"/>
      <c r="F3" s="567"/>
      <c r="G3" s="567"/>
      <c r="H3" s="567"/>
      <c r="I3" s="567"/>
    </row>
    <row r="4" spans="1:9" s="3" customFormat="1" ht="15" x14ac:dyDescent="0.2">
      <c r="A4" s="53"/>
      <c r="B4" s="187"/>
      <c r="C4" s="55"/>
      <c r="D4" s="53"/>
      <c r="E4" s="1"/>
      <c r="F4" s="1"/>
    </row>
    <row r="5" spans="1:9" s="3" customFormat="1" ht="15" x14ac:dyDescent="0.2">
      <c r="A5" s="53"/>
      <c r="B5" s="187"/>
      <c r="C5" s="55"/>
      <c r="D5" s="53"/>
      <c r="E5" s="1"/>
      <c r="F5" s="1"/>
    </row>
    <row r="6" spans="1:9" s="3" customFormat="1" ht="15" x14ac:dyDescent="0.2">
      <c r="A6" s="53"/>
      <c r="B6" s="187"/>
      <c r="C6" s="55"/>
      <c r="D6" s="53"/>
      <c r="E6" s="1"/>
      <c r="F6" s="1"/>
    </row>
    <row r="7" spans="1:9" s="3" customFormat="1" ht="12.75" x14ac:dyDescent="0.2">
      <c r="A7" s="171" t="str">
        <f>'Planilha Orçamentária - Projeto'!A8</f>
        <v>NOME DA EMPRESA:</v>
      </c>
      <c r="B7" s="172"/>
      <c r="C7" s="173"/>
      <c r="D7" s="39"/>
      <c r="E7" s="4"/>
      <c r="F7" s="54"/>
    </row>
    <row r="8" spans="1:9" s="3" customFormat="1" ht="12.75" x14ac:dyDescent="0.2">
      <c r="A8" s="189" t="s">
        <v>181</v>
      </c>
      <c r="B8" s="171" t="str">
        <f>'Planilha Orçamentária - Projeto'!B9</f>
        <v>XX.YYY.ZZZ/AAAA-BB</v>
      </c>
      <c r="C8" s="173"/>
      <c r="D8" s="39"/>
      <c r="E8" s="4"/>
      <c r="F8" s="54"/>
    </row>
    <row r="9" spans="1:9" s="3" customFormat="1" ht="12.75" x14ac:dyDescent="0.2">
      <c r="A9" s="171" t="s">
        <v>183</v>
      </c>
      <c r="B9" s="171"/>
      <c r="C9" s="174">
        <f>'Planilha Orçamentária - Projeto'!I14</f>
        <v>180</v>
      </c>
      <c r="E9" s="4"/>
      <c r="F9" s="54"/>
    </row>
    <row r="10" spans="1:9" s="194" customFormat="1" ht="12.75" x14ac:dyDescent="0.2">
      <c r="A10" s="190"/>
      <c r="B10" s="191"/>
      <c r="C10" s="192"/>
      <c r="D10" s="190"/>
      <c r="E10" s="193"/>
      <c r="F10" s="193"/>
      <c r="G10" s="193"/>
      <c r="H10" s="193"/>
      <c r="I10" s="193"/>
    </row>
    <row r="11" spans="1:9" s="194" customFormat="1" ht="24" customHeight="1" x14ac:dyDescent="0.2">
      <c r="A11" s="571" t="str">
        <f>'Planilha Orçamentária - Projeto'!A5:L5</f>
        <v>ELABORAÇÃO DE PROJETOS PARA A CONSTRUÇÃO DO EDIFÍCIO SEDE DA SUBSEÇÃO JUDICIÁRIA DE .....</v>
      </c>
      <c r="B11" s="571"/>
      <c r="C11" s="571"/>
      <c r="D11" s="571"/>
      <c r="E11" s="571"/>
      <c r="F11" s="571"/>
      <c r="G11" s="571"/>
      <c r="H11" s="571"/>
      <c r="I11" s="571"/>
    </row>
    <row r="12" spans="1:9" s="194" customFormat="1" ht="12.75" x14ac:dyDescent="0.2">
      <c r="A12" s="195"/>
      <c r="B12" s="195"/>
      <c r="C12" s="196"/>
      <c r="D12" s="195"/>
      <c r="E12" s="195"/>
      <c r="F12" s="195"/>
      <c r="G12" s="195"/>
      <c r="H12" s="195"/>
      <c r="I12" s="195"/>
    </row>
    <row r="13" spans="1:9" s="197" customFormat="1" ht="15.75" x14ac:dyDescent="0.2">
      <c r="A13" s="570" t="s">
        <v>37</v>
      </c>
      <c r="B13" s="570"/>
      <c r="C13" s="570"/>
      <c r="D13" s="570"/>
      <c r="E13" s="570"/>
      <c r="F13" s="570"/>
      <c r="G13" s="570"/>
      <c r="H13" s="570"/>
      <c r="I13" s="570"/>
    </row>
    <row r="14" spans="1:9" s="197" customFormat="1" ht="18" customHeight="1" x14ac:dyDescent="0.2">
      <c r="A14" s="184"/>
      <c r="B14" s="33"/>
      <c r="C14" s="198"/>
      <c r="D14" s="34"/>
      <c r="E14" s="33"/>
      <c r="F14" s="199"/>
      <c r="G14" s="199"/>
      <c r="H14" s="199"/>
      <c r="I14" s="199"/>
    </row>
    <row r="15" spans="1:9" s="204" customFormat="1" ht="33" customHeight="1" x14ac:dyDescent="0.2">
      <c r="A15" s="200" t="s">
        <v>26</v>
      </c>
      <c r="B15" s="201" t="s">
        <v>5</v>
      </c>
      <c r="C15" s="202" t="s">
        <v>182</v>
      </c>
      <c r="D15" s="203" t="s">
        <v>184</v>
      </c>
      <c r="E15" s="260" t="s">
        <v>185</v>
      </c>
      <c r="F15" s="260" t="s">
        <v>186</v>
      </c>
      <c r="G15" s="260" t="s">
        <v>187</v>
      </c>
      <c r="H15" s="260" t="s">
        <v>188</v>
      </c>
      <c r="I15" s="260" t="s">
        <v>189</v>
      </c>
    </row>
    <row r="16" spans="1:9" s="204" customFormat="1" x14ac:dyDescent="0.2">
      <c r="A16" s="205" t="s">
        <v>27</v>
      </c>
      <c r="B16" s="206" t="str">
        <f>+'Planilha Orçamentária - Projeto'!B21</f>
        <v>ESTUDOS PRELIMINARES</v>
      </c>
      <c r="C16" s="207">
        <f>+'Planilha Orçamentária - Projeto'!I21</f>
        <v>53760</v>
      </c>
      <c r="D16" s="258">
        <v>0.05</v>
      </c>
      <c r="E16" s="208">
        <f>TRUNC((D16*C9),0)</f>
        <v>9</v>
      </c>
      <c r="F16" s="208"/>
      <c r="G16" s="208"/>
      <c r="H16" s="208"/>
      <c r="I16" s="208"/>
    </row>
    <row r="17" spans="1:12" s="204" customFormat="1" ht="12" customHeight="1" x14ac:dyDescent="0.2">
      <c r="A17" s="209" t="s">
        <v>28</v>
      </c>
      <c r="B17" s="210" t="str">
        <f>+'Planilha Orçamentária - Projeto'!B30</f>
        <v>ANTEPROJETO</v>
      </c>
      <c r="C17" s="211">
        <f>+'Planilha Orçamentária - Projeto'!I30</f>
        <v>161280</v>
      </c>
      <c r="D17" s="259">
        <v>0.15</v>
      </c>
      <c r="E17" s="261"/>
      <c r="F17" s="213">
        <f>TRUNC((D17*C9),0)</f>
        <v>27</v>
      </c>
      <c r="G17" s="213"/>
      <c r="H17" s="214"/>
      <c r="I17" s="214"/>
      <c r="J17" s="215"/>
    </row>
    <row r="18" spans="1:12" s="204" customFormat="1" ht="12" customHeight="1" x14ac:dyDescent="0.2">
      <c r="A18" s="205" t="s">
        <v>29</v>
      </c>
      <c r="B18" s="206" t="str">
        <f>+'Planilha Orçamentária - Projeto'!B57</f>
        <v>PROJETO BÁSICO</v>
      </c>
      <c r="C18" s="207">
        <f>+'Planilha Orçamentária - Projeto'!I57</f>
        <v>483840</v>
      </c>
      <c r="D18" s="258">
        <v>0.45</v>
      </c>
      <c r="E18" s="216"/>
      <c r="F18" s="262"/>
      <c r="G18" s="216">
        <f>L18</f>
        <v>81</v>
      </c>
      <c r="H18" s="216"/>
      <c r="I18" s="216"/>
      <c r="J18" s="215"/>
      <c r="K18" s="269">
        <f>TRUNC((D18*C9),0)</f>
        <v>81</v>
      </c>
      <c r="L18" s="269">
        <f>K18+(C9-E16-F17-H19-I20-K18)</f>
        <v>81</v>
      </c>
    </row>
    <row r="19" spans="1:12" s="204" customFormat="1" ht="12" customHeight="1" x14ac:dyDescent="0.2">
      <c r="A19" s="209" t="s">
        <v>30</v>
      </c>
      <c r="B19" s="210" t="str">
        <f>+'Planilha Orçamentária - Projeto'!B89</f>
        <v>PROJETO EXECUTIVO</v>
      </c>
      <c r="C19" s="211">
        <f>+'Planilha Orçamentária - Projeto'!I89</f>
        <v>268800</v>
      </c>
      <c r="D19" s="259">
        <v>0.25</v>
      </c>
      <c r="E19" s="214"/>
      <c r="F19" s="213"/>
      <c r="G19" s="261"/>
      <c r="H19" s="213">
        <f>TRUNC((D19*C9),0)</f>
        <v>45</v>
      </c>
      <c r="I19" s="213"/>
      <c r="J19" s="215"/>
    </row>
    <row r="20" spans="1:12" s="204" customFormat="1" ht="12" customHeight="1" x14ac:dyDescent="0.2">
      <c r="A20" s="205" t="s">
        <v>31</v>
      </c>
      <c r="B20" s="217" t="str">
        <f>+'Planilha Orçamentária - Projeto'!B123</f>
        <v>APROVAÇÃO DE PROJETOS E ENTREGA DE DOCUMENTAÇÃO</v>
      </c>
      <c r="C20" s="207">
        <f>+'Planilha Orçamentária - Projeto'!I123</f>
        <v>107520</v>
      </c>
      <c r="D20" s="258">
        <v>0.1</v>
      </c>
      <c r="E20" s="218"/>
      <c r="F20" s="218"/>
      <c r="G20" s="218"/>
      <c r="H20" s="262"/>
      <c r="I20" s="216">
        <f>TRUNC((D20*C9),0)</f>
        <v>18</v>
      </c>
      <c r="J20" s="215"/>
      <c r="K20" s="270"/>
    </row>
    <row r="21" spans="1:12" s="204" customFormat="1" x14ac:dyDescent="0.2">
      <c r="A21" s="209"/>
      <c r="B21" s="210"/>
      <c r="C21" s="211"/>
      <c r="D21" s="219"/>
      <c r="E21" s="214"/>
      <c r="F21" s="214"/>
      <c r="G21" s="214"/>
      <c r="H21" s="213"/>
      <c r="I21" s="261"/>
      <c r="J21" s="215"/>
    </row>
    <row r="22" spans="1:12" s="204" customFormat="1" ht="12" customHeight="1" x14ac:dyDescent="0.2">
      <c r="A22" s="573"/>
      <c r="B22" s="573"/>
      <c r="C22" s="220">
        <f>SUM(C16:C20)</f>
        <v>1075200</v>
      </c>
      <c r="D22" s="212">
        <f>SUM(D16:D20)</f>
        <v>1</v>
      </c>
      <c r="E22" s="221"/>
      <c r="F22" s="221"/>
      <c r="G22" s="221"/>
      <c r="H22" s="221"/>
      <c r="I22" s="221"/>
      <c r="J22" s="215"/>
    </row>
    <row r="23" spans="1:12" s="204" customFormat="1" ht="12" customHeight="1" x14ac:dyDescent="0.2">
      <c r="A23" s="574" t="s">
        <v>229</v>
      </c>
      <c r="B23" s="574"/>
      <c r="C23" s="574"/>
      <c r="D23" s="574"/>
      <c r="E23" s="222">
        <f>C16</f>
        <v>53760</v>
      </c>
      <c r="F23" s="222">
        <f>C17</f>
        <v>161280</v>
      </c>
      <c r="G23" s="222">
        <f>C18</f>
        <v>483840</v>
      </c>
      <c r="H23" s="222">
        <f>C19</f>
        <v>268800</v>
      </c>
      <c r="I23" s="222">
        <f>C20</f>
        <v>107520</v>
      </c>
    </row>
    <row r="24" spans="1:12" s="204" customFormat="1" ht="12" customHeight="1" x14ac:dyDescent="0.2">
      <c r="A24" s="575" t="s">
        <v>230</v>
      </c>
      <c r="B24" s="575"/>
      <c r="C24" s="575"/>
      <c r="D24" s="575"/>
      <c r="E24" s="223">
        <f>D16</f>
        <v>0.05</v>
      </c>
      <c r="F24" s="223">
        <f>D17</f>
        <v>0.15</v>
      </c>
      <c r="G24" s="223">
        <f>D18</f>
        <v>0.45</v>
      </c>
      <c r="H24" s="223">
        <f>D19</f>
        <v>0.25</v>
      </c>
      <c r="I24" s="223">
        <f>D20</f>
        <v>0.1</v>
      </c>
    </row>
    <row r="25" spans="1:12" s="204" customFormat="1" ht="12" customHeight="1" x14ac:dyDescent="0.2">
      <c r="A25" s="576" t="s">
        <v>227</v>
      </c>
      <c r="B25" s="576"/>
      <c r="C25" s="576"/>
      <c r="D25" s="576"/>
      <c r="E25" s="224">
        <f>+E23</f>
        <v>53760</v>
      </c>
      <c r="F25" s="224">
        <f t="shared" ref="F25:H26" si="0">+E25+F23</f>
        <v>215040</v>
      </c>
      <c r="G25" s="224">
        <f t="shared" si="0"/>
        <v>698880</v>
      </c>
      <c r="H25" s="224">
        <f t="shared" si="0"/>
        <v>967680</v>
      </c>
      <c r="I25" s="225">
        <f t="shared" ref="I25:I26" si="1">+H25+I23</f>
        <v>1075200</v>
      </c>
    </row>
    <row r="26" spans="1:12" s="227" customFormat="1" ht="12" customHeight="1" x14ac:dyDescent="0.2">
      <c r="A26" s="572" t="s">
        <v>228</v>
      </c>
      <c r="B26" s="572"/>
      <c r="C26" s="572"/>
      <c r="D26" s="572"/>
      <c r="E26" s="226">
        <f>+E24</f>
        <v>0.05</v>
      </c>
      <c r="F26" s="226">
        <f t="shared" si="0"/>
        <v>0.2</v>
      </c>
      <c r="G26" s="226">
        <f t="shared" si="0"/>
        <v>0.65</v>
      </c>
      <c r="H26" s="226">
        <f t="shared" si="0"/>
        <v>0.9</v>
      </c>
      <c r="I26" s="226">
        <f t="shared" si="1"/>
        <v>1</v>
      </c>
    </row>
    <row r="27" spans="1:12" s="204" customFormat="1" ht="12" customHeight="1" x14ac:dyDescent="0.2">
      <c r="A27" s="228"/>
      <c r="C27" s="229"/>
      <c r="D27" s="162"/>
    </row>
    <row r="28" spans="1:12" s="204" customFormat="1" x14ac:dyDescent="0.2">
      <c r="A28" s="228"/>
      <c r="C28" s="229"/>
      <c r="D28" s="162"/>
    </row>
    <row r="29" spans="1:12" s="204" customFormat="1" x14ac:dyDescent="0.2">
      <c r="A29" s="228"/>
      <c r="C29" s="229"/>
      <c r="D29" s="162"/>
    </row>
    <row r="30" spans="1:12" s="204" customFormat="1" x14ac:dyDescent="0.2">
      <c r="A30" s="228"/>
      <c r="C30" s="229"/>
      <c r="D30" s="162"/>
    </row>
    <row r="31" spans="1:12" s="204" customFormat="1" x14ac:dyDescent="0.2">
      <c r="A31" s="228"/>
      <c r="C31" s="229"/>
      <c r="D31" s="162"/>
    </row>
    <row r="32" spans="1:12" s="204" customFormat="1" x14ac:dyDescent="0.2">
      <c r="A32" s="228"/>
      <c r="C32" s="229"/>
      <c r="D32" s="162"/>
    </row>
    <row r="33" spans="1:10" s="204" customFormat="1" ht="13.15" customHeight="1" x14ac:dyDescent="0.2">
      <c r="A33" s="568" t="str">
        <f>'Planilha Orçamentária - Projeto'!G8</f>
        <v>NOME E TÍTULO DO RESP. TÉCN.</v>
      </c>
      <c r="B33" s="568"/>
      <c r="C33" s="568"/>
      <c r="D33" s="568"/>
      <c r="E33" s="568"/>
      <c r="F33" s="568"/>
      <c r="G33" s="568"/>
      <c r="H33" s="568"/>
      <c r="I33" s="568"/>
      <c r="J33" s="230"/>
    </row>
    <row r="34" spans="1:10" s="204" customFormat="1" x14ac:dyDescent="0.2">
      <c r="A34" s="569" t="str">
        <f>'Planilha Orçamentária - Projeto'!L8</f>
        <v>Nº CREA/CAU xx</v>
      </c>
      <c r="B34" s="569"/>
      <c r="C34" s="569"/>
      <c r="D34" s="569"/>
      <c r="E34" s="569"/>
      <c r="F34" s="569"/>
      <c r="G34" s="569"/>
      <c r="H34" s="569"/>
      <c r="I34" s="569"/>
    </row>
    <row r="35" spans="1:10" s="204" customFormat="1" x14ac:dyDescent="0.2">
      <c r="A35" s="228"/>
      <c r="C35" s="229"/>
      <c r="D35" s="162"/>
    </row>
    <row r="36" spans="1:10" ht="12.75" x14ac:dyDescent="0.2">
      <c r="A36" s="231"/>
      <c r="B36" s="232"/>
      <c r="C36" s="233"/>
      <c r="D36" s="234"/>
      <c r="E36" s="232"/>
      <c r="F36" s="232"/>
      <c r="G36" s="232"/>
      <c r="H36" s="232"/>
      <c r="I36" s="232"/>
    </row>
    <row r="37" spans="1:10" ht="12.75" x14ac:dyDescent="0.2">
      <c r="A37" s="231"/>
      <c r="B37" s="232"/>
      <c r="C37" s="233"/>
      <c r="D37" s="234"/>
      <c r="E37" s="232"/>
      <c r="F37" s="232"/>
      <c r="G37" s="232"/>
      <c r="H37" s="232"/>
      <c r="I37" s="232"/>
    </row>
    <row r="38" spans="1:10" ht="12.75" x14ac:dyDescent="0.2">
      <c r="A38" s="231"/>
      <c r="B38" s="232"/>
      <c r="C38" s="233"/>
      <c r="D38" s="234"/>
      <c r="E38" s="232"/>
      <c r="F38" s="232"/>
      <c r="G38" s="232"/>
      <c r="H38" s="232"/>
      <c r="I38" s="232"/>
    </row>
    <row r="39" spans="1:10" ht="12.75" x14ac:dyDescent="0.2">
      <c r="A39" s="231"/>
      <c r="B39" s="232"/>
      <c r="C39" s="233"/>
      <c r="D39" s="234"/>
      <c r="E39" s="232"/>
      <c r="F39" s="232"/>
      <c r="G39" s="232"/>
      <c r="H39" s="232"/>
      <c r="I39" s="232"/>
    </row>
    <row r="40" spans="1:10" ht="12.75" x14ac:dyDescent="0.2">
      <c r="A40" s="231"/>
      <c r="B40" s="232"/>
      <c r="C40" s="233"/>
      <c r="D40" s="234"/>
      <c r="E40" s="232"/>
      <c r="F40" s="232"/>
      <c r="G40" s="232"/>
      <c r="H40" s="232"/>
      <c r="I40" s="232"/>
    </row>
    <row r="41" spans="1:10" ht="12.75" x14ac:dyDescent="0.2">
      <c r="A41" s="231"/>
      <c r="B41" s="232"/>
      <c r="C41" s="233"/>
      <c r="D41" s="234"/>
      <c r="E41" s="232"/>
      <c r="F41" s="232"/>
      <c r="G41" s="232"/>
      <c r="H41" s="232"/>
      <c r="I41" s="232"/>
    </row>
    <row r="42" spans="1:10" ht="12.75" x14ac:dyDescent="0.2">
      <c r="A42" s="231"/>
      <c r="B42" s="232"/>
      <c r="C42" s="233"/>
      <c r="D42" s="234"/>
      <c r="E42" s="232"/>
      <c r="F42" s="232"/>
      <c r="G42" s="232"/>
      <c r="H42" s="232"/>
      <c r="I42" s="232"/>
    </row>
    <row r="43" spans="1:10" ht="12.75" x14ac:dyDescent="0.2">
      <c r="A43" s="231"/>
      <c r="B43" s="232"/>
      <c r="C43" s="233"/>
      <c r="D43" s="234"/>
      <c r="E43" s="232"/>
      <c r="F43" s="232"/>
      <c r="G43" s="232"/>
      <c r="H43" s="232"/>
      <c r="I43" s="232"/>
    </row>
    <row r="44" spans="1:10" ht="12.75" x14ac:dyDescent="0.2">
      <c r="A44" s="231"/>
      <c r="B44" s="232"/>
      <c r="C44" s="233"/>
      <c r="D44" s="234"/>
      <c r="E44" s="232"/>
      <c r="F44" s="232"/>
      <c r="G44" s="232"/>
      <c r="H44" s="232"/>
      <c r="I44" s="232"/>
    </row>
    <row r="45" spans="1:10" ht="12.75" x14ac:dyDescent="0.2">
      <c r="A45" s="231"/>
      <c r="B45" s="232"/>
      <c r="C45" s="233"/>
      <c r="D45" s="234"/>
      <c r="E45" s="232"/>
      <c r="F45" s="232"/>
      <c r="G45" s="232"/>
      <c r="H45" s="232"/>
      <c r="I45" s="232"/>
    </row>
    <row r="46" spans="1:10" ht="12.75" x14ac:dyDescent="0.2">
      <c r="A46" s="231"/>
      <c r="B46" s="232"/>
      <c r="C46" s="233"/>
      <c r="D46" s="234"/>
      <c r="E46" s="232"/>
      <c r="F46" s="232"/>
      <c r="G46" s="232"/>
      <c r="H46" s="232"/>
      <c r="I46" s="232"/>
    </row>
    <row r="47" spans="1:10" ht="12.75" x14ac:dyDescent="0.2">
      <c r="A47" s="231"/>
      <c r="B47" s="232"/>
      <c r="C47" s="233"/>
      <c r="D47" s="234"/>
      <c r="E47" s="232"/>
      <c r="F47" s="232"/>
      <c r="G47" s="232"/>
      <c r="H47" s="232"/>
      <c r="I47" s="232"/>
    </row>
    <row r="48" spans="1:10" ht="12.75" x14ac:dyDescent="0.2">
      <c r="A48" s="231"/>
      <c r="B48" s="232"/>
      <c r="C48" s="233"/>
      <c r="D48" s="234"/>
      <c r="E48" s="232"/>
      <c r="F48" s="232"/>
      <c r="G48" s="232"/>
      <c r="H48" s="232"/>
      <c r="I48" s="232"/>
    </row>
    <row r="49" spans="1:9" ht="12.75" x14ac:dyDescent="0.2">
      <c r="A49" s="231"/>
      <c r="B49" s="232"/>
      <c r="C49" s="233"/>
      <c r="D49" s="234"/>
      <c r="E49" s="232"/>
      <c r="F49" s="232"/>
      <c r="G49" s="232"/>
      <c r="H49" s="232"/>
      <c r="I49" s="232"/>
    </row>
    <row r="50" spans="1:9" ht="12.75" x14ac:dyDescent="0.2">
      <c r="A50" s="231"/>
      <c r="B50" s="232"/>
      <c r="C50" s="233"/>
      <c r="D50" s="234"/>
      <c r="E50" s="232"/>
      <c r="F50" s="232"/>
      <c r="G50" s="232"/>
      <c r="H50" s="232"/>
      <c r="I50" s="232"/>
    </row>
    <row r="51" spans="1:9" ht="12.75" x14ac:dyDescent="0.2">
      <c r="A51" s="231"/>
      <c r="B51" s="232"/>
      <c r="C51" s="233"/>
      <c r="D51" s="234"/>
      <c r="E51" s="232"/>
      <c r="F51" s="232"/>
      <c r="G51" s="232"/>
      <c r="H51" s="232"/>
      <c r="I51" s="232"/>
    </row>
    <row r="52" spans="1:9" ht="12.75" x14ac:dyDescent="0.2">
      <c r="A52" s="231"/>
      <c r="B52" s="232"/>
      <c r="C52" s="233"/>
      <c r="D52" s="234"/>
      <c r="E52" s="232"/>
      <c r="F52" s="232"/>
      <c r="G52" s="232"/>
      <c r="H52" s="232"/>
      <c r="I52" s="232"/>
    </row>
    <row r="53" spans="1:9" ht="12.75" x14ac:dyDescent="0.2">
      <c r="A53" s="231"/>
      <c r="B53" s="232"/>
      <c r="C53" s="233"/>
      <c r="D53" s="234"/>
      <c r="E53" s="232"/>
      <c r="F53" s="232"/>
      <c r="G53" s="232"/>
      <c r="H53" s="232"/>
      <c r="I53" s="232"/>
    </row>
    <row r="54" spans="1:9" ht="12.75" x14ac:dyDescent="0.2">
      <c r="A54" s="231"/>
      <c r="B54" s="232"/>
      <c r="C54" s="233"/>
      <c r="D54" s="234"/>
      <c r="E54" s="232"/>
      <c r="F54" s="232"/>
      <c r="G54" s="232"/>
      <c r="H54" s="232"/>
      <c r="I54" s="232"/>
    </row>
    <row r="55" spans="1:9" ht="12.75" x14ac:dyDescent="0.2">
      <c r="A55" s="231"/>
      <c r="B55" s="232"/>
      <c r="C55" s="233"/>
      <c r="D55" s="234"/>
      <c r="E55" s="232"/>
      <c r="F55" s="232"/>
      <c r="G55" s="232"/>
      <c r="H55" s="232"/>
      <c r="I55" s="232"/>
    </row>
    <row r="56" spans="1:9" ht="12.75" x14ac:dyDescent="0.2">
      <c r="A56" s="231"/>
      <c r="B56" s="232"/>
      <c r="C56" s="233"/>
      <c r="D56" s="234"/>
      <c r="E56" s="232"/>
      <c r="F56" s="232"/>
      <c r="G56" s="232"/>
      <c r="H56" s="232"/>
      <c r="I56" s="232"/>
    </row>
    <row r="57" spans="1:9" ht="12.75" x14ac:dyDescent="0.2">
      <c r="A57" s="231"/>
      <c r="B57" s="232"/>
      <c r="C57" s="233"/>
      <c r="D57" s="234"/>
      <c r="E57" s="232"/>
      <c r="F57" s="232"/>
      <c r="G57" s="232"/>
      <c r="H57" s="232"/>
      <c r="I57" s="232"/>
    </row>
    <row r="58" spans="1:9" ht="12.75" x14ac:dyDescent="0.2">
      <c r="A58" s="231"/>
      <c r="B58" s="232"/>
      <c r="C58" s="233"/>
      <c r="D58" s="234"/>
      <c r="E58" s="232"/>
      <c r="F58" s="232"/>
      <c r="G58" s="232"/>
      <c r="H58" s="232"/>
      <c r="I58" s="232"/>
    </row>
    <row r="59" spans="1:9" ht="12.75" x14ac:dyDescent="0.2">
      <c r="A59" s="231"/>
      <c r="B59" s="232"/>
      <c r="C59" s="233"/>
      <c r="D59" s="234"/>
      <c r="E59" s="232"/>
      <c r="F59" s="232"/>
      <c r="G59" s="232"/>
      <c r="H59" s="232"/>
      <c r="I59" s="232"/>
    </row>
    <row r="60" spans="1:9" ht="12.75" x14ac:dyDescent="0.2">
      <c r="A60" s="231"/>
      <c r="B60" s="232"/>
      <c r="C60" s="233"/>
      <c r="D60" s="234"/>
      <c r="E60" s="232"/>
      <c r="F60" s="232"/>
      <c r="G60" s="232"/>
      <c r="H60" s="232"/>
      <c r="I60" s="232"/>
    </row>
    <row r="61" spans="1:9" ht="12.75" x14ac:dyDescent="0.2">
      <c r="A61" s="231"/>
      <c r="B61" s="232"/>
      <c r="C61" s="233"/>
      <c r="D61" s="234"/>
      <c r="E61" s="232"/>
      <c r="F61" s="232"/>
      <c r="G61" s="232"/>
      <c r="H61" s="232"/>
      <c r="I61" s="232"/>
    </row>
    <row r="62" spans="1:9" ht="12.75" x14ac:dyDescent="0.2">
      <c r="A62" s="231"/>
      <c r="B62" s="232"/>
      <c r="C62" s="233"/>
      <c r="D62" s="234"/>
      <c r="E62" s="232"/>
      <c r="F62" s="232"/>
      <c r="G62" s="232"/>
      <c r="H62" s="232"/>
      <c r="I62" s="232"/>
    </row>
    <row r="63" spans="1:9" ht="12.75" x14ac:dyDescent="0.2">
      <c r="A63" s="231"/>
      <c r="B63" s="232"/>
      <c r="C63" s="233"/>
      <c r="D63" s="234"/>
      <c r="E63" s="232"/>
      <c r="F63" s="232"/>
      <c r="G63" s="232"/>
      <c r="H63" s="232"/>
      <c r="I63" s="232"/>
    </row>
    <row r="64" spans="1:9" ht="12.75" x14ac:dyDescent="0.2">
      <c r="A64" s="231"/>
      <c r="B64" s="232"/>
      <c r="C64" s="233"/>
      <c r="D64" s="234"/>
      <c r="E64" s="232"/>
      <c r="F64" s="232"/>
      <c r="G64" s="232"/>
      <c r="H64" s="232"/>
      <c r="I64" s="232"/>
    </row>
    <row r="65" spans="1:9" ht="12.75" x14ac:dyDescent="0.2">
      <c r="A65" s="231"/>
      <c r="B65" s="232"/>
      <c r="C65" s="233"/>
      <c r="D65" s="234"/>
      <c r="E65" s="232"/>
      <c r="F65" s="232"/>
      <c r="G65" s="232"/>
      <c r="H65" s="232"/>
      <c r="I65" s="232"/>
    </row>
    <row r="66" spans="1:9" ht="12.75" x14ac:dyDescent="0.2">
      <c r="A66" s="231"/>
      <c r="B66" s="232"/>
      <c r="C66" s="233"/>
      <c r="D66" s="234"/>
      <c r="E66" s="232"/>
      <c r="F66" s="232"/>
      <c r="G66" s="232"/>
      <c r="H66" s="232"/>
      <c r="I66" s="232"/>
    </row>
    <row r="67" spans="1:9" ht="12.75" x14ac:dyDescent="0.2">
      <c r="A67" s="231"/>
      <c r="B67" s="232"/>
      <c r="C67" s="233"/>
      <c r="D67" s="234"/>
      <c r="E67" s="232"/>
      <c r="F67" s="232"/>
      <c r="G67" s="232"/>
      <c r="H67" s="232"/>
      <c r="I67" s="232"/>
    </row>
    <row r="68" spans="1:9" ht="12.75" x14ac:dyDescent="0.2">
      <c r="A68" s="231"/>
      <c r="B68" s="232"/>
      <c r="C68" s="233"/>
      <c r="D68" s="234"/>
      <c r="E68" s="232"/>
      <c r="F68" s="232"/>
      <c r="G68" s="232"/>
      <c r="H68" s="232"/>
      <c r="I68" s="232"/>
    </row>
    <row r="69" spans="1:9" ht="12.75" x14ac:dyDescent="0.2">
      <c r="A69" s="231"/>
      <c r="B69" s="232"/>
      <c r="C69" s="233"/>
      <c r="D69" s="234"/>
      <c r="E69" s="232"/>
      <c r="F69" s="232"/>
      <c r="G69" s="232"/>
      <c r="H69" s="232"/>
      <c r="I69" s="232"/>
    </row>
    <row r="70" spans="1:9" ht="12.75" x14ac:dyDescent="0.2">
      <c r="A70" s="231"/>
      <c r="B70" s="232"/>
      <c r="C70" s="233"/>
      <c r="D70" s="234"/>
      <c r="E70" s="232"/>
      <c r="F70" s="232"/>
      <c r="G70" s="232"/>
      <c r="H70" s="232"/>
      <c r="I70" s="232"/>
    </row>
    <row r="71" spans="1:9" ht="12.75" x14ac:dyDescent="0.2">
      <c r="A71" s="231"/>
      <c r="B71" s="232"/>
      <c r="C71" s="233"/>
      <c r="D71" s="234"/>
      <c r="E71" s="232"/>
      <c r="F71" s="232"/>
      <c r="G71" s="232"/>
      <c r="H71" s="232"/>
      <c r="I71" s="232"/>
    </row>
    <row r="72" spans="1:9" ht="12.75" x14ac:dyDescent="0.2">
      <c r="A72" s="231"/>
      <c r="B72" s="232"/>
      <c r="C72" s="233"/>
      <c r="D72" s="234"/>
      <c r="E72" s="232"/>
      <c r="F72" s="232"/>
      <c r="G72" s="232"/>
      <c r="H72" s="232"/>
      <c r="I72" s="232"/>
    </row>
    <row r="73" spans="1:9" ht="12.75" x14ac:dyDescent="0.2">
      <c r="A73" s="231"/>
      <c r="B73" s="232"/>
      <c r="C73" s="233"/>
      <c r="D73" s="234"/>
      <c r="E73" s="232"/>
      <c r="F73" s="232"/>
      <c r="G73" s="232"/>
      <c r="H73" s="232"/>
      <c r="I73" s="232"/>
    </row>
    <row r="74" spans="1:9" ht="12.75" x14ac:dyDescent="0.2">
      <c r="A74" s="231"/>
      <c r="B74" s="232"/>
      <c r="C74" s="233"/>
      <c r="D74" s="234"/>
      <c r="E74" s="232"/>
      <c r="F74" s="232"/>
      <c r="G74" s="232"/>
      <c r="H74" s="232"/>
      <c r="I74" s="232"/>
    </row>
    <row r="75" spans="1:9" ht="12.75" x14ac:dyDescent="0.2">
      <c r="A75" s="231"/>
      <c r="B75" s="232"/>
      <c r="C75" s="233"/>
      <c r="D75" s="234"/>
      <c r="E75" s="232"/>
      <c r="F75" s="232"/>
      <c r="G75" s="232"/>
      <c r="H75" s="232"/>
      <c r="I75" s="232"/>
    </row>
    <row r="76" spans="1:9" ht="12.75" x14ac:dyDescent="0.2">
      <c r="A76" s="231"/>
      <c r="B76" s="232"/>
      <c r="C76" s="233"/>
      <c r="D76" s="234"/>
      <c r="E76" s="232"/>
      <c r="F76" s="232"/>
      <c r="G76" s="232"/>
      <c r="H76" s="232"/>
      <c r="I76" s="232"/>
    </row>
    <row r="77" spans="1:9" ht="12.75" x14ac:dyDescent="0.2">
      <c r="A77" s="231"/>
      <c r="B77" s="232"/>
      <c r="C77" s="233"/>
      <c r="D77" s="234"/>
      <c r="E77" s="232"/>
      <c r="F77" s="232"/>
      <c r="G77" s="232"/>
      <c r="H77" s="232"/>
      <c r="I77" s="232"/>
    </row>
    <row r="78" spans="1:9" ht="12.75" x14ac:dyDescent="0.2">
      <c r="A78" s="231"/>
      <c r="B78" s="232"/>
      <c r="C78" s="233"/>
      <c r="D78" s="234"/>
      <c r="E78" s="232"/>
      <c r="F78" s="232"/>
      <c r="G78" s="232"/>
      <c r="H78" s="232"/>
      <c r="I78" s="232"/>
    </row>
    <row r="79" spans="1:9" ht="12.75" x14ac:dyDescent="0.2">
      <c r="A79" s="231"/>
      <c r="B79" s="232"/>
      <c r="C79" s="233"/>
      <c r="D79" s="234"/>
      <c r="E79" s="232"/>
      <c r="F79" s="232"/>
      <c r="G79" s="232"/>
      <c r="H79" s="232"/>
      <c r="I79" s="232"/>
    </row>
    <row r="80" spans="1:9" ht="12.75" x14ac:dyDescent="0.2">
      <c r="A80" s="231"/>
      <c r="B80" s="232"/>
      <c r="C80" s="233"/>
      <c r="D80" s="234"/>
      <c r="E80" s="232"/>
      <c r="F80" s="232"/>
      <c r="G80" s="232"/>
      <c r="H80" s="232"/>
      <c r="I80" s="232"/>
    </row>
    <row r="81" spans="1:9" ht="12.75" x14ac:dyDescent="0.2">
      <c r="A81" s="231"/>
      <c r="B81" s="232"/>
      <c r="C81" s="233"/>
      <c r="D81" s="234"/>
      <c r="E81" s="232"/>
      <c r="F81" s="232"/>
      <c r="G81" s="232"/>
      <c r="H81" s="232"/>
      <c r="I81" s="232"/>
    </row>
    <row r="82" spans="1:9" ht="12.75" x14ac:dyDescent="0.2">
      <c r="A82" s="231"/>
      <c r="B82" s="232"/>
      <c r="C82" s="233"/>
      <c r="D82" s="234"/>
      <c r="E82" s="232"/>
      <c r="F82" s="232"/>
      <c r="G82" s="232"/>
      <c r="H82" s="232"/>
      <c r="I82" s="232"/>
    </row>
    <row r="83" spans="1:9" ht="12.75" x14ac:dyDescent="0.2">
      <c r="A83" s="231"/>
      <c r="B83" s="232"/>
      <c r="C83" s="233"/>
      <c r="D83" s="234"/>
      <c r="E83" s="232"/>
      <c r="F83" s="232"/>
      <c r="G83" s="232"/>
      <c r="H83" s="232"/>
      <c r="I83" s="232"/>
    </row>
    <row r="84" spans="1:9" ht="12.75" x14ac:dyDescent="0.2">
      <c r="A84" s="231"/>
      <c r="B84" s="232"/>
      <c r="C84" s="233"/>
      <c r="D84" s="234"/>
      <c r="E84" s="232"/>
      <c r="F84" s="232"/>
      <c r="G84" s="232"/>
      <c r="H84" s="232"/>
      <c r="I84" s="232"/>
    </row>
    <row r="85" spans="1:9" ht="12.75" x14ac:dyDescent="0.2">
      <c r="A85" s="231"/>
      <c r="B85" s="232"/>
      <c r="C85" s="233"/>
      <c r="D85" s="234"/>
      <c r="E85" s="232"/>
      <c r="F85" s="232"/>
      <c r="G85" s="232"/>
      <c r="H85" s="232"/>
      <c r="I85" s="232"/>
    </row>
    <row r="86" spans="1:9" ht="12.75" x14ac:dyDescent="0.2">
      <c r="A86" s="231"/>
      <c r="B86" s="232"/>
      <c r="C86" s="233"/>
      <c r="D86" s="234"/>
      <c r="E86" s="232"/>
      <c r="F86" s="232"/>
      <c r="G86" s="232"/>
      <c r="H86" s="232"/>
      <c r="I86" s="232"/>
    </row>
    <row r="87" spans="1:9" ht="12.75" x14ac:dyDescent="0.2">
      <c r="A87" s="231"/>
      <c r="B87" s="232"/>
      <c r="C87" s="233"/>
      <c r="D87" s="234"/>
      <c r="E87" s="232"/>
      <c r="F87" s="232"/>
      <c r="G87" s="232"/>
      <c r="H87" s="232"/>
      <c r="I87" s="232"/>
    </row>
    <row r="88" spans="1:9" ht="12.75" x14ac:dyDescent="0.2">
      <c r="A88" s="231"/>
      <c r="B88" s="232"/>
      <c r="C88" s="233"/>
      <c r="D88" s="234"/>
      <c r="E88" s="232"/>
      <c r="F88" s="232"/>
      <c r="G88" s="232"/>
      <c r="H88" s="232"/>
      <c r="I88" s="232"/>
    </row>
    <row r="89" spans="1:9" ht="12.75" x14ac:dyDescent="0.2">
      <c r="A89" s="231"/>
      <c r="B89" s="232"/>
      <c r="C89" s="233"/>
      <c r="D89" s="234"/>
      <c r="E89" s="232"/>
      <c r="F89" s="232"/>
      <c r="G89" s="232"/>
      <c r="H89" s="232"/>
      <c r="I89" s="232"/>
    </row>
    <row r="90" spans="1:9" ht="12.75" x14ac:dyDescent="0.2">
      <c r="A90" s="231"/>
      <c r="B90" s="232"/>
      <c r="C90" s="233"/>
      <c r="D90" s="234"/>
      <c r="E90" s="232"/>
      <c r="F90" s="232"/>
      <c r="G90" s="232"/>
      <c r="H90" s="232"/>
      <c r="I90" s="232"/>
    </row>
    <row r="91" spans="1:9" ht="12.75" x14ac:dyDescent="0.2">
      <c r="A91" s="231"/>
      <c r="B91" s="232"/>
      <c r="C91" s="233"/>
      <c r="D91" s="234"/>
      <c r="E91" s="232"/>
      <c r="F91" s="232"/>
      <c r="G91" s="232"/>
      <c r="H91" s="232"/>
      <c r="I91" s="232"/>
    </row>
    <row r="92" spans="1:9" ht="12.75" x14ac:dyDescent="0.2">
      <c r="A92" s="231"/>
      <c r="B92" s="232"/>
      <c r="C92" s="233"/>
      <c r="D92" s="234"/>
      <c r="E92" s="232"/>
      <c r="F92" s="232"/>
      <c r="G92" s="232"/>
      <c r="H92" s="232"/>
      <c r="I92" s="232"/>
    </row>
    <row r="93" spans="1:9" ht="12.75" x14ac:dyDescent="0.2">
      <c r="A93" s="231"/>
      <c r="B93" s="232"/>
      <c r="C93" s="233"/>
      <c r="D93" s="234"/>
      <c r="E93" s="232"/>
      <c r="F93" s="232"/>
      <c r="G93" s="232"/>
      <c r="H93" s="232"/>
      <c r="I93" s="232"/>
    </row>
    <row r="94" spans="1:9" ht="12.75" x14ac:dyDescent="0.2">
      <c r="A94" s="231"/>
      <c r="B94" s="232"/>
      <c r="C94" s="233"/>
      <c r="D94" s="234"/>
      <c r="E94" s="232"/>
      <c r="F94" s="232"/>
      <c r="G94" s="232"/>
      <c r="H94" s="232"/>
      <c r="I94" s="232"/>
    </row>
    <row r="95" spans="1:9" ht="12.75" x14ac:dyDescent="0.2">
      <c r="A95" s="231"/>
      <c r="B95" s="232"/>
      <c r="C95" s="233"/>
      <c r="D95" s="234"/>
      <c r="E95" s="232"/>
      <c r="F95" s="232"/>
      <c r="G95" s="232"/>
      <c r="H95" s="232"/>
      <c r="I95" s="232"/>
    </row>
    <row r="96" spans="1:9" ht="12.75" x14ac:dyDescent="0.2">
      <c r="A96" s="231"/>
      <c r="B96" s="232"/>
      <c r="C96" s="233"/>
      <c r="D96" s="234"/>
      <c r="E96" s="232"/>
      <c r="F96" s="232"/>
      <c r="G96" s="232"/>
      <c r="H96" s="232"/>
      <c r="I96" s="232"/>
    </row>
    <row r="97" spans="1:9" ht="12.75" x14ac:dyDescent="0.2">
      <c r="A97" s="231"/>
      <c r="B97" s="232"/>
      <c r="C97" s="233"/>
      <c r="D97" s="234"/>
      <c r="E97" s="232"/>
      <c r="F97" s="232"/>
      <c r="G97" s="232"/>
      <c r="H97" s="232"/>
      <c r="I97" s="232"/>
    </row>
    <row r="98" spans="1:9" ht="12.75" x14ac:dyDescent="0.2">
      <c r="A98" s="231"/>
      <c r="B98" s="232"/>
      <c r="C98" s="233"/>
      <c r="D98" s="234"/>
      <c r="E98" s="232"/>
      <c r="F98" s="232"/>
      <c r="G98" s="232"/>
      <c r="H98" s="232"/>
      <c r="I98" s="232"/>
    </row>
    <row r="99" spans="1:9" ht="12.75" x14ac:dyDescent="0.2">
      <c r="A99" s="231"/>
      <c r="B99" s="232"/>
      <c r="C99" s="233"/>
      <c r="D99" s="234"/>
      <c r="E99" s="232"/>
      <c r="F99" s="232"/>
      <c r="G99" s="232"/>
      <c r="H99" s="232"/>
      <c r="I99" s="232"/>
    </row>
    <row r="100" spans="1:9" ht="12.75" x14ac:dyDescent="0.2">
      <c r="A100" s="231"/>
      <c r="B100" s="232"/>
      <c r="C100" s="233"/>
      <c r="D100" s="234"/>
      <c r="E100" s="232"/>
      <c r="F100" s="232"/>
      <c r="G100" s="232"/>
      <c r="H100" s="232"/>
      <c r="I100" s="232"/>
    </row>
    <row r="101" spans="1:9" ht="12.75" x14ac:dyDescent="0.2">
      <c r="A101" s="231"/>
      <c r="B101" s="232"/>
      <c r="C101" s="233"/>
      <c r="D101" s="234"/>
      <c r="E101" s="232"/>
      <c r="F101" s="232"/>
      <c r="G101" s="232"/>
      <c r="H101" s="232"/>
      <c r="I101" s="232"/>
    </row>
    <row r="102" spans="1:9" ht="12.75" x14ac:dyDescent="0.2">
      <c r="A102" s="231"/>
      <c r="B102" s="232"/>
      <c r="C102" s="233"/>
      <c r="D102" s="234"/>
      <c r="E102" s="232"/>
      <c r="F102" s="232"/>
      <c r="G102" s="232"/>
      <c r="H102" s="232"/>
      <c r="I102" s="232"/>
    </row>
    <row r="103" spans="1:9" ht="12.75" x14ac:dyDescent="0.2">
      <c r="A103" s="231"/>
      <c r="B103" s="232"/>
      <c r="C103" s="233"/>
      <c r="D103" s="234"/>
      <c r="E103" s="232"/>
      <c r="F103" s="232"/>
      <c r="G103" s="232"/>
      <c r="H103" s="232"/>
      <c r="I103" s="232"/>
    </row>
    <row r="104" spans="1:9" ht="12.75" x14ac:dyDescent="0.2">
      <c r="A104" s="231"/>
      <c r="B104" s="232"/>
      <c r="C104" s="233"/>
      <c r="D104" s="234"/>
      <c r="E104" s="232"/>
      <c r="F104" s="232"/>
      <c r="G104" s="232"/>
      <c r="H104" s="232"/>
      <c r="I104" s="232"/>
    </row>
    <row r="105" spans="1:9" ht="12.75" x14ac:dyDescent="0.2">
      <c r="A105" s="231"/>
      <c r="B105" s="232"/>
      <c r="C105" s="233"/>
      <c r="D105" s="234"/>
      <c r="E105" s="232"/>
      <c r="F105" s="232"/>
      <c r="G105" s="232"/>
      <c r="H105" s="232"/>
      <c r="I105" s="232"/>
    </row>
    <row r="106" spans="1:9" ht="12.75" x14ac:dyDescent="0.2">
      <c r="A106" s="231"/>
      <c r="B106" s="232"/>
      <c r="C106" s="233"/>
      <c r="D106" s="234"/>
      <c r="E106" s="232"/>
      <c r="F106" s="232"/>
      <c r="G106" s="232"/>
      <c r="H106" s="232"/>
      <c r="I106" s="232"/>
    </row>
    <row r="107" spans="1:9" ht="12.75" x14ac:dyDescent="0.2">
      <c r="A107" s="231"/>
      <c r="B107" s="232"/>
      <c r="C107" s="233"/>
      <c r="D107" s="234"/>
      <c r="E107" s="232"/>
      <c r="F107" s="232"/>
      <c r="G107" s="232"/>
      <c r="H107" s="232"/>
      <c r="I107" s="232"/>
    </row>
    <row r="108" spans="1:9" ht="12.75" x14ac:dyDescent="0.2">
      <c r="A108" s="231"/>
      <c r="B108" s="232"/>
      <c r="C108" s="233"/>
      <c r="D108" s="234"/>
      <c r="E108" s="232"/>
      <c r="F108" s="232"/>
      <c r="G108" s="232"/>
      <c r="H108" s="232"/>
      <c r="I108" s="232"/>
    </row>
  </sheetData>
  <sheetProtection algorithmName="SHA-512" hashValue="JHA+M2ZMbE23+RPZhPm+VFALDjs7BT/K/cDr2ii/yDMtzoBAcHO7kAyZRpGEdNckNrxsnxjEyAbn859ogodkRw==" saltValue="/dRVnRM1aSY3qGLcr2S7Ww==" spinCount="100000" sheet="1" objects="1" scenarios="1" selectLockedCells="1"/>
  <customSheetViews>
    <customSheetView guid="{77FD295D-1BCD-41C6-B306-76E0FF93C8E4}" scale="93" showPageBreaks="1" showGridLines="0" printArea="1" view="pageBreakPreview">
      <selection activeCell="A2" sqref="A2"/>
      <pageMargins left="0.43307086614173229" right="0" top="0.78740157480314965" bottom="0.55118110236220474" header="0" footer="0.35433070866141736"/>
      <printOptions horizontalCentered="1"/>
      <pageSetup paperSize="9" scale="75" fitToHeight="0" orientation="landscape" horizontalDpi="300" verticalDpi="300" r:id="rId1"/>
      <headerFooter alignWithMargins="0"/>
    </customSheetView>
  </customSheetViews>
  <mergeCells count="10">
    <mergeCell ref="A3:I3"/>
    <mergeCell ref="A33:I33"/>
    <mergeCell ref="A34:I34"/>
    <mergeCell ref="A13:I13"/>
    <mergeCell ref="A11:I11"/>
    <mergeCell ref="A26:D26"/>
    <mergeCell ref="A22:B22"/>
    <mergeCell ref="A23:D23"/>
    <mergeCell ref="A24:D24"/>
    <mergeCell ref="A25:D25"/>
  </mergeCells>
  <phoneticPr fontId="0" type="noConversion"/>
  <printOptions horizontalCentered="1" verticalCentered="1"/>
  <pageMargins left="0.43307086614173229" right="0" top="0.78740157480314965" bottom="0.55118110236220474" header="0" footer="0.35433070866141736"/>
  <pageSetup paperSize="9" scale="75" fitToHeight="0" orientation="landscape" verticalDpi="598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E29"/>
  <sheetViews>
    <sheetView view="pageLayout" zoomScale="145" zoomScaleNormal="100" zoomScaleSheetLayoutView="115" zoomScalePageLayoutView="145" workbookViewId="0">
      <selection activeCell="E32" sqref="E32"/>
    </sheetView>
  </sheetViews>
  <sheetFormatPr defaultColWidth="9.140625" defaultRowHeight="12.75" x14ac:dyDescent="0.2"/>
  <cols>
    <col min="1" max="1" width="7.28515625" style="40" customWidth="1"/>
    <col min="2" max="2" width="3.5703125" style="40" customWidth="1"/>
    <col min="3" max="3" width="32.5703125" style="48" customWidth="1"/>
    <col min="4" max="4" width="18.5703125" style="40" customWidth="1"/>
    <col min="5" max="5" width="20" style="40" customWidth="1"/>
    <col min="6" max="16384" width="9.140625" style="40"/>
  </cols>
  <sheetData>
    <row r="1" spans="1:5" s="3" customFormat="1" ht="41.45" customHeight="1" x14ac:dyDescent="0.2">
      <c r="A1" s="1"/>
      <c r="B1" s="580" t="s">
        <v>202</v>
      </c>
      <c r="C1" s="581"/>
      <c r="D1" s="1"/>
      <c r="E1" s="1"/>
    </row>
    <row r="2" spans="1:5" s="3" customFormat="1" ht="15" x14ac:dyDescent="0.2">
      <c r="A2" s="1"/>
      <c r="C2" s="38"/>
      <c r="D2" s="1"/>
      <c r="E2" s="1"/>
    </row>
    <row r="3" spans="1:5" s="3" customFormat="1" ht="15" x14ac:dyDescent="0.2">
      <c r="A3" s="1"/>
      <c r="C3" s="38"/>
      <c r="D3" s="1"/>
      <c r="E3" s="1"/>
    </row>
    <row r="4" spans="1:5" s="238" customFormat="1" x14ac:dyDescent="0.2">
      <c r="A4" s="238" t="str">
        <f>'Planilha Orçamentária - Projeto'!A3</f>
        <v>ÓRGÃO CONTRATANTE: SEÇÃO JUDICIÁRIA ....</v>
      </c>
      <c r="C4" s="239"/>
      <c r="E4" s="240"/>
    </row>
    <row r="6" spans="1:5" s="42" customFormat="1" ht="16.899999999999999" customHeight="1" x14ac:dyDescent="0.2">
      <c r="A6" s="88" t="s">
        <v>108</v>
      </c>
      <c r="B6" s="41"/>
      <c r="C6" s="153" t="str">
        <f>'Planilha Orçamentária - Projeto'!A8</f>
        <v>NOME DA EMPRESA:</v>
      </c>
      <c r="D6" s="41"/>
      <c r="E6" s="41"/>
    </row>
    <row r="7" spans="1:5" s="42" customFormat="1" ht="21" customHeight="1" x14ac:dyDescent="0.2">
      <c r="A7" s="43" t="s">
        <v>181</v>
      </c>
      <c r="B7" s="43"/>
      <c r="C7" s="154" t="str">
        <f>'Planilha Orçamentária - Projeto'!B9</f>
        <v>XX.YYY.ZZZ/AAAA-BB</v>
      </c>
      <c r="D7" s="43"/>
      <c r="E7" s="43"/>
    </row>
    <row r="8" spans="1:5" s="42" customFormat="1" x14ac:dyDescent="0.2">
      <c r="A8" s="589"/>
      <c r="B8" s="589"/>
      <c r="C8" s="589"/>
      <c r="D8" s="589"/>
      <c r="E8" s="589"/>
    </row>
    <row r="9" spans="1:5" s="42" customFormat="1" x14ac:dyDescent="0.2">
      <c r="A9" s="44"/>
      <c r="B9" s="44"/>
      <c r="C9" s="44"/>
      <c r="D9" s="44"/>
      <c r="E9" s="44"/>
    </row>
    <row r="10" spans="1:5" s="45" customFormat="1" ht="34.15" customHeight="1" x14ac:dyDescent="0.2">
      <c r="A10" s="590" t="str">
        <f>'Planilha Orçamentária - Projeto'!A5:L5</f>
        <v>ELABORAÇÃO DE PROJETOS PARA A CONSTRUÇÃO DO EDIFÍCIO SEDE DA SUBSEÇÃO JUDICIÁRIA DE .....</v>
      </c>
      <c r="B10" s="590"/>
      <c r="C10" s="590"/>
      <c r="D10" s="590"/>
      <c r="E10" s="590"/>
    </row>
    <row r="11" spans="1:5" s="45" customFormat="1" x14ac:dyDescent="0.2">
      <c r="A11" s="50"/>
      <c r="B11" s="50"/>
      <c r="C11" s="50"/>
      <c r="D11" s="50"/>
      <c r="E11" s="50"/>
    </row>
    <row r="12" spans="1:5" s="45" customFormat="1" ht="15" x14ac:dyDescent="0.2">
      <c r="B12" s="50" t="str">
        <f>'Planilha Orçamentária - Projeto'!E14</f>
        <v xml:space="preserve">PRAZO DE EXECUÇÃO-DIAS CORRIDOS: </v>
      </c>
      <c r="C12" s="50"/>
      <c r="D12" s="52">
        <f>'Planilha Orçamentária - Projeto'!I14</f>
        <v>180</v>
      </c>
      <c r="E12" s="50"/>
    </row>
    <row r="13" spans="1:5" s="45" customFormat="1" x14ac:dyDescent="0.2">
      <c r="B13" s="50" t="str">
        <f>'Planilha Orçamentária - Projeto'!E9</f>
        <v>DATA DA APRES. DA PROPOSTA:</v>
      </c>
      <c r="C13" s="50"/>
      <c r="D13" s="85" t="str">
        <f>'Planilha Orçamentária - Projeto'!I9</f>
        <v>dd/mm/aaaa</v>
      </c>
      <c r="E13" s="50"/>
    </row>
    <row r="14" spans="1:5" s="45" customFormat="1" x14ac:dyDescent="0.2">
      <c r="A14" s="46"/>
      <c r="B14" s="46"/>
      <c r="C14" s="47"/>
      <c r="D14" s="46"/>
      <c r="E14" s="46"/>
    </row>
    <row r="15" spans="1:5" s="42" customFormat="1" x14ac:dyDescent="0.2">
      <c r="A15" s="583"/>
      <c r="B15" s="583"/>
      <c r="C15" s="583"/>
      <c r="D15" s="583"/>
      <c r="E15" s="583"/>
    </row>
    <row r="16" spans="1:5" s="42" customFormat="1" ht="15.75" customHeight="1" x14ac:dyDescent="0.2">
      <c r="A16" s="578" t="s">
        <v>191</v>
      </c>
      <c r="B16" s="578"/>
      <c r="C16" s="578"/>
      <c r="D16" s="86"/>
      <c r="E16" s="87">
        <f>'Orçamento Sintético'!F30</f>
        <v>1086309.99</v>
      </c>
    </row>
    <row r="17" spans="1:5" ht="15.75" customHeight="1" x14ac:dyDescent="0.2">
      <c r="D17" s="49"/>
    </row>
    <row r="18" spans="1:5" ht="15.75" customHeight="1" x14ac:dyDescent="0.2">
      <c r="D18" s="49"/>
    </row>
    <row r="19" spans="1:5" ht="15.75" customHeight="1" x14ac:dyDescent="0.2">
      <c r="C19" s="51"/>
    </row>
    <row r="20" spans="1:5" ht="15.75" customHeight="1" x14ac:dyDescent="0.2"/>
    <row r="21" spans="1:5" ht="15.75" customHeight="1" x14ac:dyDescent="0.2">
      <c r="A21" s="579"/>
      <c r="B21" s="584"/>
      <c r="C21" s="584"/>
      <c r="D21" s="584"/>
      <c r="E21" s="584"/>
    </row>
    <row r="22" spans="1:5" ht="15.75" customHeight="1" x14ac:dyDescent="0.2">
      <c r="A22" s="585" t="str">
        <f>'Planilha Orçamentária - Projeto'!G8</f>
        <v>NOME E TÍTULO DO RESP. TÉCN.</v>
      </c>
      <c r="B22" s="586"/>
      <c r="C22" s="586"/>
      <c r="D22" s="586"/>
      <c r="E22" s="586"/>
    </row>
    <row r="23" spans="1:5" ht="15.75" customHeight="1" x14ac:dyDescent="0.2">
      <c r="A23" s="579" t="str">
        <f>'Planilha Orçamentária - Projeto'!L8</f>
        <v>Nº CREA/CAU xx</v>
      </c>
      <c r="B23" s="579"/>
      <c r="C23" s="579"/>
      <c r="D23" s="579"/>
      <c r="E23" s="579"/>
    </row>
    <row r="24" spans="1:5" x14ac:dyDescent="0.2">
      <c r="A24" s="587"/>
      <c r="B24" s="587"/>
      <c r="C24" s="587"/>
      <c r="D24" s="587"/>
      <c r="E24" s="587"/>
    </row>
    <row r="25" spans="1:5" x14ac:dyDescent="0.2">
      <c r="A25" s="587"/>
      <c r="B25" s="587"/>
      <c r="C25" s="587"/>
      <c r="D25" s="587"/>
      <c r="E25" s="587"/>
    </row>
    <row r="27" spans="1:5" x14ac:dyDescent="0.2">
      <c r="A27" s="588"/>
      <c r="B27" s="588"/>
      <c r="C27" s="588"/>
      <c r="D27" s="588"/>
      <c r="E27" s="588"/>
    </row>
    <row r="28" spans="1:5" x14ac:dyDescent="0.2">
      <c r="A28" s="582"/>
      <c r="B28" s="582"/>
      <c r="C28" s="582"/>
      <c r="D28" s="582"/>
      <c r="E28" s="582"/>
    </row>
    <row r="29" spans="1:5" s="185" customFormat="1" ht="11.25" x14ac:dyDescent="0.2">
      <c r="A29" s="577" t="s">
        <v>354</v>
      </c>
      <c r="B29" s="577"/>
      <c r="C29" s="577"/>
      <c r="D29" s="577"/>
      <c r="E29" s="577"/>
    </row>
  </sheetData>
  <sheetProtection algorithmName="SHA-512" hashValue="+h3/xFWDbG4VtnqTOWqnDGa20ZuSXnab6e2lc36YZSk6AoMdiFnfHba1L669o6tzry+x24v1gP/PH7/q++vPeQ==" saltValue="5omEXoy4dPVrvHurIi9xKg==" spinCount="100000" sheet="1" selectLockedCells="1"/>
  <customSheetViews>
    <customSheetView guid="{77FD295D-1BCD-41C6-B306-76E0FF93C8E4}" scale="85" showPageBreaks="1" showGridLines="0" printArea="1" view="pageBreakPreview">
      <selection activeCell="A5" sqref="A5:E5"/>
      <rowBreaks count="1" manualBreakCount="1">
        <brk id="37" max="16383" man="1"/>
      </rowBreaks>
      <pageMargins left="0.39370078740157483" right="0.39370078740157483" top="0.78740157480314965" bottom="0.39370078740157483" header="0.51181102362204722" footer="0.51181102362204722"/>
      <printOptions horizontalCentered="1"/>
      <pageSetup paperSize="9" scale="111" orientation="landscape" r:id="rId1"/>
      <headerFooter alignWithMargins="0"/>
    </customSheetView>
  </customSheetViews>
  <mergeCells count="13">
    <mergeCell ref="A29:E29"/>
    <mergeCell ref="A16:C16"/>
    <mergeCell ref="A23:E23"/>
    <mergeCell ref="B1:C1"/>
    <mergeCell ref="A28:E28"/>
    <mergeCell ref="A15:E15"/>
    <mergeCell ref="A21:E21"/>
    <mergeCell ref="A22:E22"/>
    <mergeCell ref="A24:E24"/>
    <mergeCell ref="A25:E25"/>
    <mergeCell ref="A27:E27"/>
    <mergeCell ref="A8:E8"/>
    <mergeCell ref="A10:E10"/>
  </mergeCells>
  <phoneticPr fontId="0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111" orientation="landscape" verticalDpi="598" r:id="rId2"/>
  <headerFooter alignWithMargins="0"/>
  <rowBreaks count="1" manualBreakCount="1">
    <brk id="38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pageSetUpPr fitToPage="1"/>
  </sheetPr>
  <dimension ref="A1:J34"/>
  <sheetViews>
    <sheetView showGridLines="0" view="pageLayout" zoomScale="130" zoomScaleNormal="100" zoomScaleSheetLayoutView="130" zoomScalePageLayoutView="130" workbookViewId="0">
      <selection activeCell="I26" sqref="I26"/>
    </sheetView>
  </sheetViews>
  <sheetFormatPr defaultColWidth="9.140625" defaultRowHeight="11.25" x14ac:dyDescent="0.2"/>
  <cols>
    <col min="1" max="1" width="8.7109375" style="188" customWidth="1"/>
    <col min="2" max="2" width="38" style="16" customWidth="1"/>
    <col min="3" max="3" width="9.140625" style="16" hidden="1" customWidth="1"/>
    <col min="4" max="4" width="8.140625" style="23" hidden="1" customWidth="1"/>
    <col min="5" max="5" width="10.85546875" style="23" hidden="1" customWidth="1"/>
    <col min="6" max="6" width="20.140625" style="23" customWidth="1"/>
    <col min="7" max="7" width="38" style="16" customWidth="1"/>
    <col min="8" max="8" width="9.140625" style="16"/>
    <col min="9" max="9" width="11.140625" style="16" bestFit="1" customWidth="1"/>
    <col min="10" max="10" width="9.140625" style="16"/>
    <col min="11" max="11" width="9.85546875" style="16" bestFit="1" customWidth="1"/>
    <col min="12" max="16384" width="9.140625" style="16"/>
  </cols>
  <sheetData>
    <row r="1" spans="1:10" s="3" customFormat="1" ht="54.75" customHeight="1" x14ac:dyDescent="0.2">
      <c r="A1" s="53"/>
      <c r="B1" s="187" t="s">
        <v>207</v>
      </c>
      <c r="C1" s="55"/>
      <c r="D1" s="53"/>
      <c r="E1" s="1"/>
      <c r="F1" s="1"/>
    </row>
    <row r="2" spans="1:10" s="2" customFormat="1" ht="13.15" customHeight="1" x14ac:dyDescent="0.2">
      <c r="A2" s="155"/>
      <c r="B2" s="157"/>
      <c r="C2" s="156"/>
      <c r="D2" s="156"/>
      <c r="E2" s="156"/>
      <c r="F2" s="156"/>
      <c r="G2" s="156"/>
    </row>
    <row r="3" spans="1:10" s="2" customFormat="1" ht="15.75" x14ac:dyDescent="0.2">
      <c r="A3" s="591" t="str">
        <f>'Planilha Orçamentária - Projeto'!A3:L3</f>
        <v>ÓRGÃO CONTRATANTE: SEÇÃO JUDICIÁRIA ....</v>
      </c>
      <c r="B3" s="591"/>
      <c r="C3" s="591"/>
      <c r="D3" s="591"/>
      <c r="E3" s="591"/>
      <c r="F3" s="591"/>
      <c r="G3" s="591"/>
    </row>
    <row r="4" spans="1:10" s="2" customFormat="1" ht="13.5" thickBot="1" x14ac:dyDescent="0.25">
      <c r="A4" s="158"/>
      <c r="B4" s="159"/>
      <c r="C4" s="160"/>
      <c r="D4" s="161"/>
      <c r="E4" s="162"/>
      <c r="F4" s="162"/>
      <c r="G4" s="163"/>
    </row>
    <row r="5" spans="1:10" s="2" customFormat="1" ht="15" customHeight="1" x14ac:dyDescent="0.2">
      <c r="A5" s="594" t="str">
        <f>'Planilha Orçamentária - Projeto'!A8</f>
        <v>NOME DA EMPRESA:</v>
      </c>
      <c r="B5" s="595"/>
      <c r="C5" s="595"/>
      <c r="D5" s="595"/>
      <c r="E5" s="595"/>
      <c r="F5" s="595"/>
      <c r="G5" s="596"/>
      <c r="H5" s="1"/>
      <c r="I5" s="1"/>
      <c r="J5" s="1"/>
    </row>
    <row r="6" spans="1:10" s="2" customFormat="1" ht="15" customHeight="1" thickBot="1" x14ac:dyDescent="0.25">
      <c r="A6" s="605" t="str">
        <f>'Planilha Orçamentária - Projeto'!B9</f>
        <v>XX.YYY.ZZZ/AAAA-BB</v>
      </c>
      <c r="B6" s="606"/>
      <c r="C6" s="606"/>
      <c r="D6" s="606"/>
      <c r="E6" s="606"/>
      <c r="F6" s="606"/>
      <c r="G6" s="607"/>
      <c r="H6" s="144"/>
      <c r="I6" s="144"/>
      <c r="J6" s="144"/>
    </row>
    <row r="7" spans="1:10" s="2" customFormat="1" ht="12.75" x14ac:dyDescent="0.2">
      <c r="A7" s="164"/>
      <c r="B7" s="165"/>
      <c r="C7" s="165"/>
      <c r="D7" s="165"/>
      <c r="E7" s="165"/>
      <c r="F7" s="165"/>
      <c r="G7" s="165"/>
      <c r="H7" s="56"/>
      <c r="I7" s="56"/>
      <c r="J7" s="56"/>
    </row>
    <row r="8" spans="1:10" s="2" customFormat="1" ht="12.75" x14ac:dyDescent="0.2">
      <c r="A8" s="166"/>
      <c r="B8" s="167"/>
      <c r="C8" s="167"/>
      <c r="D8" s="167"/>
      <c r="E8" s="167"/>
      <c r="F8" s="167"/>
      <c r="G8" s="167"/>
    </row>
    <row r="9" spans="1:10" s="2" customFormat="1" ht="12.75" x14ac:dyDescent="0.2">
      <c r="A9" s="168" t="s">
        <v>192</v>
      </c>
      <c r="B9" s="169" t="str">
        <f>'Planilha Orçamentária - Projeto'!A5</f>
        <v>ELABORAÇÃO DE PROJETOS PARA A CONSTRUÇÃO DO EDIFÍCIO SEDE DA SUBSEÇÃO JUDICIÁRIA DE .....</v>
      </c>
      <c r="C9" s="169"/>
      <c r="D9" s="169"/>
      <c r="E9" s="169"/>
      <c r="F9" s="169"/>
      <c r="G9" s="169"/>
    </row>
    <row r="10" spans="1:10" s="2" customFormat="1" ht="12.75" x14ac:dyDescent="0.2">
      <c r="A10" s="168" t="s">
        <v>200</v>
      </c>
      <c r="B10" s="165"/>
      <c r="C10" s="167"/>
      <c r="D10" s="167"/>
      <c r="E10" s="167"/>
      <c r="F10" s="165">
        <f>'Planilha Orçamentária - Projeto'!I14</f>
        <v>180</v>
      </c>
      <c r="G10" s="167"/>
    </row>
    <row r="11" spans="1:10" s="2" customFormat="1" ht="12.75" x14ac:dyDescent="0.2">
      <c r="A11" s="165" t="s">
        <v>196</v>
      </c>
      <c r="B11" s="167"/>
      <c r="C11" s="167"/>
      <c r="D11" s="167"/>
      <c r="E11" s="167"/>
      <c r="F11" s="170" t="str">
        <f>'Planilha Orçamentária - Projeto'!I9</f>
        <v>dd/mm/aaaa</v>
      </c>
      <c r="G11" s="167"/>
    </row>
    <row r="12" spans="1:10" s="2" customFormat="1" ht="13.5" thickBot="1" x14ac:dyDescent="0.25">
      <c r="A12" s="145"/>
      <c r="B12" s="144"/>
      <c r="C12" s="144"/>
      <c r="D12" s="144"/>
      <c r="E12" s="144"/>
      <c r="F12" s="144"/>
      <c r="G12" s="144"/>
    </row>
    <row r="13" spans="1:10" ht="24.75" customHeight="1" thickBot="1" x14ac:dyDescent="0.25">
      <c r="A13" s="602" t="s">
        <v>3</v>
      </c>
      <c r="B13" s="603"/>
      <c r="C13" s="603"/>
      <c r="D13" s="603"/>
      <c r="E13" s="603"/>
      <c r="F13" s="603"/>
      <c r="G13" s="604"/>
    </row>
    <row r="14" spans="1:10" ht="15.75" customHeight="1" thickBot="1" x14ac:dyDescent="0.3">
      <c r="A14" s="146"/>
      <c r="B14" s="146"/>
      <c r="C14" s="146"/>
      <c r="D14" s="146"/>
      <c r="E14" s="146"/>
      <c r="F14" s="146"/>
      <c r="G14" s="146"/>
    </row>
    <row r="15" spans="1:10" ht="18" customHeight="1" thickBot="1" x14ac:dyDescent="0.25">
      <c r="A15" s="599" t="s">
        <v>337</v>
      </c>
      <c r="B15" s="600"/>
      <c r="C15" s="600"/>
      <c r="D15" s="600"/>
      <c r="E15" s="600"/>
      <c r="F15" s="600"/>
      <c r="G15" s="601"/>
    </row>
    <row r="16" spans="1:10" ht="18" customHeight="1" thickBot="1" x14ac:dyDescent="0.25">
      <c r="A16" s="428" t="s">
        <v>4</v>
      </c>
      <c r="B16" s="429" t="s">
        <v>5</v>
      </c>
      <c r="C16" s="430" t="s">
        <v>6</v>
      </c>
      <c r="D16" s="431" t="s">
        <v>7</v>
      </c>
      <c r="E16" s="431" t="s">
        <v>8</v>
      </c>
      <c r="F16" s="432" t="s">
        <v>190</v>
      </c>
      <c r="G16" s="433" t="s">
        <v>225</v>
      </c>
    </row>
    <row r="17" spans="1:10" ht="15.75" customHeight="1" x14ac:dyDescent="0.2">
      <c r="A17" s="422" t="s">
        <v>21</v>
      </c>
      <c r="B17" s="423" t="s">
        <v>44</v>
      </c>
      <c r="C17" s="424"/>
      <c r="D17" s="425"/>
      <c r="E17" s="425"/>
      <c r="F17" s="426">
        <f>'Planilha Orçamentária - Projeto'!I21</f>
        <v>53760</v>
      </c>
      <c r="G17" s="427">
        <f>F17/$F$22</f>
        <v>0.05</v>
      </c>
    </row>
    <row r="18" spans="1:10" ht="15.75" customHeight="1" x14ac:dyDescent="0.2">
      <c r="A18" s="31" t="s">
        <v>22</v>
      </c>
      <c r="B18" s="9" t="s">
        <v>48</v>
      </c>
      <c r="C18" s="148"/>
      <c r="D18" s="148"/>
      <c r="E18" s="148"/>
      <c r="F18" s="386">
        <f>'Planilha Orçamentária - Projeto'!I30</f>
        <v>161280</v>
      </c>
      <c r="G18" s="419">
        <f t="shared" ref="G18:G21" si="0">F18/$F$22</f>
        <v>0.15</v>
      </c>
    </row>
    <row r="19" spans="1:10" ht="15.95" customHeight="1" x14ac:dyDescent="0.2">
      <c r="A19" s="382" t="s">
        <v>23</v>
      </c>
      <c r="B19" s="383" t="s">
        <v>49</v>
      </c>
      <c r="C19" s="147"/>
      <c r="D19" s="147"/>
      <c r="E19" s="147"/>
      <c r="F19" s="385">
        <f>'Planilha Orçamentária - Projeto'!I57</f>
        <v>483840</v>
      </c>
      <c r="G19" s="419">
        <f t="shared" si="0"/>
        <v>0.45</v>
      </c>
    </row>
    <row r="20" spans="1:10" ht="15.95" customHeight="1" x14ac:dyDescent="0.2">
      <c r="A20" s="382" t="s">
        <v>24</v>
      </c>
      <c r="B20" s="383" t="s">
        <v>53</v>
      </c>
      <c r="C20" s="147"/>
      <c r="D20" s="147"/>
      <c r="E20" s="147"/>
      <c r="F20" s="385">
        <f>'Planilha Orçamentária - Projeto'!I89</f>
        <v>268800</v>
      </c>
      <c r="G20" s="419">
        <f t="shared" si="0"/>
        <v>0.25</v>
      </c>
    </row>
    <row r="21" spans="1:10" ht="15.75" customHeight="1" thickBot="1" x14ac:dyDescent="0.25">
      <c r="A21" s="31" t="s">
        <v>25</v>
      </c>
      <c r="B21" s="384" t="s">
        <v>176</v>
      </c>
      <c r="C21" s="148"/>
      <c r="D21" s="148"/>
      <c r="E21" s="148"/>
      <c r="F21" s="386">
        <f>'Planilha Orçamentária - Projeto'!I123</f>
        <v>107520</v>
      </c>
      <c r="G21" s="434">
        <f t="shared" si="0"/>
        <v>0.1</v>
      </c>
    </row>
    <row r="22" spans="1:10" ht="15.95" customHeight="1" thickBot="1" x14ac:dyDescent="0.25">
      <c r="A22" s="597" t="s">
        <v>339</v>
      </c>
      <c r="B22" s="598"/>
      <c r="C22" s="598"/>
      <c r="D22" s="598"/>
      <c r="E22" s="598"/>
      <c r="F22" s="420">
        <f>'Planilha Orçamentária - Projeto'!I132</f>
        <v>1075200</v>
      </c>
      <c r="G22" s="421">
        <f>SUM(G17:G21)</f>
        <v>1</v>
      </c>
    </row>
    <row r="23" spans="1:10" ht="12" thickBot="1" x14ac:dyDescent="0.25">
      <c r="A23" s="21"/>
      <c r="B23" s="149"/>
      <c r="C23" s="149"/>
      <c r="D23" s="150"/>
      <c r="E23" s="150"/>
      <c r="F23" s="150"/>
    </row>
    <row r="24" spans="1:10" ht="17.25" customHeight="1" thickBot="1" x14ac:dyDescent="0.25">
      <c r="A24" s="599" t="s">
        <v>338</v>
      </c>
      <c r="B24" s="600"/>
      <c r="C24" s="600"/>
      <c r="D24" s="600"/>
      <c r="E24" s="600"/>
      <c r="F24" s="600"/>
      <c r="G24" s="601"/>
    </row>
    <row r="25" spans="1:10" ht="17.25" customHeight="1" thickBot="1" x14ac:dyDescent="0.25">
      <c r="A25" s="428" t="s">
        <v>4</v>
      </c>
      <c r="B25" s="429" t="s">
        <v>5</v>
      </c>
      <c r="C25" s="430" t="s">
        <v>6</v>
      </c>
      <c r="D25" s="431" t="s">
        <v>7</v>
      </c>
      <c r="E25" s="431" t="s">
        <v>8</v>
      </c>
      <c r="F25" s="432" t="s">
        <v>190</v>
      </c>
      <c r="G25" s="433" t="s">
        <v>225</v>
      </c>
    </row>
    <row r="26" spans="1:10" ht="15" customHeight="1" x14ac:dyDescent="0.2">
      <c r="A26" s="422" t="s">
        <v>21</v>
      </c>
      <c r="B26" s="423" t="s">
        <v>314</v>
      </c>
      <c r="C26" s="422"/>
      <c r="D26" s="435"/>
      <c r="E26" s="435"/>
      <c r="F26" s="426">
        <f>IF('Planilha Orçamentária - Serviço'!H23&gt;0,'Planilha Orçamentária - Serviço'!H21,"NÃO CONTRATADO")</f>
        <v>9595.69</v>
      </c>
      <c r="G26" s="427">
        <f>IF(F26="NÃO CONTRATADO","N/A",(F26/F28))</f>
        <v>0.86369924725404801</v>
      </c>
      <c r="J26" s="326"/>
    </row>
    <row r="27" spans="1:10" ht="15.75" customHeight="1" thickBot="1" x14ac:dyDescent="0.25">
      <c r="A27" s="436" t="s">
        <v>22</v>
      </c>
      <c r="B27" s="437" t="s">
        <v>328</v>
      </c>
      <c r="C27" s="437"/>
      <c r="D27" s="437"/>
      <c r="E27" s="437"/>
      <c r="F27" s="438">
        <f>IF('Planilha Orçamentária - Serviço'!H26&gt;0,'Planilha Orçamentária - Serviço'!H25,"NÃO CONTRATADO")</f>
        <v>1514.3</v>
      </c>
      <c r="G27" s="434">
        <f>IF(F27="NÃO CONTRATADO","N/A",(F27/F28))</f>
        <v>0.13630075274595208</v>
      </c>
      <c r="J27" s="380"/>
    </row>
    <row r="28" spans="1:10" ht="15.75" customHeight="1" thickBot="1" x14ac:dyDescent="0.25">
      <c r="A28" s="597" t="s">
        <v>340</v>
      </c>
      <c r="B28" s="598"/>
      <c r="C28" s="598"/>
      <c r="D28" s="598"/>
      <c r="E28" s="598"/>
      <c r="F28" s="420">
        <f>SUM(F26:F27)</f>
        <v>11109.99</v>
      </c>
      <c r="G28" s="439">
        <f>SUM(G26:G27)</f>
        <v>1</v>
      </c>
    </row>
    <row r="29" spans="1:10" ht="15.75" customHeight="1" thickBot="1" x14ac:dyDescent="0.25">
      <c r="A29" s="387"/>
      <c r="B29" s="387"/>
      <c r="C29" s="387"/>
      <c r="D29" s="387"/>
      <c r="E29" s="387"/>
      <c r="F29" s="388"/>
      <c r="G29" s="389"/>
    </row>
    <row r="30" spans="1:10" ht="15.75" customHeight="1" thickBot="1" x14ac:dyDescent="0.25">
      <c r="A30" s="597" t="s">
        <v>191</v>
      </c>
      <c r="B30" s="598"/>
      <c r="C30" s="598"/>
      <c r="D30" s="598"/>
      <c r="E30" s="598"/>
      <c r="F30" s="420">
        <f>SUM(F22+F28)</f>
        <v>1086309.99</v>
      </c>
      <c r="G30" s="421"/>
    </row>
    <row r="31" spans="1:10" ht="15.75" customHeight="1" x14ac:dyDescent="0.2">
      <c r="A31" s="387"/>
      <c r="B31" s="387"/>
      <c r="C31" s="387"/>
      <c r="D31" s="387"/>
      <c r="E31" s="387"/>
      <c r="F31" s="388"/>
      <c r="G31" s="389"/>
    </row>
    <row r="32" spans="1:10" x14ac:dyDescent="0.2">
      <c r="A32" s="592" t="str">
        <f>'Planilha Orçamentária - Projeto'!G8</f>
        <v>NOME E TÍTULO DO RESP. TÉCN.</v>
      </c>
      <c r="B32" s="592"/>
      <c r="C32" s="592"/>
      <c r="D32" s="592"/>
      <c r="E32" s="592"/>
      <c r="F32" s="592"/>
      <c r="G32" s="592"/>
    </row>
    <row r="33" spans="1:7" x14ac:dyDescent="0.2">
      <c r="A33" s="593" t="str">
        <f>'Planilha Orçamentária - Projeto'!L8</f>
        <v>Nº CREA/CAU xx</v>
      </c>
      <c r="B33" s="593"/>
      <c r="C33" s="593"/>
      <c r="D33" s="593"/>
      <c r="E33" s="593"/>
      <c r="F33" s="593"/>
      <c r="G33" s="593"/>
    </row>
    <row r="34" spans="1:7" x14ac:dyDescent="0.2">
      <c r="B34" s="151"/>
      <c r="C34" s="151"/>
      <c r="D34" s="152"/>
      <c r="E34" s="152"/>
      <c r="F34" s="152"/>
    </row>
  </sheetData>
  <sheetProtection algorithmName="SHA-512" hashValue="LPxlFBv6KT0UQ+MNVr07S+e2rw9zOyrdA5PBsUglXaUQCGNNl8EjEUaK+lPFdxp87GAuoSymJQ7tWzbQPICjMw==" saltValue="e/b8/neRMmq/FUjkaBHDmQ==" spinCount="100000" sheet="1" selectLockedCells="1"/>
  <customSheetViews>
    <customSheetView guid="{77FD295D-1BCD-41C6-B306-76E0FF93C8E4}" scale="85" showPageBreaks="1" showGridLines="0" fitToPage="1" printArea="1" hiddenColumns="1" view="pageBreakPreview">
      <selection activeCell="A3" sqref="A3:A4"/>
      <pageMargins left="0.39370078740157483" right="0.39370078740157483" top="0.39370078740157483" bottom="0.39370078740157483" header="0" footer="0"/>
      <printOptions horizontalCentered="1"/>
      <pageSetup paperSize="9" fitToHeight="0" orientation="portrait" horizontalDpi="300" verticalDpi="300" r:id="rId1"/>
      <headerFooter alignWithMargins="0"/>
    </customSheetView>
  </customSheetViews>
  <mergeCells count="11">
    <mergeCell ref="A3:G3"/>
    <mergeCell ref="A32:G32"/>
    <mergeCell ref="A33:G33"/>
    <mergeCell ref="A5:G5"/>
    <mergeCell ref="A22:E22"/>
    <mergeCell ref="A15:G15"/>
    <mergeCell ref="A13:G13"/>
    <mergeCell ref="A6:G6"/>
    <mergeCell ref="A28:E28"/>
    <mergeCell ref="A24:G24"/>
    <mergeCell ref="A30:E30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fitToHeight="0" orientation="landscape" verticalDpi="598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9</vt:i4>
      </vt:variant>
    </vt:vector>
  </HeadingPairs>
  <TitlesOfParts>
    <vt:vector size="15" baseType="lpstr">
      <vt:lpstr>Planilha Orçamentária - Projeto</vt:lpstr>
      <vt:lpstr>Planilha Orçamentária - Serviço</vt:lpstr>
      <vt:lpstr>BDI Engenharia Consultiva</vt:lpstr>
      <vt:lpstr>Cronograma Físico-Financeiro</vt:lpstr>
      <vt:lpstr>CAPA</vt:lpstr>
      <vt:lpstr>Orçamento Sintético</vt:lpstr>
      <vt:lpstr>'BDI Engenharia Consultiva'!Area_de_impressao</vt:lpstr>
      <vt:lpstr>CAPA!Area_de_impressao</vt:lpstr>
      <vt:lpstr>'Cronograma Físico-Financeiro'!Area_de_impressao</vt:lpstr>
      <vt:lpstr>'Orçamento Sintético'!Area_de_impressao</vt:lpstr>
      <vt:lpstr>'Planilha Orçamentária - Projeto'!Area_de_impressao</vt:lpstr>
      <vt:lpstr>'Planilha Orçamentária - Serviço'!Area_de_impressao</vt:lpstr>
      <vt:lpstr>'Cronograma Físico-Financeiro'!Titulos_de_impressao</vt:lpstr>
      <vt:lpstr>'Orçamento Sintético'!Titulos_de_impressao</vt:lpstr>
      <vt:lpstr>'Planilha Orçamentária - Projeto'!Titulos_de_impressao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LEITE</dc:creator>
  <cp:lastModifiedBy>Lucio Castelo Branco</cp:lastModifiedBy>
  <cp:lastPrinted>2022-11-04T21:09:51Z</cp:lastPrinted>
  <dcterms:created xsi:type="dcterms:W3CDTF">2008-04-03T22:40:50Z</dcterms:created>
  <dcterms:modified xsi:type="dcterms:W3CDTF">2023-01-31T18:44:14Z</dcterms:modified>
</cp:coreProperties>
</file>