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riana.ansani\Desktop\"/>
    </mc:Choice>
  </mc:AlternateContent>
  <xr:revisionPtr revIDLastSave="0" documentId="8_{5665F3E1-BC9C-47B4-B897-48F752EC7874}" xr6:coauthVersionLast="34" xr6:coauthVersionMax="34" xr10:uidLastSave="{00000000-0000-0000-0000-000000000000}"/>
  <bookViews>
    <workbookView xWindow="0" yWindow="0" windowWidth="28800" windowHeight="12225" tabRatio="665" xr2:uid="{00000000-000D-0000-FFFF-FFFF00000000}"/>
  </bookViews>
  <sheets>
    <sheet name="DADOS GERAIS E ÁREAS" sheetId="17" r:id="rId1"/>
    <sheet name="QUADRO GERAL DE ÁREAS" sheetId="7" r:id="rId2"/>
  </sheets>
  <definedNames>
    <definedName name="_xlnm.Print_Area" localSheetId="0">'DADOS GERAIS E ÁREAS'!$A$1:$K$351</definedName>
    <definedName name="_xlnm.Print_Area" localSheetId="1">'QUADRO GERAL DE ÁREAS'!$A$1:$K$56</definedName>
    <definedName name="_xlnm.Print_Titles" localSheetId="0">'DADOS GERAIS E ÁREAS'!$1:$7</definedName>
    <definedName name="_xlnm.Print_Titles" localSheetId="1">'QUADRO GERAL DE ÁREAS'!#REF!</definedName>
  </definedNames>
  <calcPr calcId="179021"/>
</workbook>
</file>

<file path=xl/calcChain.xml><?xml version="1.0" encoding="utf-8"?>
<calcChain xmlns="http://schemas.openxmlformats.org/spreadsheetml/2006/main">
  <c r="E252" i="17" l="1"/>
  <c r="A38" i="7"/>
  <c r="A24" i="7"/>
  <c r="A11" i="7"/>
  <c r="A5" i="7"/>
  <c r="I333" i="17"/>
  <c r="I8" i="7"/>
  <c r="B8" i="7"/>
  <c r="J57" i="17" l="1"/>
  <c r="J279" i="17" l="1"/>
  <c r="C267" i="17"/>
  <c r="C248" i="17"/>
  <c r="C240" i="17"/>
  <c r="C215" i="17"/>
  <c r="C201" i="17"/>
  <c r="J291" i="17"/>
  <c r="J284" i="17"/>
  <c r="J266" i="17"/>
  <c r="J261" i="17"/>
  <c r="J247" i="17"/>
  <c r="J239" i="17"/>
  <c r="J223" i="17"/>
  <c r="J214" i="17"/>
  <c r="J211" i="17"/>
  <c r="J200" i="17"/>
  <c r="K18" i="17"/>
  <c r="K16" i="17"/>
  <c r="K15" i="17"/>
  <c r="K14" i="17"/>
  <c r="K12" i="17"/>
  <c r="K13" i="17"/>
  <c r="K11" i="17"/>
  <c r="E7" i="7" l="1"/>
  <c r="A32" i="7"/>
  <c r="D42" i="7" l="1"/>
  <c r="D279" i="17"/>
  <c r="C279" i="17"/>
  <c r="J194" i="17"/>
  <c r="J189" i="17"/>
  <c r="J182" i="17"/>
  <c r="E60" i="17"/>
  <c r="E42" i="17"/>
  <c r="K7" i="7"/>
  <c r="B7" i="7"/>
  <c r="K6" i="7"/>
  <c r="B6" i="7"/>
  <c r="E259" i="17" l="1"/>
  <c r="I259" i="17" s="1"/>
  <c r="E251" i="17"/>
  <c r="I251" i="17" s="1"/>
  <c r="E311" i="17"/>
  <c r="E270" i="17" l="1"/>
  <c r="E62" i="17"/>
  <c r="E61" i="17" s="1"/>
  <c r="D61" i="17"/>
  <c r="C61" i="17"/>
  <c r="D57" i="17"/>
  <c r="E207" i="17"/>
  <c r="E208" i="17"/>
  <c r="I208" i="17" s="1"/>
  <c r="E209" i="17"/>
  <c r="I209" i="17" s="1"/>
  <c r="E198" i="17"/>
  <c r="E194" i="17" s="1"/>
  <c r="D194" i="17"/>
  <c r="E193" i="17"/>
  <c r="E192" i="17"/>
  <c r="D189" i="17"/>
  <c r="E188" i="17"/>
  <c r="E187" i="17"/>
  <c r="E186" i="17"/>
  <c r="D182" i="17"/>
  <c r="E168" i="17"/>
  <c r="E165" i="17"/>
  <c r="E162" i="17"/>
  <c r="E159" i="17"/>
  <c r="E146" i="17"/>
  <c r="E139" i="17"/>
  <c r="E121" i="17"/>
  <c r="E113" i="17"/>
  <c r="E110" i="17"/>
  <c r="E102" i="17"/>
  <c r="E96" i="17"/>
  <c r="E93" i="17"/>
  <c r="E85" i="17"/>
  <c r="E78" i="17"/>
  <c r="E75" i="17"/>
  <c r="C183" i="17" l="1"/>
  <c r="C182" i="17" s="1"/>
  <c r="D25" i="7"/>
  <c r="C190" i="17"/>
  <c r="E190" i="17" s="1"/>
  <c r="E189" i="17" s="1"/>
  <c r="D26" i="7"/>
  <c r="C195" i="17"/>
  <c r="I199" i="17" s="1"/>
  <c r="D27" i="7"/>
  <c r="I198" i="17"/>
  <c r="I186" i="17"/>
  <c r="I193" i="17"/>
  <c r="E182" i="17"/>
  <c r="I192" i="17"/>
  <c r="I187" i="17"/>
  <c r="I188" i="17"/>
  <c r="D43" i="7"/>
  <c r="D41" i="7"/>
  <c r="D40" i="7"/>
  <c r="D33" i="7"/>
  <c r="I260" i="17"/>
  <c r="D39" i="7"/>
  <c r="E25" i="7" l="1"/>
  <c r="I292" i="17"/>
  <c r="I293" i="17"/>
  <c r="I196" i="17"/>
  <c r="D36" i="7"/>
  <c r="D37" i="7"/>
  <c r="I191" i="17"/>
  <c r="I185" i="17"/>
  <c r="I184" i="17"/>
  <c r="I195" i="17"/>
  <c r="I190" i="17"/>
  <c r="C194" i="17"/>
  <c r="E27" i="7" s="1"/>
  <c r="I183" i="17"/>
  <c r="C189" i="17"/>
  <c r="E26" i="7" s="1"/>
  <c r="I197" i="17"/>
  <c r="D32" i="7"/>
  <c r="I290" i="17"/>
  <c r="D310" i="17"/>
  <c r="C310" i="17"/>
  <c r="D35" i="7"/>
  <c r="E35" i="7" s="1"/>
  <c r="E273" i="17"/>
  <c r="I273" i="17" s="1"/>
  <c r="E271" i="17"/>
  <c r="I271" i="17" s="1"/>
  <c r="I270" i="17"/>
  <c r="E269" i="17"/>
  <c r="I269" i="17" s="1"/>
  <c r="D34" i="7"/>
  <c r="D266" i="17"/>
  <c r="E258" i="17"/>
  <c r="I258" i="17" s="1"/>
  <c r="E257" i="17"/>
  <c r="I257" i="17" s="1"/>
  <c r="E256" i="17"/>
  <c r="I256" i="17" s="1"/>
  <c r="E255" i="17"/>
  <c r="I255" i="17" s="1"/>
  <c r="E254" i="17"/>
  <c r="I254" i="17" s="1"/>
  <c r="E253" i="17"/>
  <c r="I253" i="17" s="1"/>
  <c r="E250" i="17"/>
  <c r="D247" i="17"/>
  <c r="E242" i="17"/>
  <c r="D239" i="17"/>
  <c r="E226" i="17"/>
  <c r="E225" i="17"/>
  <c r="D30" i="7"/>
  <c r="D223" i="17"/>
  <c r="C223" i="17"/>
  <c r="E221" i="17"/>
  <c r="I221" i="17" s="1"/>
  <c r="E220" i="17"/>
  <c r="I220" i="17" s="1"/>
  <c r="E219" i="17"/>
  <c r="I219" i="17" s="1"/>
  <c r="E218" i="17"/>
  <c r="I218" i="17" s="1"/>
  <c r="E217" i="17"/>
  <c r="D29" i="7"/>
  <c r="D214" i="17"/>
  <c r="I207" i="17"/>
  <c r="E206" i="17"/>
  <c r="I206" i="17" s="1"/>
  <c r="E205" i="17"/>
  <c r="I205" i="17" s="1"/>
  <c r="E204" i="17"/>
  <c r="I204" i="17" s="1"/>
  <c r="E203" i="17"/>
  <c r="I203" i="17" s="1"/>
  <c r="D200" i="17"/>
  <c r="D156" i="17"/>
  <c r="D133" i="17"/>
  <c r="D107" i="17"/>
  <c r="D90" i="17"/>
  <c r="D72" i="17"/>
  <c r="I177" i="17"/>
  <c r="J17" i="17"/>
  <c r="I17" i="17"/>
  <c r="J107" i="17"/>
  <c r="E57" i="17"/>
  <c r="J133" i="17" l="1"/>
  <c r="C134" i="17" s="1"/>
  <c r="E136" i="17"/>
  <c r="E133" i="17" s="1"/>
  <c r="J39" i="17"/>
  <c r="C40" i="17" s="1"/>
  <c r="E45" i="17"/>
  <c r="I295" i="17"/>
  <c r="I189" i="17"/>
  <c r="K189" i="17" s="1"/>
  <c r="H26" i="7" s="1"/>
  <c r="I182" i="17"/>
  <c r="F25" i="7" s="1"/>
  <c r="I194" i="17"/>
  <c r="K194" i="17" s="1"/>
  <c r="D28" i="7"/>
  <c r="J72" i="17"/>
  <c r="C83" i="17" s="1"/>
  <c r="D31" i="7"/>
  <c r="I242" i="17"/>
  <c r="I243" i="17"/>
  <c r="I71" i="17"/>
  <c r="I62" i="17"/>
  <c r="I70" i="17"/>
  <c r="E239" i="17"/>
  <c r="J156" i="17"/>
  <c r="D22" i="7" s="1"/>
  <c r="J172" i="17"/>
  <c r="I174" i="17" s="1"/>
  <c r="I64" i="17"/>
  <c r="I65" i="17"/>
  <c r="I63" i="17"/>
  <c r="I267" i="17"/>
  <c r="E72" i="17"/>
  <c r="E310" i="17"/>
  <c r="E39" i="7" s="1"/>
  <c r="I69" i="17"/>
  <c r="E107" i="17"/>
  <c r="C108" i="17"/>
  <c r="D18" i="7"/>
  <c r="J126" i="17"/>
  <c r="I66" i="17"/>
  <c r="E223" i="17"/>
  <c r="E30" i="7" s="1"/>
  <c r="E247" i="17"/>
  <c r="I67" i="17"/>
  <c r="J22" i="17"/>
  <c r="E156" i="17"/>
  <c r="I294" i="17"/>
  <c r="I217" i="17"/>
  <c r="E214" i="17"/>
  <c r="E266" i="17"/>
  <c r="I252" i="17"/>
  <c r="J90" i="17"/>
  <c r="D17" i="7" s="1"/>
  <c r="E90" i="17"/>
  <c r="K17" i="17"/>
  <c r="I68" i="17"/>
  <c r="I335" i="17" l="1"/>
  <c r="I331" i="17"/>
  <c r="I327" i="17"/>
  <c r="I323" i="17"/>
  <c r="I334" i="17"/>
  <c r="I330" i="17"/>
  <c r="I326" i="17"/>
  <c r="I329" i="17"/>
  <c r="I325" i="17"/>
  <c r="I332" i="17"/>
  <c r="I328" i="17"/>
  <c r="I324" i="17"/>
  <c r="J26" i="7"/>
  <c r="K26" i="7" s="1"/>
  <c r="I340" i="17"/>
  <c r="I244" i="17"/>
  <c r="I272" i="17"/>
  <c r="I288" i="17"/>
  <c r="I281" i="17"/>
  <c r="I282" i="17"/>
  <c r="I283" i="17"/>
  <c r="I232" i="17"/>
  <c r="I233" i="17" s="1"/>
  <c r="I285" i="17"/>
  <c r="D20" i="7"/>
  <c r="I289" i="17"/>
  <c r="I311" i="17"/>
  <c r="I312" i="17"/>
  <c r="J151" i="17"/>
  <c r="I228" i="17"/>
  <c r="I227" i="17"/>
  <c r="I230" i="17"/>
  <c r="I229" i="17"/>
  <c r="I225" i="17"/>
  <c r="I224" i="17"/>
  <c r="I226" i="17"/>
  <c r="I337" i="17"/>
  <c r="I238" i="17"/>
  <c r="I237" i="17"/>
  <c r="I236" i="17"/>
  <c r="I235" i="17"/>
  <c r="I231" i="17"/>
  <c r="I234" i="17"/>
  <c r="D14" i="7"/>
  <c r="C43" i="17"/>
  <c r="D13" i="7"/>
  <c r="C50" i="17"/>
  <c r="I42" i="17"/>
  <c r="D39" i="17"/>
  <c r="E52" i="17"/>
  <c r="I52" i="17" s="1"/>
  <c r="E25" i="17"/>
  <c r="E28" i="17"/>
  <c r="E34" i="17"/>
  <c r="D22" i="17"/>
  <c r="K182" i="17"/>
  <c r="H25" i="7" s="1"/>
  <c r="J25" i="7" s="1"/>
  <c r="I319" i="17"/>
  <c r="I317" i="17"/>
  <c r="I318" i="17"/>
  <c r="I316" i="17"/>
  <c r="I321" i="17"/>
  <c r="I320" i="17"/>
  <c r="I314" i="17"/>
  <c r="F26" i="7"/>
  <c r="D16" i="7"/>
  <c r="C76" i="17"/>
  <c r="I245" i="17"/>
  <c r="C239" i="17"/>
  <c r="E31" i="7" s="1"/>
  <c r="I246" i="17"/>
  <c r="I215" i="17"/>
  <c r="I222" i="17"/>
  <c r="C200" i="17"/>
  <c r="I210" i="17"/>
  <c r="F27" i="7"/>
  <c r="C73" i="17"/>
  <c r="I80" i="17" s="1"/>
  <c r="I212" i="17"/>
  <c r="I262" i="17"/>
  <c r="C144" i="17"/>
  <c r="I146" i="17"/>
  <c r="H27" i="7"/>
  <c r="J27" i="7" s="1"/>
  <c r="E200" i="17"/>
  <c r="I265" i="17"/>
  <c r="I264" i="17"/>
  <c r="I263" i="17"/>
  <c r="I132" i="17"/>
  <c r="I131" i="17"/>
  <c r="I128" i="17"/>
  <c r="I127" i="17"/>
  <c r="I130" i="17"/>
  <c r="I129" i="17"/>
  <c r="I250" i="17"/>
  <c r="C214" i="17"/>
  <c r="E29" i="7" s="1"/>
  <c r="C266" i="17"/>
  <c r="E34" i="7" s="1"/>
  <c r="C247" i="17"/>
  <c r="E32" i="7" s="1"/>
  <c r="C119" i="17"/>
  <c r="I110" i="17"/>
  <c r="I268" i="17"/>
  <c r="C160" i="17"/>
  <c r="I160" i="17" s="1"/>
  <c r="C157" i="17"/>
  <c r="I158" i="17" s="1"/>
  <c r="C163" i="17"/>
  <c r="I165" i="17" s="1"/>
  <c r="C166" i="17"/>
  <c r="I171" i="17" s="1"/>
  <c r="I274" i="17"/>
  <c r="I216" i="17"/>
  <c r="D23" i="7"/>
  <c r="I176" i="17"/>
  <c r="I175" i="17"/>
  <c r="I173" i="17"/>
  <c r="I40" i="17"/>
  <c r="I53" i="17"/>
  <c r="I248" i="17"/>
  <c r="I148" i="17"/>
  <c r="I142" i="17"/>
  <c r="I117" i="17"/>
  <c r="I109" i="17"/>
  <c r="I121" i="17"/>
  <c r="I120" i="17"/>
  <c r="I111" i="17"/>
  <c r="I45" i="17"/>
  <c r="I41" i="17"/>
  <c r="I46" i="17"/>
  <c r="I55" i="17"/>
  <c r="I201" i="17"/>
  <c r="I202" i="17"/>
  <c r="I43" i="17"/>
  <c r="I124" i="17"/>
  <c r="C137" i="17"/>
  <c r="I44" i="17"/>
  <c r="I54" i="17"/>
  <c r="I118" i="17"/>
  <c r="I48" i="17"/>
  <c r="I240" i="17"/>
  <c r="I50" i="17"/>
  <c r="I51" i="17"/>
  <c r="I56" i="17"/>
  <c r="I47" i="17"/>
  <c r="D19" i="7"/>
  <c r="I249" i="17"/>
  <c r="I143" i="17"/>
  <c r="C23" i="17"/>
  <c r="D12" i="7"/>
  <c r="C32" i="17"/>
  <c r="C26" i="17"/>
  <c r="I116" i="17"/>
  <c r="I113" i="17"/>
  <c r="I123" i="17"/>
  <c r="I122" i="17"/>
  <c r="C111" i="17"/>
  <c r="I61" i="17"/>
  <c r="F15" i="7" s="1"/>
  <c r="I147" i="17"/>
  <c r="I112" i="17"/>
  <c r="I145" i="17"/>
  <c r="I149" i="17"/>
  <c r="I144" i="17"/>
  <c r="I134" i="17"/>
  <c r="I137" i="17"/>
  <c r="I108" i="17"/>
  <c r="I125" i="17"/>
  <c r="I139" i="17"/>
  <c r="I135" i="17"/>
  <c r="I141" i="17"/>
  <c r="I140" i="17"/>
  <c r="I138" i="17"/>
  <c r="I114" i="17"/>
  <c r="J61" i="17"/>
  <c r="D15" i="7" s="1"/>
  <c r="E15" i="7" s="1"/>
  <c r="I49" i="17"/>
  <c r="I115" i="17"/>
  <c r="I119" i="17"/>
  <c r="I136" i="17"/>
  <c r="I150" i="17"/>
  <c r="I241" i="17"/>
  <c r="C91" i="17"/>
  <c r="C100" i="17"/>
  <c r="C94" i="17"/>
  <c r="I276" i="17"/>
  <c r="I213" i="17"/>
  <c r="I297" i="17"/>
  <c r="I275" i="17"/>
  <c r="I155" i="17"/>
  <c r="I154" i="17"/>
  <c r="I302" i="17"/>
  <c r="I278" i="17"/>
  <c r="I152" i="17"/>
  <c r="I277" i="17"/>
  <c r="E28" i="7" l="1"/>
  <c r="I287" i="17"/>
  <c r="I286" i="17"/>
  <c r="C39" i="17"/>
  <c r="K310" i="17"/>
  <c r="H39" i="7" s="1"/>
  <c r="C58" i="17"/>
  <c r="C57" i="17" s="1"/>
  <c r="E14" i="7" s="1"/>
  <c r="I214" i="17"/>
  <c r="F29" i="7" s="1"/>
  <c r="I60" i="17"/>
  <c r="E39" i="17"/>
  <c r="C22" i="17"/>
  <c r="E22" i="17"/>
  <c r="I88" i="17"/>
  <c r="C133" i="17"/>
  <c r="E20" i="7" s="1"/>
  <c r="I211" i="17"/>
  <c r="I200" i="17" s="1"/>
  <c r="F28" i="7" s="1"/>
  <c r="I78" i="17"/>
  <c r="I84" i="17"/>
  <c r="I73" i="17"/>
  <c r="I76" i="17"/>
  <c r="C72" i="17"/>
  <c r="E16" i="7" s="1"/>
  <c r="I75" i="17"/>
  <c r="I83" i="17"/>
  <c r="I82" i="17"/>
  <c r="I89" i="17"/>
  <c r="I86" i="17"/>
  <c r="I87" i="17"/>
  <c r="I85" i="17"/>
  <c r="I81" i="17"/>
  <c r="I74" i="17"/>
  <c r="I77" i="17"/>
  <c r="I79" i="17"/>
  <c r="I261" i="17"/>
  <c r="K27" i="7"/>
  <c r="I166" i="17"/>
  <c r="I167" i="17"/>
  <c r="C107" i="17"/>
  <c r="E18" i="7" s="1"/>
  <c r="I164" i="17"/>
  <c r="I162" i="17"/>
  <c r="I170" i="17"/>
  <c r="I168" i="17"/>
  <c r="I169" i="17"/>
  <c r="I163" i="17"/>
  <c r="I172" i="17"/>
  <c r="F23" i="7" s="1"/>
  <c r="I159" i="17"/>
  <c r="I157" i="17"/>
  <c r="C156" i="17"/>
  <c r="E22" i="7" s="1"/>
  <c r="I161" i="17"/>
  <c r="I247" i="17"/>
  <c r="F32" i="7" s="1"/>
  <c r="I338" i="17"/>
  <c r="I266" i="17"/>
  <c r="I126" i="17"/>
  <c r="I39" i="17"/>
  <c r="I107" i="17"/>
  <c r="I239" i="17"/>
  <c r="I133" i="17"/>
  <c r="I153" i="17"/>
  <c r="I151" i="17" s="1"/>
  <c r="D21" i="7"/>
  <c r="K61" i="17"/>
  <c r="H15" i="7" s="1"/>
  <c r="J15" i="7" s="1"/>
  <c r="I223" i="17"/>
  <c r="I310" i="17"/>
  <c r="F39" i="7" s="1"/>
  <c r="I279" i="17"/>
  <c r="I34" i="17"/>
  <c r="I25" i="17"/>
  <c r="I38" i="17"/>
  <c r="I28" i="17"/>
  <c r="I36" i="17"/>
  <c r="I35" i="17"/>
  <c r="I37" i="17"/>
  <c r="I29" i="17"/>
  <c r="I33" i="17"/>
  <c r="I27" i="17"/>
  <c r="I30" i="17"/>
  <c r="I23" i="17"/>
  <c r="I32" i="17"/>
  <c r="I31" i="17"/>
  <c r="I26" i="17"/>
  <c r="I24" i="17"/>
  <c r="I315" i="17"/>
  <c r="K313" i="17" s="1"/>
  <c r="H40" i="7" s="1"/>
  <c r="I105" i="17"/>
  <c r="I99" i="17"/>
  <c r="I93" i="17"/>
  <c r="I104" i="17"/>
  <c r="I98" i="17"/>
  <c r="I103" i="17"/>
  <c r="I97" i="17"/>
  <c r="I92" i="17"/>
  <c r="C90" i="17"/>
  <c r="E17" i="7" s="1"/>
  <c r="I101" i="17"/>
  <c r="I95" i="17"/>
  <c r="I100" i="17"/>
  <c r="I94" i="17"/>
  <c r="I106" i="17"/>
  <c r="I102" i="17"/>
  <c r="I91" i="17"/>
  <c r="I96" i="17"/>
  <c r="I303" i="17"/>
  <c r="I304" i="17"/>
  <c r="I305" i="17"/>
  <c r="I299" i="17"/>
  <c r="I298" i="17"/>
  <c r="I300" i="17"/>
  <c r="I322" i="17"/>
  <c r="J40" i="7" l="1"/>
  <c r="K40" i="7" s="1"/>
  <c r="J39" i="7"/>
  <c r="E13" i="7"/>
  <c r="K15" i="7"/>
  <c r="K25" i="7"/>
  <c r="E12" i="7"/>
  <c r="I58" i="17"/>
  <c r="I59" i="17"/>
  <c r="K214" i="17"/>
  <c r="H29" i="7" s="1"/>
  <c r="I72" i="17"/>
  <c r="K72" i="17" s="1"/>
  <c r="H16" i="7" s="1"/>
  <c r="J16" i="7" s="1"/>
  <c r="K211" i="17"/>
  <c r="K223" i="17"/>
  <c r="H30" i="7" s="1"/>
  <c r="J30" i="7" s="1"/>
  <c r="K172" i="17"/>
  <c r="H23" i="7" s="1"/>
  <c r="J23" i="7" s="1"/>
  <c r="I156" i="17"/>
  <c r="K156" i="17" s="1"/>
  <c r="H22" i="7" s="1"/>
  <c r="K239" i="17"/>
  <c r="H31" i="7" s="1"/>
  <c r="F31" i="7"/>
  <c r="I336" i="17"/>
  <c r="F30" i="7"/>
  <c r="K107" i="17"/>
  <c r="H18" i="7" s="1"/>
  <c r="F18" i="7"/>
  <c r="K261" i="17"/>
  <c r="H33" i="7" s="1"/>
  <c r="F33" i="7"/>
  <c r="K39" i="17"/>
  <c r="H13" i="7" s="1"/>
  <c r="J13" i="7" s="1"/>
  <c r="F13" i="7"/>
  <c r="K279" i="17"/>
  <c r="H35" i="7" s="1"/>
  <c r="J35" i="7" s="1"/>
  <c r="F35" i="7"/>
  <c r="K322" i="17"/>
  <c r="H41" i="7" s="1"/>
  <c r="F41" i="7"/>
  <c r="K200" i="17"/>
  <c r="H28" i="7" s="1"/>
  <c r="J28" i="7" s="1"/>
  <c r="K151" i="17"/>
  <c r="H21" i="7" s="1"/>
  <c r="J21" i="7" s="1"/>
  <c r="F21" i="7"/>
  <c r="K126" i="17"/>
  <c r="H19" i="7" s="1"/>
  <c r="F19" i="7"/>
  <c r="I291" i="17"/>
  <c r="F37" i="7" s="1"/>
  <c r="K133" i="17"/>
  <c r="H20" i="7" s="1"/>
  <c r="F20" i="7"/>
  <c r="K266" i="17"/>
  <c r="H34" i="7" s="1"/>
  <c r="F34" i="7"/>
  <c r="K247" i="17"/>
  <c r="I313" i="17"/>
  <c r="F40" i="7" s="1"/>
  <c r="I22" i="17"/>
  <c r="I90" i="17"/>
  <c r="E44" i="7" l="1"/>
  <c r="I342" i="17" s="1"/>
  <c r="J22" i="7"/>
  <c r="K22" i="7" s="1"/>
  <c r="J34" i="7"/>
  <c r="K34" i="7" s="1"/>
  <c r="J33" i="7"/>
  <c r="K33" i="7" s="1"/>
  <c r="J29" i="7"/>
  <c r="K29" i="7" s="1"/>
  <c r="K39" i="7"/>
  <c r="J19" i="7"/>
  <c r="K19" i="7" s="1"/>
  <c r="J20" i="7"/>
  <c r="K20" i="7" s="1"/>
  <c r="J41" i="7"/>
  <c r="J18" i="7"/>
  <c r="K18" i="7" s="1"/>
  <c r="J31" i="7"/>
  <c r="K31" i="7" s="1"/>
  <c r="K23" i="7"/>
  <c r="K21" i="7"/>
  <c r="I57" i="17"/>
  <c r="K57" i="17" s="1"/>
  <c r="H14" i="7" s="1"/>
  <c r="I345" i="17"/>
  <c r="I344" i="17"/>
  <c r="I343" i="17"/>
  <c r="F16" i="7"/>
  <c r="K13" i="7"/>
  <c r="H32" i="7"/>
  <c r="F22" i="7"/>
  <c r="K291" i="17"/>
  <c r="H37" i="7" s="1"/>
  <c r="K90" i="17"/>
  <c r="H17" i="7" s="1"/>
  <c r="J17" i="7" s="1"/>
  <c r="F17" i="7"/>
  <c r="K336" i="17"/>
  <c r="H42" i="7" s="1"/>
  <c r="F42" i="7"/>
  <c r="K35" i="7"/>
  <c r="K30" i="7"/>
  <c r="K22" i="17"/>
  <c r="F12" i="7"/>
  <c r="K16" i="7"/>
  <c r="J37" i="7" l="1"/>
  <c r="K37" i="7" s="1"/>
  <c r="J14" i="7"/>
  <c r="K14" i="7" s="1"/>
  <c r="K41" i="7"/>
  <c r="J42" i="7"/>
  <c r="J32" i="7"/>
  <c r="K32" i="7" s="1"/>
  <c r="K28" i="7"/>
  <c r="F14" i="7"/>
  <c r="H12" i="7"/>
  <c r="J12" i="7" s="1"/>
  <c r="K178" i="17"/>
  <c r="K17" i="7"/>
  <c r="K42" i="7" l="1"/>
  <c r="H11" i="7"/>
  <c r="I341" i="17"/>
  <c r="K339" i="17" s="1"/>
  <c r="K12" i="7" l="1"/>
  <c r="J11" i="7"/>
  <c r="K346" i="17"/>
  <c r="H43" i="7"/>
  <c r="J43" i="7" s="1"/>
  <c r="J38" i="7" s="1"/>
  <c r="I339" i="17"/>
  <c r="F43" i="7" s="1"/>
  <c r="I284" i="17"/>
  <c r="K11" i="7" l="1"/>
  <c r="H38" i="7"/>
  <c r="K284" i="17"/>
  <c r="K306" i="17" s="1"/>
  <c r="F36" i="7"/>
  <c r="K43" i="7" l="1"/>
  <c r="K38" i="7"/>
  <c r="H36" i="7"/>
  <c r="H24" i="7" l="1"/>
  <c r="H45" i="7" s="1"/>
  <c r="J36" i="7"/>
  <c r="J24" i="7" s="1"/>
  <c r="J46" i="7" s="1"/>
  <c r="K36" i="7" l="1"/>
  <c r="K47" i="7"/>
  <c r="K49" i="7" s="1"/>
  <c r="K51" i="7" s="1"/>
  <c r="K2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cpatterson</author>
    <author>Cláudia Bartolo Patterson</author>
    <author>mantunes</author>
    <author>Usuário do Windows</author>
  </authors>
  <commentList>
    <comment ref="B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Preencher com o nome da obra, incluindo o nome da cidade
</t>
        </r>
      </text>
    </comment>
    <comment ref="K5" authorId="1" shapeId="0" xr:uid="{00000000-0006-0000-0000-000002000000}">
      <text>
        <r>
          <rPr>
            <sz val="9"/>
            <color indexed="81"/>
            <rFont val="Segoe UI"/>
            <family val="2"/>
          </rPr>
          <t xml:space="preserve">Preencher com a sigla da Unidade Federativa do local da obra
</t>
        </r>
      </text>
    </comment>
    <comment ref="B6" authorId="2" shapeId="0" xr:uid="{00000000-0006-0000-0000-000003000000}">
      <text>
        <r>
          <rPr>
            <sz val="9"/>
            <color indexed="81"/>
            <rFont val="Tahoma"/>
            <family val="2"/>
          </rPr>
          <t xml:space="preserve">Data do preenchimento da planilha no formato dd/mm/aaaa
</t>
        </r>
      </text>
    </comment>
    <comment ref="E6" authorId="3" shapeId="0" xr:uid="{00000000-0006-0000-0000-000004000000}">
      <text>
        <r>
          <rPr>
            <sz val="9"/>
            <color indexed="81"/>
            <rFont val="Tahoma"/>
            <family val="2"/>
          </rPr>
          <t>Preencher o nome do Responsável pelos dados fornecidos para o Programa de Necessidades</t>
        </r>
      </text>
    </comment>
    <comment ref="K6" authorId="1" shapeId="0" xr:uid="{00000000-0006-0000-0000-000005000000}">
      <text>
        <r>
          <rPr>
            <sz val="9"/>
            <color indexed="81"/>
            <rFont val="Segoe UI"/>
            <family val="2"/>
          </rPr>
          <t>Preencher o número de matrícula do responsável pelo preenchimento.</t>
        </r>
      </text>
    </comment>
    <comment ref="B7" authorId="3" shapeId="0" xr:uid="{00000000-0006-0000-0000-000006000000}">
      <text>
        <r>
          <rPr>
            <sz val="9"/>
            <color indexed="81"/>
            <rFont val="Tahoma"/>
            <family val="2"/>
          </rPr>
          <t>Preencher com o e-mail de contato do Responsável pelos dados do Programa de Necessidades</t>
        </r>
      </text>
    </comment>
    <comment ref="I7" authorId="3" shapeId="0" xr:uid="{00000000-0006-0000-0000-000007000000}">
      <text>
        <r>
          <rPr>
            <sz val="9"/>
            <color indexed="81"/>
            <rFont val="Tahoma"/>
            <family val="2"/>
          </rPr>
          <t>Preencher o número do telefone de contato do Responsável pelos dados do Programa de Necessidades, incluindo o DDD.</t>
        </r>
      </text>
    </comment>
    <comment ref="K9" authorId="2" shapeId="0" xr:uid="{00000000-0006-0000-0000-000008000000}">
      <text>
        <r>
          <rPr>
            <sz val="9"/>
            <color indexed="81"/>
            <rFont val="Tahoma"/>
            <family val="2"/>
          </rPr>
          <t xml:space="preserve">Digite (1) se for um Programa de Necessidades para uma  SEÇÃO JUDICIÁRIA ou (2) se for para uma SUBSEÇÃO.
</t>
        </r>
      </text>
    </comment>
    <comment ref="I10" authorId="1" shapeId="0" xr:uid="{00000000-0006-0000-0000-000009000000}">
      <text>
        <r>
          <rPr>
            <sz val="9"/>
            <color indexed="81"/>
            <rFont val="Segoe UI"/>
            <family val="2"/>
          </rPr>
          <t>Número de Varas EXISTENTES e INSTALADAS na SJ ou na SSJ.</t>
        </r>
      </text>
    </comment>
    <comment ref="J10" authorId="1" shapeId="0" xr:uid="{00000000-0006-0000-0000-00000A000000}">
      <text>
        <r>
          <rPr>
            <sz val="9"/>
            <color indexed="81"/>
            <rFont val="Segoe UI"/>
            <family val="2"/>
          </rPr>
          <t>Número de Varas a ser considerado como expansão da SJ ou da SSJ.</t>
        </r>
      </text>
    </comment>
    <comment ref="I11" authorId="1" shapeId="0" xr:uid="{00000000-0006-0000-0000-00000B000000}">
      <text>
        <r>
          <rPr>
            <sz val="9"/>
            <color indexed="81"/>
            <rFont val="Segoe UI"/>
            <family val="2"/>
          </rPr>
          <t xml:space="preserve">Digite o número ATUAL de VARAS DE JEFs
</t>
        </r>
      </text>
    </comment>
    <comment ref="J11" authorId="1" shapeId="0" xr:uid="{00000000-0006-0000-0000-00000C000000}">
      <text>
        <r>
          <rPr>
            <sz val="9"/>
            <color indexed="81"/>
            <rFont val="Segoe UI"/>
            <family val="2"/>
          </rPr>
          <t>Digite o número SUGERIDO para ampliação de VARAS DE JEFs</t>
        </r>
      </text>
    </comment>
    <comment ref="I12" authorId="1" shapeId="0" xr:uid="{00000000-0006-0000-0000-00000D000000}">
      <text>
        <r>
          <rPr>
            <sz val="9"/>
            <color indexed="81"/>
            <rFont val="Segoe UI"/>
            <family val="2"/>
          </rPr>
          <t>Digite o número ATUAL de Varas Federais com JEF ADJUNTO</t>
        </r>
      </text>
    </comment>
    <comment ref="J12" authorId="1" shapeId="0" xr:uid="{00000000-0006-0000-0000-00000E000000}">
      <text>
        <r>
          <rPr>
            <sz val="9"/>
            <color indexed="81"/>
            <rFont val="Segoe UI"/>
            <family val="2"/>
          </rPr>
          <t xml:space="preserve">Digite o número SUGERIDO para ampliação de VARAS COM JEF ADJUNTO
</t>
        </r>
      </text>
    </comment>
    <comment ref="I13" authorId="1" shapeId="0" xr:uid="{00000000-0006-0000-0000-00000F000000}">
      <text>
        <r>
          <rPr>
            <sz val="9"/>
            <color indexed="81"/>
            <rFont val="Segoe UI"/>
            <family val="2"/>
          </rPr>
          <t>Digite o número ATUAL de VARAS FEDERAIS CÍVEIS</t>
        </r>
      </text>
    </comment>
    <comment ref="J13" authorId="1" shapeId="0" xr:uid="{00000000-0006-0000-0000-000010000000}">
      <text>
        <r>
          <rPr>
            <sz val="9"/>
            <color indexed="81"/>
            <rFont val="Segoe UI"/>
            <family val="2"/>
          </rPr>
          <t>Digite o número SUGERIDO para ampliação de VARAS CÍVEIS</t>
        </r>
      </text>
    </comment>
    <comment ref="I14" authorId="1" shapeId="0" xr:uid="{00000000-0006-0000-0000-000011000000}">
      <text>
        <r>
          <rPr>
            <sz val="9"/>
            <color indexed="81"/>
            <rFont val="Segoe UI"/>
            <family val="2"/>
          </rPr>
          <t>Digite o número ATUAL de VARAS DE EXECUÇÃO FISCAL</t>
        </r>
      </text>
    </comment>
    <comment ref="J14" authorId="1" shapeId="0" xr:uid="{00000000-0006-0000-0000-000012000000}">
      <text>
        <r>
          <rPr>
            <sz val="9"/>
            <color indexed="81"/>
            <rFont val="Segoe UI"/>
            <family val="2"/>
          </rPr>
          <t>Digite o número SUGERIDO para ampliação de VARAS DE EXECUÇÃO FISCAL</t>
        </r>
      </text>
    </comment>
    <comment ref="I15" authorId="1" shapeId="0" xr:uid="{00000000-0006-0000-0000-000013000000}">
      <text>
        <r>
          <rPr>
            <sz val="9"/>
            <color indexed="81"/>
            <rFont val="Segoe UI"/>
            <family val="2"/>
          </rPr>
          <t xml:space="preserve">Digite o número ATUAL de VARAS FEDERAIS CRIMINAIS
</t>
        </r>
      </text>
    </comment>
    <comment ref="J15" authorId="1" shapeId="0" xr:uid="{00000000-0006-0000-0000-000014000000}">
      <text>
        <r>
          <rPr>
            <sz val="9"/>
            <color indexed="81"/>
            <rFont val="Segoe UI"/>
            <family val="2"/>
          </rPr>
          <t>Digite o número SUGERIDO para ampliação de VARAS CRIMINAIS</t>
        </r>
      </text>
    </comment>
    <comment ref="I16" authorId="1" shapeId="0" xr:uid="{00000000-0006-0000-0000-000015000000}">
      <text>
        <r>
          <rPr>
            <sz val="9"/>
            <color indexed="81"/>
            <rFont val="Segoe UI"/>
            <family val="2"/>
          </rPr>
          <t xml:space="preserve">Digite o número ATUAL de VARAS FEDERAIS COM COMPETÊNCIA MISTA
</t>
        </r>
      </text>
    </comment>
    <comment ref="J16" authorId="1" shapeId="0" xr:uid="{00000000-0006-0000-0000-000016000000}">
      <text>
        <r>
          <rPr>
            <sz val="9"/>
            <color indexed="81"/>
            <rFont val="Segoe UI"/>
            <family val="2"/>
          </rPr>
          <t>Digite o número SUGERIDO para ampliação de VARAS COM COMPETÊNCIA MISTA</t>
        </r>
      </text>
    </comment>
    <comment ref="I18" authorId="1" shapeId="0" xr:uid="{00000000-0006-0000-0000-000017000000}">
      <text>
        <r>
          <rPr>
            <sz val="9"/>
            <color indexed="81"/>
            <rFont val="Segoe UI"/>
            <family val="2"/>
          </rPr>
          <t>Digite o número ATUAL de TURMAS RECURSAIS</t>
        </r>
      </text>
    </comment>
    <comment ref="J18" authorId="1" shapeId="0" xr:uid="{00000000-0006-0000-0000-000018000000}">
      <text>
        <r>
          <rPr>
            <sz val="9"/>
            <color indexed="81"/>
            <rFont val="Segoe UI"/>
            <family val="2"/>
          </rPr>
          <t>Digite o número SUGERIDO para ampliação de TURMAS RECURSAIS</t>
        </r>
      </text>
    </comment>
    <comment ref="C21" authorId="1" shapeId="0" xr:uid="{00000000-0006-0000-0000-000019000000}">
      <text>
        <r>
          <rPr>
            <sz val="9"/>
            <color indexed="81"/>
            <rFont val="Segoe UI"/>
            <family val="2"/>
          </rPr>
          <t xml:space="preserve">Nos campos marcados em azul nesta coluna, digite o número ATUAL de SERVIDORES NO SETOR. Caso não haja servidor, digite o numeral (0).
</t>
        </r>
      </text>
    </comment>
    <comment ref="D21" authorId="1" shapeId="0" xr:uid="{00000000-0006-0000-0000-00001A000000}">
      <text>
        <r>
          <rPr>
            <sz val="9"/>
            <color indexed="81"/>
            <rFont val="Segoe UI"/>
            <family val="2"/>
          </rPr>
          <t xml:space="preserve">Nos campos marcados em azul nesta coluna, digite o número SUGERIDO para a ampliação do quadro de SERVIDORES NO SETOR. Caso não haja servidor, digite o numeral (0).
</t>
        </r>
      </text>
    </comment>
    <comment ref="E21" authorId="1" shapeId="0" xr:uid="{00000000-0006-0000-0000-00001B000000}">
      <text>
        <r>
          <rPr>
            <sz val="9"/>
            <color indexed="81"/>
            <rFont val="Segoe UI"/>
            <family val="2"/>
          </rPr>
          <t xml:space="preserve">O quantitativo de vagas de estágios de cada unidade do órgão até o limite máximo de 28% (vinte e oito por cento) da lotação efetiva da unidade ou, quando houver, da lotação ideal (Resolução CF-RES-2012/00208, de 04/10/2012)
</t>
        </r>
      </text>
    </comment>
    <comment ref="J180" authorId="3" shapeId="0" xr:uid="{00000000-0006-0000-0000-00001C000000}">
      <text>
        <r>
          <rPr>
            <sz val="9"/>
            <color indexed="81"/>
            <rFont val="Tahoma"/>
            <family val="2"/>
          </rPr>
          <t>A marcação  com o numeral (1) será automática, de acordo com os requisitos contidos na definição de SEÇÃO JUDICIÁRIA.</t>
        </r>
      </text>
    </comment>
    <comment ref="C181" authorId="1" shapeId="0" xr:uid="{00000000-0006-0000-0000-00001D000000}">
      <text>
        <r>
          <rPr>
            <sz val="9"/>
            <color indexed="81"/>
            <rFont val="Segoe UI"/>
            <family val="2"/>
          </rPr>
          <t>Nos campos marcados em azul nesta coluna, digite o número ATUAL de SERVIDORES NO SETOR.</t>
        </r>
      </text>
    </comment>
    <comment ref="D181" authorId="1" shapeId="0" xr:uid="{00000000-0006-0000-0000-00001E000000}">
      <text>
        <r>
          <rPr>
            <sz val="9"/>
            <color indexed="81"/>
            <rFont val="Segoe UI"/>
            <family val="2"/>
          </rPr>
          <t>Nos campos marcados em azul nesta coluna, digite o número SUGERIDO para a ampliação do quadro de SERVIDORES NO SETOR.</t>
        </r>
      </text>
    </comment>
    <comment ref="E181" authorId="1" shapeId="0" xr:uid="{00000000-0006-0000-0000-00001F000000}">
      <text>
        <r>
          <rPr>
            <sz val="9"/>
            <color indexed="81"/>
            <rFont val="Segoe UI"/>
            <family val="2"/>
          </rPr>
          <t>O quantitativo de vagas de estágios de cada unidade do órgão até o limite máximo de 28% (vinte e oito por cento) da lotação efetiva da unidade ou, quando houver, da lotação ideal (Resolução CF-RES-2012/00208, de 04/10/2012.</t>
        </r>
      </text>
    </comment>
    <comment ref="J308" authorId="1" shapeId="0" xr:uid="{00000000-0006-0000-0000-000020000000}">
      <text>
        <r>
          <rPr>
            <sz val="9"/>
            <color indexed="81"/>
            <rFont val="Segoe UI"/>
            <family val="2"/>
          </rPr>
          <t>Preencher com o numeral (1), no caso de opção de inclusão da unidade no Programa de Necessidades, de acordo com os requisitos contidos na ÁREA REFERENCIAL correspondente.</t>
        </r>
      </text>
    </comment>
    <comment ref="C309" authorId="1" shapeId="0" xr:uid="{00000000-0006-0000-0000-000021000000}">
      <text>
        <r>
          <rPr>
            <sz val="9"/>
            <color indexed="81"/>
            <rFont val="Segoe UI"/>
            <family val="2"/>
          </rPr>
          <t>Nos campos marcados em azul nesta coluna, digite o número ATUAL de SERVIDORES NO SETOR.</t>
        </r>
      </text>
    </comment>
    <comment ref="D309" authorId="1" shapeId="0" xr:uid="{00000000-0006-0000-0000-000022000000}">
      <text>
        <r>
          <rPr>
            <sz val="9"/>
            <color indexed="81"/>
            <rFont val="Segoe UI"/>
            <family val="2"/>
          </rPr>
          <t>Nos campos marcados em azul nesta coluna, digite o número SUGERIDO para a ampliação do quadro de SERVIDORES NO SETOR.</t>
        </r>
      </text>
    </comment>
    <comment ref="E309" authorId="1" shapeId="0" xr:uid="{00000000-0006-0000-0000-000023000000}">
      <text>
        <r>
          <rPr>
            <sz val="9"/>
            <color indexed="81"/>
            <rFont val="Segoe UI"/>
            <family val="2"/>
          </rPr>
          <t>O quantitativo de vagas de estágios de cada unidade do órgão até o limite máximo de 28% (vinte e oito por cento) da lotação efetiva da unidade ou, quando houver, da lotação ideal (Resolução CF-RES-2012/00208, de 04/10/2012.</t>
        </r>
      </text>
    </comment>
    <comment ref="A322" authorId="1" shapeId="0" xr:uid="{00000000-0006-0000-0000-000024000000}">
      <text>
        <r>
          <rPr>
            <sz val="9"/>
            <color indexed="81"/>
            <rFont val="Segoe UI"/>
            <family val="2"/>
          </rPr>
          <t>Conjunto de apoio à Vara Criminal, a partir de 5 varas federais.</t>
        </r>
      </text>
    </comment>
    <comment ref="F322" authorId="3" shapeId="0" xr:uid="{00000000-0006-0000-0000-000025000000}">
      <text>
        <r>
          <rPr>
            <sz val="9"/>
            <color indexed="81"/>
            <rFont val="Tahoma"/>
            <family val="2"/>
          </rPr>
          <t>Para a instalação do Tribunal do Júri, deverá ser aproveitada a infraestrutura de Auditório, a partir de 2 varas criminais e de 5 varas federais.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Cláudia Bartolo Patterson</author>
    <author>Usuário do Windows</author>
  </authors>
  <commentList>
    <comment ref="E10" authorId="0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Magistrados+Servidores+Estagiários+Colaboradores
</t>
        </r>
      </text>
    </comment>
    <comment ref="K10" authorId="1" shapeId="0" xr:uid="{00000000-0006-0000-0100-000002000000}">
      <text>
        <r>
          <rPr>
            <sz val="9"/>
            <color indexed="81"/>
            <rFont val="Tahoma"/>
            <family val="2"/>
          </rPr>
          <t>ÁREA ÚTIL + ÁREA USO COMUM</t>
        </r>
      </text>
    </comment>
    <comment ref="H49" authorId="0" shapeId="0" xr:uid="{00000000-0006-0000-0100-000003000000}">
      <text>
        <r>
          <rPr>
            <sz val="9"/>
            <color indexed="81"/>
            <rFont val="Segoe UI"/>
            <family val="2"/>
          </rPr>
          <t>Preencher com o numeral (1), no caso de opção de inclusão da ÁREA ESTIMADA DE GARAGEM no Programa de Necessidades.</t>
        </r>
      </text>
    </comment>
  </commentList>
</comments>
</file>

<file path=xl/sharedStrings.xml><?xml version="1.0" encoding="utf-8"?>
<sst xmlns="http://schemas.openxmlformats.org/spreadsheetml/2006/main" count="633" uniqueCount="331">
  <si>
    <t>TURMA RECURSAL</t>
  </si>
  <si>
    <t>DIRETORIA DO FORO</t>
  </si>
  <si>
    <t>OAB</t>
  </si>
  <si>
    <t>COORDENADORIA DOS JEFs</t>
  </si>
  <si>
    <t>OBRA:</t>
  </si>
  <si>
    <t>CONTROLE INTERNO</t>
  </si>
  <si>
    <t xml:space="preserve"> ATENDIMENTO E ATERMAÇÃO DOS JEFs</t>
  </si>
  <si>
    <t>SECRETARIA ADMINISTRATIVA</t>
  </si>
  <si>
    <t>JUDICIÁRIA</t>
  </si>
  <si>
    <t>SERVIÇOS GERAIS</t>
  </si>
  <si>
    <t>WC do Dirtetor do Foro</t>
  </si>
  <si>
    <t>Apoio Administrativo</t>
  </si>
  <si>
    <t>Assessoria Jurídica</t>
  </si>
  <si>
    <t>Comunicação Social</t>
  </si>
  <si>
    <t>Verificação e Análise</t>
  </si>
  <si>
    <t>Atendimento e Triagem</t>
  </si>
  <si>
    <t>Espera</t>
  </si>
  <si>
    <t>Atermação</t>
  </si>
  <si>
    <t>Digitalização</t>
  </si>
  <si>
    <t>Sala do INSS</t>
  </si>
  <si>
    <t>Gabinete do Diretor do Foro</t>
  </si>
  <si>
    <t>Gabinete do Juiz Titular</t>
  </si>
  <si>
    <t>WC do Juiz Titular</t>
  </si>
  <si>
    <t>Gabinete do Juiz Substituto</t>
  </si>
  <si>
    <t>WC do Juiz Substituto</t>
  </si>
  <si>
    <t>Sala de Audiência</t>
  </si>
  <si>
    <t>Assessoria do Juiz Titular</t>
  </si>
  <si>
    <t>Assessoria do Juiz Substituto</t>
  </si>
  <si>
    <t>Secretaria da Vara</t>
  </si>
  <si>
    <t>Diretor da Secretaria da Vara</t>
  </si>
  <si>
    <t>Atendimento/Consulta Processual</t>
  </si>
  <si>
    <t>Copa</t>
  </si>
  <si>
    <t>Sala de Conciliação</t>
  </si>
  <si>
    <t>Sala de Videoconferência</t>
  </si>
  <si>
    <t>VARA DO JEF</t>
  </si>
  <si>
    <t>VARA COM JEF ADJUNTO</t>
  </si>
  <si>
    <t>VARA CÍVEL</t>
  </si>
  <si>
    <t>VARA DE EXEUCUÇÃO FISCAL</t>
  </si>
  <si>
    <t>VARA CRIMINAL</t>
  </si>
  <si>
    <t>Sala de Testemunhas</t>
  </si>
  <si>
    <t xml:space="preserve">Sala de Reconhecimento </t>
  </si>
  <si>
    <t>Sala de Custódia Feminina</t>
  </si>
  <si>
    <t>WC Sala de Custódia Feminina</t>
  </si>
  <si>
    <t>Sala de Custódia Masculina</t>
  </si>
  <si>
    <t>WC Sala de Custódia Masculina</t>
  </si>
  <si>
    <t>Dormitório Feminino</t>
  </si>
  <si>
    <t>Dormitório Masculino</t>
  </si>
  <si>
    <t>WC Dormitório Feminino</t>
  </si>
  <si>
    <t>WC Dormitório Masculino</t>
  </si>
  <si>
    <t>Sala de Testemunhas 1</t>
  </si>
  <si>
    <t>Sala de Testemunhas 2</t>
  </si>
  <si>
    <t>WC Sala de Testemunhas 1</t>
  </si>
  <si>
    <t>WC Sala de Testemunhas 2</t>
  </si>
  <si>
    <t>Certidões</t>
  </si>
  <si>
    <t>Contadoria</t>
  </si>
  <si>
    <t>Depósito Judicial</t>
  </si>
  <si>
    <t xml:space="preserve">Cadastro de Pessoal </t>
  </si>
  <si>
    <t>Legislação de Pessoal</t>
  </si>
  <si>
    <t>Pagamento de Pessoal</t>
  </si>
  <si>
    <t>Desenvolvimento e Avaliação</t>
  </si>
  <si>
    <t>Programas e Benefícios Sociais</t>
  </si>
  <si>
    <t>Enfermaria</t>
  </si>
  <si>
    <t>Farmácia</t>
  </si>
  <si>
    <t>Consultório Odontológico</t>
  </si>
  <si>
    <t>Protocolo</t>
  </si>
  <si>
    <t xml:space="preserve">Exec. Orç. e Financeira </t>
  </si>
  <si>
    <t>Compras e Licitações</t>
  </si>
  <si>
    <t>Contratos</t>
  </si>
  <si>
    <t>Material e Patrimônio</t>
  </si>
  <si>
    <t>Almoxarifado</t>
  </si>
  <si>
    <t>Depósito de Almoxarifado</t>
  </si>
  <si>
    <t>Patrimônio</t>
  </si>
  <si>
    <t>Depósito de Bens Patrimoniais</t>
  </si>
  <si>
    <t>Serviços Gerais</t>
  </si>
  <si>
    <t>Reprografia</t>
  </si>
  <si>
    <t>Arquivo Administrativo</t>
  </si>
  <si>
    <t>Copa Central</t>
  </si>
  <si>
    <t>Lanchonete</t>
  </si>
  <si>
    <t>Arquivo Judicial</t>
  </si>
  <si>
    <t>Depósito de Bens Inservíveis</t>
  </si>
  <si>
    <t xml:space="preserve">Perícia Médica (Atendimento) </t>
  </si>
  <si>
    <t>Acautelamento</t>
  </si>
  <si>
    <t>Gabinete do Juiz 1</t>
  </si>
  <si>
    <t>WC do Juiz 1</t>
  </si>
  <si>
    <t>Assessoria do Juiz 1</t>
  </si>
  <si>
    <t>Gabinete do Juiz 2</t>
  </si>
  <si>
    <t>WC do Juiz 2</t>
  </si>
  <si>
    <t>Assessoria do Juiz 2</t>
  </si>
  <si>
    <t>Gabinete do Juiz 3</t>
  </si>
  <si>
    <t>WC do Juiz 3</t>
  </si>
  <si>
    <t>Assessoria do Juiz 3</t>
  </si>
  <si>
    <t xml:space="preserve">Secretaria </t>
  </si>
  <si>
    <t>Apoio à Sala de Julgamento</t>
  </si>
  <si>
    <t>Área para a Imprensa</t>
  </si>
  <si>
    <t>Motoristas</t>
  </si>
  <si>
    <t>Arquivo</t>
  </si>
  <si>
    <t>Gabinete do Diretor</t>
  </si>
  <si>
    <t>Associação de Servidores</t>
  </si>
  <si>
    <t>NÚMERO DE SERVIDORES</t>
  </si>
  <si>
    <t xml:space="preserve">ÁREAS COMPLEMENTARES </t>
  </si>
  <si>
    <t>BIBLIOTECA</t>
  </si>
  <si>
    <t>LANCHONETE / RESTAURANTE</t>
  </si>
  <si>
    <t>ÓRGÃOS EXTERNOS</t>
  </si>
  <si>
    <t>Foyer</t>
  </si>
  <si>
    <t>Público</t>
  </si>
  <si>
    <t>Palco</t>
  </si>
  <si>
    <t>Sala de som</t>
  </si>
  <si>
    <t>PRESTADORES DE SERVIÇOS</t>
  </si>
  <si>
    <t>Refeitório</t>
  </si>
  <si>
    <t>Área de estar</t>
  </si>
  <si>
    <t>Administração</t>
  </si>
  <si>
    <t>Atual</t>
  </si>
  <si>
    <t>Sugerido</t>
  </si>
  <si>
    <t>Área para reuniões</t>
  </si>
  <si>
    <t>Assessoria</t>
  </si>
  <si>
    <t>por servidor</t>
  </si>
  <si>
    <t xml:space="preserve">Gabinete Secretário Administrativo </t>
  </si>
  <si>
    <t>Copa/Área de Lanche</t>
  </si>
  <si>
    <t>por gênero</t>
  </si>
  <si>
    <t xml:space="preserve">WC Coletivo Servidores </t>
  </si>
  <si>
    <t>WC Coletivo Servidores</t>
  </si>
  <si>
    <t>Acautelamento/Depósito</t>
  </si>
  <si>
    <t>Distribuição</t>
  </si>
  <si>
    <t>SERVIÇO MÉDICO</t>
  </si>
  <si>
    <t>≥ 8 varas</t>
  </si>
  <si>
    <t>Emissão de Guias</t>
  </si>
  <si>
    <t>Arquivo de prontuários</t>
  </si>
  <si>
    <t>Esterilização, expurgo, material esterilizado</t>
  </si>
  <si>
    <t>Repouso</t>
  </si>
  <si>
    <t>Consultório Psicologia</t>
  </si>
  <si>
    <t>Depósito</t>
  </si>
  <si>
    <t>Espera Psicologia</t>
  </si>
  <si>
    <t>TECNOLOGIA DA INFORMAÇÃO</t>
  </si>
  <si>
    <t>VARA DE COMPETÊNCIA MISTA</t>
  </si>
  <si>
    <t>SEÇÃO (1) / SUBSEÇÃO (2)</t>
  </si>
  <si>
    <t>Gabinete da Coordenadoria dos JEFs</t>
  </si>
  <si>
    <t>WC do Procurador Público</t>
  </si>
  <si>
    <t>Gabinete do Procurador Público</t>
  </si>
  <si>
    <t>Gabinete do Defensor Público</t>
  </si>
  <si>
    <t>WC do Defensor Público</t>
  </si>
  <si>
    <t>Sala de apoio</t>
  </si>
  <si>
    <t>Sala de Advogados</t>
  </si>
  <si>
    <t>Sala de Reuniões Setorial</t>
  </si>
  <si>
    <t>Apoio</t>
  </si>
  <si>
    <t>WC Secretário Administrativo</t>
  </si>
  <si>
    <t>Brigada de Incêndio</t>
  </si>
  <si>
    <t>Oficinas de Serviços Gerais</t>
  </si>
  <si>
    <t>APOIO  AO TRIBUNAL DO JÚRI</t>
  </si>
  <si>
    <t>Estar Júri</t>
  </si>
  <si>
    <t>Copa/Refeitório do Júri</t>
  </si>
  <si>
    <t>Gabinete do Juiz do Tribunal do Júri</t>
  </si>
  <si>
    <t>Contabilidade</t>
  </si>
  <si>
    <t>Seção de Arquivo e Depósito Judiciais</t>
  </si>
  <si>
    <t>Sala de Lanches Juízes</t>
  </si>
  <si>
    <t>por vara, limite de 160m²</t>
  </si>
  <si>
    <t>privativa da vara</t>
  </si>
  <si>
    <t>por gênero, privativo da vara</t>
  </si>
  <si>
    <t>por vara, até 100m²</t>
  </si>
  <si>
    <t xml:space="preserve">≥ 8 varas </t>
  </si>
  <si>
    <t>≥  8 varas</t>
  </si>
  <si>
    <t>Acervo (inclui acervo geral, obras raras e áreas de estudo)</t>
  </si>
  <si>
    <t>Assistência Jurídica Gratuita</t>
  </si>
  <si>
    <t>≥ 5 varas, 10m² por vara, até o limite de 15 varas</t>
  </si>
  <si>
    <t>Espera Audiência</t>
  </si>
  <si>
    <t>GESTÃO DE PESSOAS</t>
  </si>
  <si>
    <t>ÁREAS PARA EVENTOS</t>
  </si>
  <si>
    <t>Sala Multiuso</t>
  </si>
  <si>
    <t>Restaurante</t>
  </si>
  <si>
    <t>APOIO JUÍZES</t>
  </si>
  <si>
    <t>Sala de Reuniões Juízes</t>
  </si>
  <si>
    <t>a cada 4 varas,até o limite de 80m²</t>
  </si>
  <si>
    <t>≥ 5 varas</t>
  </si>
  <si>
    <t>WC do Juiz do Tribunal do Júri</t>
  </si>
  <si>
    <t>Consultório Médico com WC</t>
  </si>
  <si>
    <t>WC Funcionários Banco</t>
  </si>
  <si>
    <t>Copa Banco</t>
  </si>
  <si>
    <t>Estags.</t>
  </si>
  <si>
    <t>UF:</t>
  </si>
  <si>
    <t>Matrícula:</t>
  </si>
  <si>
    <t>Data:</t>
  </si>
  <si>
    <t>DADOS GERAIS</t>
  </si>
  <si>
    <t>Vara de JEF</t>
  </si>
  <si>
    <t>Vara com JEF Adjunto</t>
  </si>
  <si>
    <t>Vara Cível</t>
  </si>
  <si>
    <t>Vara de Execução Fiscal</t>
  </si>
  <si>
    <t>Vara Criminal</t>
  </si>
  <si>
    <t>Vara com competência mista</t>
  </si>
  <si>
    <t>Mesa e Público</t>
  </si>
  <si>
    <t>Banco (PAB)</t>
  </si>
  <si>
    <t>para cada 2 Turmas Recursais</t>
  </si>
  <si>
    <t>Cozinha</t>
  </si>
  <si>
    <t>Setores complementares</t>
  </si>
  <si>
    <t>Pré-higienização+estoque+adm.</t>
  </si>
  <si>
    <t>Transporte</t>
  </si>
  <si>
    <t>Responsável:</t>
  </si>
  <si>
    <t>TOTAL</t>
  </si>
  <si>
    <t>TOTAL DO NÚMERO DE VARAS</t>
  </si>
  <si>
    <t>VERSÃO 2017</t>
  </si>
  <si>
    <t>NÚMERO DE VARAS A SEREM CONSIDERADAS PARA O PROJETO:</t>
  </si>
  <si>
    <t>ADMINIST. FINANCEIRA E PATRIMONIAL</t>
  </si>
  <si>
    <t>Sala de Espera/Recepção</t>
  </si>
  <si>
    <t>NÚMERO DE TURMAS RECURSAIS A SEREM CONSIDERADAS PARA O PROJETO:</t>
  </si>
  <si>
    <t>SUBTOTAL ÁREA ÚTIL</t>
  </si>
  <si>
    <t>ÁREA REFERENCIAL</t>
  </si>
  <si>
    <t/>
  </si>
  <si>
    <t>NÚMERO DE UNIDADES</t>
  </si>
  <si>
    <t>a cada 4 JEFs, até 30m²</t>
  </si>
  <si>
    <t>a cada 2 JEFs, até 75m²</t>
  </si>
  <si>
    <t>a cada 4 varas, até 30m²</t>
  </si>
  <si>
    <r>
      <t>a cada 2 JEFs, até</t>
    </r>
    <r>
      <rPr>
        <sz val="10"/>
        <rFont val="Arial"/>
        <family val="2"/>
      </rPr>
      <t xml:space="preserve"> 75</t>
    </r>
    <r>
      <rPr>
        <sz val="10"/>
        <color theme="1"/>
        <rFont val="Arial"/>
        <family val="2"/>
      </rPr>
      <t>m²</t>
    </r>
  </si>
  <si>
    <t>Gab. Coord. da Turma Recursal</t>
  </si>
  <si>
    <t>por JEF, até 75m²</t>
  </si>
  <si>
    <t xml:space="preserve"> a cada 4 Varas Criminais, até 4 salas</t>
  </si>
  <si>
    <t>Sala da Escolta</t>
  </si>
  <si>
    <t>WC Sala da Escolta</t>
  </si>
  <si>
    <t>por gênero, por Sala da Escolta</t>
  </si>
  <si>
    <t>por sala, a partir de 2 Varas Criminais, com acréscimo a cada 4 varas, até 4 salas.</t>
  </si>
  <si>
    <t xml:space="preserve">por Sala de Custódia Feminina </t>
  </si>
  <si>
    <t>por Sala de Custódia Masculina</t>
  </si>
  <si>
    <t>CUSTÓDIA VARA CRIMINAL</t>
  </si>
  <si>
    <t>ÁREAS OPCIONAIS</t>
  </si>
  <si>
    <t>2 salas por vara</t>
  </si>
  <si>
    <t>Central de Mandados/Oficiais de Justiça</t>
  </si>
  <si>
    <t>ÁREAS OBRIGATÓRIAS - VARAS FEDERAIS</t>
  </si>
  <si>
    <t>ÁREAS OBRIGATÓRIAS - ADMINISTRAÇÃO</t>
  </si>
  <si>
    <t>≥ 8 varas, a cada 8 varas, até 37,5m²</t>
  </si>
  <si>
    <t>CPD+NoBreak+ArCond,+Desembalagem</t>
  </si>
  <si>
    <t>por vara, até 120m²</t>
  </si>
  <si>
    <t>≥ 5 varas, 7,5m² a cada 8 varas, até 35m²</t>
  </si>
  <si>
    <t>≥ 5 varas, 30m² a cada 8 varas, até 120m²</t>
  </si>
  <si>
    <t>Escritório Encarregados</t>
  </si>
  <si>
    <t>≥ 5 varas, 15m² a cada 8 varas, até 60m²</t>
  </si>
  <si>
    <t>Apoio Segurança (CFTV, desmuniciamento, rádio etc.)</t>
  </si>
  <si>
    <t>por vara, mínimo 18m² por gênero</t>
  </si>
  <si>
    <t>a cada 4 varas,até o limite de 150m²</t>
  </si>
  <si>
    <t>a cada 4 varas,até o limite de 45m²</t>
  </si>
  <si>
    <t>Guarita</t>
  </si>
  <si>
    <t>por gênero, 1 conjunto por Sala de Julgamento</t>
  </si>
  <si>
    <t>≥ 5 varas, 1,2m² por lugar, mínimo 20 lugares por vara, até o limite de 15 varas.</t>
  </si>
  <si>
    <t>≥ 5 varas, mínimo 40m², acréscimo de 8m² a cada vara, até o limite de 15 varas.</t>
  </si>
  <si>
    <t>≥ 5 varas, mínimo 40m², acréscimo de 8m² a cada vara, até o limite de 12 varas.</t>
  </si>
  <si>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3 varas</t>
    </r>
  </si>
  <si>
    <t>≤ 3 varas</t>
  </si>
  <si>
    <t xml:space="preserve"> ≥ 5 varas (20% da área total do Restaurante)</t>
  </si>
  <si>
    <t>TOTAL DE SERVIDORES</t>
  </si>
  <si>
    <t xml:space="preserve"> ≥ 5 varas (10% da área total do Restaurante)</t>
  </si>
  <si>
    <t xml:space="preserve"> ÁREA ÚTIL POR UNIDADE</t>
  </si>
  <si>
    <t>PROGRAMA DE NECESSIDADES ESTIMATIVO
QUADRO GERAL DE ÁREAS</t>
  </si>
  <si>
    <t>_</t>
  </si>
  <si>
    <t>SALA JULGAMENTO TURMA RECURSAL</t>
  </si>
  <si>
    <t>&gt;3 varas</t>
  </si>
  <si>
    <t xml:space="preserve"> TOTAL ÁREA ÚTIL POR UNID.</t>
  </si>
  <si>
    <t>SUBTOTAL ÁREA ÚTIL POR UNIDADE</t>
  </si>
  <si>
    <t>VARA DE JEF</t>
  </si>
  <si>
    <t>Area para reuniões</t>
  </si>
  <si>
    <t>Conciliação</t>
  </si>
  <si>
    <t>por vara, até 240m²</t>
  </si>
  <si>
    <t>por vara, até 560m²</t>
  </si>
  <si>
    <t>por vara, até 260m²</t>
  </si>
  <si>
    <t>Segurança</t>
  </si>
  <si>
    <t>Prestadores de serviços TI</t>
  </si>
  <si>
    <t>por prestador de serviço</t>
  </si>
  <si>
    <t>Sistemas e suporte</t>
  </si>
  <si>
    <t>JUDICIÁRIA - ARQUIVO e DEPÓSITO</t>
  </si>
  <si>
    <t>ADMINISTRAÇÃO - ARQUIVO e DEPÓSITOS</t>
  </si>
  <si>
    <t>por vara até 240m²</t>
  </si>
  <si>
    <t>Telefonia</t>
  </si>
  <si>
    <t>Projetos e Obras</t>
  </si>
  <si>
    <t xml:space="preserve"> </t>
  </si>
  <si>
    <t>WC com chuveiro</t>
  </si>
  <si>
    <t xml:space="preserve">Perícia Médica (Consultórios com WC  e chuveiro) </t>
  </si>
  <si>
    <t>≥ 8 varas, a cada 8 varas, até 40m²</t>
  </si>
  <si>
    <t>≥ 8 varas, a cada 4 varas, até 100m²</t>
  </si>
  <si>
    <t xml:space="preserve">Depósito e manutenção de equipamentos </t>
  </si>
  <si>
    <t>≥ 5 varas, 5m² a cada 4 varas, até 80m²</t>
  </si>
  <si>
    <t>se houver Vara com JEF</t>
  </si>
  <si>
    <t>Defensoria Pública (≥ 3 varas)</t>
  </si>
  <si>
    <t>Ministério Público (≥ 3 varas)</t>
  </si>
  <si>
    <t>≥ 4 varas, acréscimo 12,5m² a cada 2 varas, até 75m²</t>
  </si>
  <si>
    <t>≥ 4 varas, acréscimo  12,5m² ≥ 8 varas</t>
  </si>
  <si>
    <t>≥ 5 varas; quando ≥ 16 varas, 37,5m²</t>
  </si>
  <si>
    <t>≥ 5 varas; quando ≥ 16 varas, 30m²</t>
  </si>
  <si>
    <t>≥ 8 varas; quando ≥ 16 varas, 45m²</t>
  </si>
  <si>
    <t>para cada 2 JEFs, ≥ 3 JEFs</t>
  </si>
  <si>
    <t xml:space="preserve"> ≥ 5 varas, 50m² até 8 varas e 75m² quando ≥ 8 varas</t>
  </si>
  <si>
    <t>Ministério Público (≤ 3 varas)</t>
  </si>
  <si>
    <t>Defensoria Pública (≤ 3 varas)</t>
  </si>
  <si>
    <t>≥ 5 varas; por servidor</t>
  </si>
  <si>
    <t>≥ 5 varas, mínimo 75m², acréscimo de 15m² por vara, até o limite de 20 varas.</t>
  </si>
  <si>
    <t xml:space="preserve"> ≥ 5 varas, 0,3m² por servidor (50% da área total do Restaurante)</t>
  </si>
  <si>
    <t xml:space="preserve">Apoio + WC por gênero + WC acessível + Copa </t>
  </si>
  <si>
    <t>Imprensa</t>
  </si>
  <si>
    <t xml:space="preserve">por vara, mínimo 24m² </t>
  </si>
  <si>
    <t>ADMINIST. - ARQUIVO e DEPÓSITOS</t>
  </si>
  <si>
    <t>TOTAL DAS ÁREAS OBRIGATÓRIAS - VARAS FEDERAIS</t>
  </si>
  <si>
    <t>TOTAL DAS ÁREAS OBRIGATÓRIAS - ADMINISTRAÇÃO</t>
  </si>
  <si>
    <t>TOTAL DAS ÁREAS OPCIONAIS</t>
  </si>
  <si>
    <t>com WC</t>
  </si>
  <si>
    <t>Planejamento Orçamentário</t>
  </si>
  <si>
    <t>Com. Adm. (Recebimento e Expedição)</t>
  </si>
  <si>
    <t>por servidor, ≥ 5 varas</t>
  </si>
  <si>
    <t>SUBTOTAL ÁREA ÚTIL  POR UNID.</t>
  </si>
  <si>
    <r>
      <t>WC Coletivo Servidores</t>
    </r>
    <r>
      <rPr>
        <sz val="14"/>
        <color rgb="FFFF0000"/>
        <rFont val="Arial"/>
        <family val="2"/>
      </rPr>
      <t>*</t>
    </r>
  </si>
  <si>
    <r>
      <t>WC Família</t>
    </r>
    <r>
      <rPr>
        <sz val="14"/>
        <color rgb="FFFF0000"/>
        <rFont val="Arial"/>
        <family val="2"/>
      </rPr>
      <t>*</t>
    </r>
  </si>
  <si>
    <r>
      <t>WC Coletivo Juízes</t>
    </r>
    <r>
      <rPr>
        <sz val="14"/>
        <color rgb="FFFF0000"/>
        <rFont val="Arial"/>
        <family val="2"/>
      </rPr>
      <t>*</t>
    </r>
  </si>
  <si>
    <r>
      <t>Vestiários + Sanitários + Chuveiros</t>
    </r>
    <r>
      <rPr>
        <sz val="14"/>
        <color rgb="FFFF0000"/>
        <rFont val="Arial"/>
        <family val="2"/>
      </rPr>
      <t>*</t>
    </r>
  </si>
  <si>
    <r>
      <t xml:space="preserve"> ATENDIMENTO E ATERMAÇÃO DOS JEFs</t>
    </r>
    <r>
      <rPr>
        <b/>
        <sz val="14"/>
        <color rgb="FFFF0000"/>
        <rFont val="Arial"/>
        <family val="2"/>
      </rPr>
      <t>*</t>
    </r>
  </si>
  <si>
    <r>
      <t>APOIO JUÍZES</t>
    </r>
    <r>
      <rPr>
        <b/>
        <sz val="14"/>
        <color rgb="FFFF0000"/>
        <rFont val="Arial"/>
        <family val="2"/>
      </rPr>
      <t>*</t>
    </r>
  </si>
  <si>
    <r>
      <t>SALA DE JULGAMENTO TURMA RECURSAL</t>
    </r>
    <r>
      <rPr>
        <b/>
        <sz val="14"/>
        <color rgb="FFFF0000"/>
        <rFont val="Arial"/>
        <family val="2"/>
      </rPr>
      <t>*</t>
    </r>
  </si>
  <si>
    <r>
      <t>PRESTADORES DE SERVIÇOS</t>
    </r>
    <r>
      <rPr>
        <b/>
        <sz val="14"/>
        <color rgb="FFFF0000"/>
        <rFont val="Arial"/>
        <family val="2"/>
      </rPr>
      <t>*</t>
    </r>
  </si>
  <si>
    <t>2) Áreas em m²</t>
  </si>
  <si>
    <t>OBSERVAÇÕES:</t>
  </si>
  <si>
    <t>1) * Possui áreas não computáveis para a ÁREA DE USO COMUM</t>
  </si>
  <si>
    <t>1) * Não computável para a ÁREA DE USO COMUM</t>
  </si>
  <si>
    <t xml:space="preserve"> ÁREA ÚTIL  POR UNIDADE </t>
  </si>
  <si>
    <t>TOTAL DE ÁREA ÚTIL</t>
  </si>
  <si>
    <r>
      <t xml:space="preserve">TOTAL DE ÁREA DE USO COMUM </t>
    </r>
    <r>
      <rPr>
        <i/>
        <sz val="10"/>
        <color theme="1"/>
        <rFont val="Arial"/>
        <family val="2"/>
      </rPr>
      <t>(30%)</t>
    </r>
  </si>
  <si>
    <r>
      <t xml:space="preserve">ÁREA USO COMUM </t>
    </r>
    <r>
      <rPr>
        <b/>
        <sz val="9"/>
        <color theme="1"/>
        <rFont val="Arial"/>
        <family val="2"/>
      </rPr>
      <t>(30%)</t>
    </r>
  </si>
  <si>
    <t>PROGRAMA DE NECESSIDADES ESTIMATIVO
DADOS GERAIS E ÁREAS</t>
  </si>
  <si>
    <t>E-mail</t>
  </si>
  <si>
    <t>Telefone de contato:</t>
  </si>
  <si>
    <t>Telefone:</t>
  </si>
  <si>
    <t>Número de prestadores de serviços</t>
  </si>
  <si>
    <t>Auditório</t>
  </si>
  <si>
    <t xml:space="preserve"> ÁREA DE CONSTRUÇÃO </t>
  </si>
  <si>
    <r>
      <t>ÁREA DE CONSTRUÇÃO</t>
    </r>
    <r>
      <rPr>
        <i/>
        <sz val="9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(Área Útil + Área de Uso Comum)</t>
    </r>
  </si>
  <si>
    <r>
      <rPr>
        <b/>
        <sz val="14"/>
        <color theme="8" tint="-0.499984740745262"/>
        <rFont val="Arial"/>
        <family val="2"/>
      </rPr>
      <t xml:space="preserve">ÁREA TOTAL ESTIMADA </t>
    </r>
    <r>
      <rPr>
        <i/>
        <sz val="10"/>
        <color theme="1"/>
        <rFont val="Arial"/>
        <family val="2"/>
      </rPr>
      <t>(Área de Construção + Área Estimada de Garagem)</t>
    </r>
  </si>
  <si>
    <r>
      <t xml:space="preserve">ÁREA DE GARAGEM </t>
    </r>
    <r>
      <rPr>
        <i/>
        <sz val="10"/>
        <color theme="1"/>
        <rFont val="Arial"/>
        <family val="2"/>
      </rPr>
      <t>(1 vaga de 20m² a cada 40m² de Área de Construção)</t>
    </r>
  </si>
  <si>
    <t>DESCRIÇÃO DAS UNIDADES</t>
  </si>
  <si>
    <t>INCLUSÃO DA UNIDADE</t>
  </si>
  <si>
    <t>NÚMERO DE  UNIDADES INCLUÍDAS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</si>
</sst>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2"/>
      <color theme="3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rgb="FFC00000"/>
      <name val="Arial"/>
      <family val="2"/>
    </font>
    <font>
      <b/>
      <sz val="14"/>
      <color theme="0"/>
      <name val="Arial"/>
      <family val="2"/>
    </font>
    <font>
      <b/>
      <sz val="12"/>
      <color theme="8" tint="-0.499984740745262"/>
      <name val="Arial"/>
      <family val="2"/>
    </font>
    <font>
      <sz val="9"/>
      <color theme="1"/>
      <name val="Calibri"/>
      <family val="2"/>
    </font>
    <font>
      <b/>
      <sz val="14"/>
      <name val="Arial"/>
      <family val="2"/>
    </font>
    <font>
      <b/>
      <sz val="14"/>
      <color theme="3"/>
      <name val="Arial"/>
      <family val="2"/>
    </font>
    <font>
      <b/>
      <sz val="12"/>
      <color rgb="FFC00000"/>
      <name val="Arial"/>
      <family val="2"/>
    </font>
    <font>
      <i/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8"/>
      <color theme="1"/>
      <name val="Calibri"/>
      <family val="2"/>
      <scheme val="minor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8" tint="-0.499984740745262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92">
    <xf numFmtId="0" fontId="0" fillId="0" borderId="0" xfId="0"/>
    <xf numFmtId="0" fontId="1" fillId="3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164" fontId="9" fillId="0" borderId="9" xfId="0" applyNumberFormat="1" applyFont="1" applyBorder="1" applyAlignment="1" applyProtection="1">
      <alignment horizontal="left" vertical="center" wrapText="1" indent="1"/>
      <protection hidden="1"/>
    </xf>
    <xf numFmtId="3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9" xfId="0" applyNumberFormat="1" applyFont="1" applyBorder="1" applyAlignment="1" applyProtection="1">
      <alignment horizontal="left" vertical="center" wrapText="1" indent="1"/>
      <protection hidden="1"/>
    </xf>
    <xf numFmtId="0" fontId="1" fillId="3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164" fontId="9" fillId="6" borderId="1" xfId="0" applyNumberFormat="1" applyFont="1" applyFill="1" applyBorder="1" applyAlignment="1" applyProtection="1">
      <alignment horizontal="left" vertical="center" wrapText="1" indent="1"/>
      <protection hidden="1"/>
    </xf>
    <xf numFmtId="3" fontId="9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2" xfId="0" applyNumberFormat="1" applyFont="1" applyFill="1" applyBorder="1" applyAlignment="1" applyProtection="1">
      <alignment vertical="center" wrapText="1"/>
      <protection hidden="1"/>
    </xf>
    <xf numFmtId="164" fontId="9" fillId="6" borderId="2" xfId="0" applyNumberFormat="1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3" fontId="16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1" fillId="0" borderId="0" xfId="0" quotePrefix="1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3" fontId="8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164" fontId="1" fillId="6" borderId="1" xfId="0" applyNumberFormat="1" applyFont="1" applyFill="1" applyBorder="1" applyAlignment="1" applyProtection="1">
      <alignment horizontal="left" vertical="center" wrapText="1" indent="1"/>
      <protection hidden="1"/>
    </xf>
    <xf numFmtId="164" fontId="9" fillId="6" borderId="2" xfId="0" applyNumberFormat="1" applyFont="1" applyFill="1" applyBorder="1" applyAlignment="1" applyProtection="1">
      <alignment vertical="center"/>
      <protection hidden="1"/>
    </xf>
    <xf numFmtId="3" fontId="9" fillId="6" borderId="9" xfId="0" applyNumberFormat="1" applyFont="1" applyFill="1" applyBorder="1" applyAlignment="1" applyProtection="1">
      <alignment horizontal="center" vertical="center"/>
      <protection hidden="1"/>
    </xf>
    <xf numFmtId="164" fontId="9" fillId="6" borderId="2" xfId="0" applyNumberFormat="1" applyFont="1" applyFill="1" applyBorder="1" applyAlignment="1" applyProtection="1">
      <alignment horizontal="left" vertical="center" indent="1"/>
      <protection hidden="1"/>
    </xf>
    <xf numFmtId="3" fontId="8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3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3" fontId="1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3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3" fontId="10" fillId="4" borderId="9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2" xfId="0" applyNumberFormat="1" applyFont="1" applyFill="1" applyBorder="1" applyAlignment="1" applyProtection="1">
      <alignment horizontal="right" vertical="center" wrapText="1" readingOrder="2"/>
      <protection hidden="1"/>
    </xf>
    <xf numFmtId="164" fontId="9" fillId="4" borderId="9" xfId="0" applyNumberFormat="1" applyFont="1" applyFill="1" applyBorder="1" applyAlignment="1" applyProtection="1">
      <alignment horizontal="center" vertical="center" wrapText="1"/>
      <protection hidden="1"/>
    </xf>
    <xf numFmtId="3" fontId="9" fillId="4" borderId="9" xfId="0" applyNumberFormat="1" applyFont="1" applyFill="1" applyBorder="1" applyAlignment="1" applyProtection="1">
      <alignment horizontal="center" vertical="center" wrapText="1"/>
      <protection hidden="1"/>
    </xf>
    <xf numFmtId="164" fontId="9" fillId="8" borderId="9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0" applyNumberFormat="1" applyFont="1" applyBorder="1" applyAlignment="1" applyProtection="1">
      <alignment horizontal="left" vertical="center" wrapText="1" indent="1"/>
      <protection hidden="1"/>
    </xf>
    <xf numFmtId="164" fontId="8" fillId="0" borderId="2" xfId="0" applyNumberFormat="1" applyFont="1" applyBorder="1" applyAlignment="1" applyProtection="1">
      <alignment horizontal="left" vertical="center" wrapText="1"/>
      <protection hidden="1"/>
    </xf>
    <xf numFmtId="3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9" xfId="0" applyNumberFormat="1" applyFont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 applyProtection="1">
      <alignment horizontal="right" vertical="center" wrapText="1" readingOrder="2"/>
      <protection hidden="1"/>
    </xf>
    <xf numFmtId="164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Border="1" applyAlignment="1" applyProtection="1">
      <alignment horizontal="left" vertical="center" wrapText="1" indent="3"/>
      <protection hidden="1"/>
    </xf>
    <xf numFmtId="164" fontId="8" fillId="0" borderId="1" xfId="0" applyNumberFormat="1" applyFont="1" applyBorder="1" applyAlignment="1" applyProtection="1">
      <alignment horizontal="left" vertical="top" wrapText="1" indent="1"/>
      <protection hidden="1"/>
    </xf>
    <xf numFmtId="3" fontId="10" fillId="0" borderId="9" xfId="0" applyNumberFormat="1" applyFont="1" applyFill="1" applyBorder="1" applyAlignment="1" applyProtection="1">
      <alignment horizontal="center" vertical="top" wrapText="1"/>
      <protection hidden="1"/>
    </xf>
    <xf numFmtId="164" fontId="8" fillId="0" borderId="9" xfId="0" applyNumberFormat="1" applyFont="1" applyBorder="1" applyAlignment="1" applyProtection="1">
      <alignment horizontal="center" vertical="top" wrapText="1"/>
      <protection hidden="1"/>
    </xf>
    <xf numFmtId="164" fontId="8" fillId="0" borderId="9" xfId="0" applyNumberFormat="1" applyFon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 horizontal="center" vertical="center" wrapText="1"/>
      <protection hidden="1"/>
    </xf>
    <xf numFmtId="3" fontId="8" fillId="0" borderId="9" xfId="0" quotePrefix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164" fontId="8" fillId="0" borderId="2" xfId="0" applyNumberFormat="1" applyFont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64" fontId="8" fillId="0" borderId="3" xfId="0" applyNumberFormat="1" applyFont="1" applyBorder="1" applyAlignment="1" applyProtection="1">
      <alignment horizontal="left" vertical="center" wrapText="1" indent="3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 applyProtection="1">
      <alignment horizontal="left" vertical="center" wrapText="1" indent="3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3" fontId="9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9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6" xfId="0" applyNumberFormat="1" applyFont="1" applyBorder="1" applyAlignment="1" applyProtection="1">
      <alignment horizontal="left" vertical="top" wrapText="1" indent="1"/>
      <protection hidden="1"/>
    </xf>
    <xf numFmtId="3" fontId="8" fillId="0" borderId="6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6" xfId="0" applyNumberFormat="1" applyFont="1" applyFill="1" applyBorder="1" applyAlignment="1" applyProtection="1">
      <alignment horizontal="center" vertical="top" wrapText="1"/>
      <protection hidden="1"/>
    </xf>
    <xf numFmtId="3" fontId="8" fillId="0" borderId="6" xfId="0" applyNumberFormat="1" applyFont="1" applyBorder="1" applyAlignment="1" applyProtection="1">
      <alignment horizontal="center" vertical="center" wrapText="1"/>
      <protection hidden="1"/>
    </xf>
    <xf numFmtId="164" fontId="8" fillId="0" borderId="6" xfId="0" applyNumberFormat="1" applyFont="1" applyFill="1" applyBorder="1" applyAlignment="1" applyProtection="1">
      <alignment horizontal="right" vertical="center" wrapText="1" readingOrder="2"/>
      <protection hidden="1"/>
    </xf>
    <xf numFmtId="164" fontId="8" fillId="0" borderId="6" xfId="0" applyNumberFormat="1" applyFont="1" applyFill="1" applyBorder="1" applyAlignment="1" applyProtection="1">
      <alignment horizontal="left" vertical="center" wrapText="1" indent="1"/>
      <protection hidden="1"/>
    </xf>
    <xf numFmtId="164" fontId="8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6" xfId="0" applyNumberFormat="1" applyFont="1" applyBorder="1" applyAlignment="1" applyProtection="1">
      <alignment horizontal="center" vertical="top" wrapText="1"/>
      <protection hidden="1"/>
    </xf>
    <xf numFmtId="164" fontId="9" fillId="4" borderId="2" xfId="0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164" fontId="9" fillId="0" borderId="1" xfId="0" applyNumberFormat="1" applyFont="1" applyFill="1" applyBorder="1" applyAlignment="1" applyProtection="1">
      <alignment horizontal="left" vertical="center" wrapText="1" indent="1"/>
      <protection hidden="1"/>
    </xf>
    <xf numFmtId="164" fontId="9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Border="1" applyAlignment="1" applyProtection="1">
      <alignment vertical="center" wrapText="1"/>
      <protection hidden="1"/>
    </xf>
    <xf numFmtId="164" fontId="8" fillId="0" borderId="2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1" xfId="0" applyNumberFormat="1" applyFont="1" applyBorder="1" applyAlignment="1" applyProtection="1">
      <alignment horizontal="center" vertical="center" wrapText="1"/>
      <protection hidden="1"/>
    </xf>
    <xf numFmtId="164" fontId="8" fillId="0" borderId="6" xfId="0" applyNumberFormat="1" applyFont="1" applyBorder="1" applyAlignment="1" applyProtection="1">
      <alignment horizontal="left" vertical="center" wrapText="1" indent="3"/>
      <protection hidden="1"/>
    </xf>
    <xf numFmtId="164" fontId="8" fillId="0" borderId="1" xfId="0" applyNumberFormat="1" applyFont="1" applyFill="1" applyBorder="1" applyAlignment="1" applyProtection="1">
      <alignment horizontal="left" vertical="top" wrapText="1" indent="1"/>
      <protection hidden="1"/>
    </xf>
    <xf numFmtId="164" fontId="8" fillId="0" borderId="9" xfId="0" applyNumberFormat="1" applyFont="1" applyFill="1" applyBorder="1" applyAlignment="1" applyProtection="1">
      <alignment horizontal="center" vertical="top" wrapText="1"/>
      <protection hidden="1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hidden="1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hidden="1"/>
    </xf>
    <xf numFmtId="164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 indent="1"/>
      <protection hidden="1"/>
    </xf>
    <xf numFmtId="3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right" vertical="center" wrapText="1" readingOrder="2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 wrapText="1" indent="1"/>
      <protection hidden="1"/>
    </xf>
    <xf numFmtId="3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right" vertical="center" wrapText="1" readingOrder="2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3" fontId="8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3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0" xfId="0" applyFont="1" applyFill="1" applyAlignment="1" applyProtection="1">
      <alignment vertical="center" wrapText="1"/>
      <protection hidden="1"/>
    </xf>
    <xf numFmtId="0" fontId="6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14" fontId="9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9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3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18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0" xfId="0" applyNumberFormat="1" applyFont="1" applyFill="1" applyBorder="1" applyAlignment="1" applyProtection="1">
      <alignment horizontal="center" vertical="top" wrapText="1"/>
      <protection hidden="1"/>
    </xf>
    <xf numFmtId="3" fontId="8" fillId="0" borderId="0" xfId="0" applyNumberFormat="1" applyFont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9" fillId="5" borderId="12" xfId="0" applyNumberFormat="1" applyFont="1" applyFill="1" applyBorder="1" applyAlignment="1" applyProtection="1">
      <alignment horizontal="center" vertical="center" wrapText="1"/>
      <protection locked="0" hidden="1"/>
    </xf>
    <xf numFmtId="3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9" xfId="0" applyNumberFormat="1" applyFont="1" applyFill="1" applyBorder="1" applyAlignment="1" applyProtection="1">
      <alignment horizontal="center" vertical="center"/>
      <protection locked="0" hidden="1"/>
    </xf>
    <xf numFmtId="3" fontId="10" fillId="0" borderId="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ont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164" fontId="8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 indent="1"/>
      <protection hidden="1"/>
    </xf>
    <xf numFmtId="0" fontId="1" fillId="0" borderId="0" xfId="0" applyFont="1" applyFill="1" applyAlignment="1" applyProtection="1">
      <alignment horizontal="left" vertical="center" wrapText="1" indent="1"/>
      <protection hidden="1"/>
    </xf>
    <xf numFmtId="164" fontId="1" fillId="0" borderId="1" xfId="0" applyNumberFormat="1" applyFont="1" applyBorder="1" applyAlignment="1" applyProtection="1">
      <alignment horizontal="left" vertical="center" wrapText="1" indent="1"/>
      <protection hidden="1"/>
    </xf>
    <xf numFmtId="164" fontId="9" fillId="3" borderId="1" xfId="0" applyNumberFormat="1" applyFont="1" applyFill="1" applyBorder="1" applyAlignment="1" applyProtection="1">
      <alignment horizontal="left" vertical="center" wrapText="1" indent="1"/>
      <protection hidden="1"/>
    </xf>
    <xf numFmtId="3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9" xfId="0" applyNumberFormat="1" applyFont="1" applyBorder="1" applyAlignment="1" applyProtection="1">
      <alignment horizontal="center" vertical="center" wrapText="1"/>
      <protection hidden="1"/>
    </xf>
    <xf numFmtId="3" fontId="10" fillId="0" borderId="9" xfId="0" quotePrefix="1" applyNumberFormat="1" applyFont="1" applyFill="1" applyBorder="1" applyAlignment="1" applyProtection="1">
      <alignment horizontal="center" vertical="center" wrapText="1"/>
      <protection locked="0" hidden="1"/>
    </xf>
    <xf numFmtId="3" fontId="9" fillId="3" borderId="11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 applyProtection="1">
      <alignment horizontal="left" vertical="center" wrapText="1" indent="1"/>
      <protection hidden="1"/>
    </xf>
    <xf numFmtId="164" fontId="8" fillId="4" borderId="2" xfId="0" applyNumberFormat="1" applyFont="1" applyFill="1" applyBorder="1" applyAlignment="1" applyProtection="1">
      <alignment horizontal="left" vertical="center" wrapText="1" indent="1"/>
      <protection hidden="1"/>
    </xf>
    <xf numFmtId="164" fontId="8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164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" xfId="0" applyNumberFormat="1" applyFont="1" applyFill="1" applyBorder="1" applyAlignment="1" applyProtection="1">
      <alignment horizontal="left" vertical="center" wrapText="1" indent="1"/>
      <protection hidden="1"/>
    </xf>
    <xf numFmtId="3" fontId="5" fillId="0" borderId="9" xfId="0" applyNumberFormat="1" applyFont="1" applyBorder="1" applyAlignment="1" applyProtection="1">
      <alignment horizontal="center" vertical="center" wrapText="1"/>
      <protection hidden="1"/>
    </xf>
    <xf numFmtId="164" fontId="9" fillId="6" borderId="2" xfId="0" applyNumberFormat="1" applyFont="1" applyFill="1" applyBorder="1" applyAlignment="1" applyProtection="1">
      <alignment horizontal="left" vertical="center" wrapText="1"/>
      <protection hidden="1"/>
    </xf>
    <xf numFmtId="3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Border="1" applyAlignment="1" applyProtection="1">
      <alignment vertical="center" wrapText="1"/>
      <protection hidden="1"/>
    </xf>
    <xf numFmtId="0" fontId="1" fillId="0" borderId="8" xfId="0" applyNumberFormat="1" applyFont="1" applyBorder="1" applyAlignment="1" applyProtection="1">
      <alignment vertical="center" wrapText="1"/>
      <protection hidden="1"/>
    </xf>
    <xf numFmtId="0" fontId="1" fillId="0" borderId="13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 applyProtection="1">
      <alignment horizontal="right" vertical="center" wrapText="1" readingOrder="2"/>
      <protection locked="0" hidden="1"/>
    </xf>
    <xf numFmtId="0" fontId="1" fillId="3" borderId="0" xfId="0" applyFont="1" applyFill="1" applyBorder="1" applyAlignment="1" applyProtection="1">
      <alignment vertical="center" wrapText="1"/>
      <protection locked="0" hidden="1"/>
    </xf>
    <xf numFmtId="164" fontId="1" fillId="0" borderId="0" xfId="0" applyNumberFormat="1" applyFont="1" applyAlignment="1" applyProtection="1">
      <alignment horizontal="left" vertical="center" wrapText="1" indent="1"/>
      <protection hidden="1"/>
    </xf>
    <xf numFmtId="164" fontId="1" fillId="0" borderId="0" xfId="0" applyNumberFormat="1" applyFont="1" applyAlignment="1" applyProtection="1">
      <alignment vertical="center" wrapText="1"/>
      <protection hidden="1"/>
    </xf>
    <xf numFmtId="164" fontId="1" fillId="0" borderId="0" xfId="0" applyNumberFormat="1" applyFont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Border="1" applyAlignment="1" applyProtection="1">
      <alignment horizontal="right" vertical="center" wrapText="1" readingOrder="2"/>
      <protection hidden="1"/>
    </xf>
    <xf numFmtId="164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3" borderId="0" xfId="0" applyNumberFormat="1" applyFont="1" applyFill="1" applyBorder="1" applyAlignment="1" applyProtection="1">
      <alignment vertical="center" wrapText="1"/>
      <protection hidden="1"/>
    </xf>
    <xf numFmtId="16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1" fillId="3" borderId="0" xfId="0" applyNumberFormat="1" applyFont="1" applyFill="1" applyBorder="1" applyAlignment="1" applyProtection="1">
      <alignment horizontal="left" vertical="center" wrapText="1"/>
      <protection hidden="1"/>
    </xf>
    <xf numFmtId="164" fontId="1" fillId="0" borderId="0" xfId="0" applyNumberFormat="1" applyFont="1" applyAlignment="1" applyProtection="1">
      <alignment horizontal="left"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Alignment="1" applyProtection="1">
      <alignment horizontal="left" vertical="center" wrapText="1"/>
      <protection hidden="1"/>
    </xf>
    <xf numFmtId="164" fontId="8" fillId="0" borderId="1" xfId="0" applyNumberFormat="1" applyFont="1" applyFill="1" applyBorder="1" applyAlignment="1" applyProtection="1">
      <alignment horizontal="left" vertical="center" wrapText="1" indent="1"/>
      <protection hidden="1"/>
    </xf>
    <xf numFmtId="14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NumberFormat="1" applyFont="1" applyFill="1" applyBorder="1" applyAlignment="1" applyProtection="1">
      <alignment vertical="center" wrapText="1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6" xfId="0" applyNumberFormat="1" applyFont="1" applyFill="1" applyBorder="1" applyAlignment="1" applyProtection="1">
      <alignment horizontal="left" vertical="center" wrapText="1" indent="1"/>
      <protection hidden="1"/>
    </xf>
    <xf numFmtId="164" fontId="8" fillId="0" borderId="2" xfId="0" applyNumberFormat="1" applyFont="1" applyFill="1" applyBorder="1" applyAlignment="1" applyProtection="1">
      <alignment vertical="center" wrapText="1"/>
      <protection hidden="1"/>
    </xf>
    <xf numFmtId="164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0" xfId="0" applyNumberFormat="1" applyFont="1" applyFill="1" applyBorder="1" applyAlignment="1" applyProtection="1">
      <alignment vertical="center" wrapText="1"/>
      <protection hidden="1"/>
    </xf>
    <xf numFmtId="3" fontId="38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3" xfId="0" applyNumberFormat="1" applyFont="1" applyBorder="1" applyAlignment="1" applyProtection="1">
      <alignment horizontal="center" vertical="center" wrapText="1"/>
      <protection hidden="1"/>
    </xf>
    <xf numFmtId="164" fontId="14" fillId="0" borderId="9" xfId="0" applyNumberFormat="1" applyFont="1" applyBorder="1" applyAlignment="1" applyProtection="1">
      <alignment horizontal="center" vertical="center" wrapText="1"/>
      <protection hidden="1"/>
    </xf>
    <xf numFmtId="164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Alignment="1" applyProtection="1">
      <alignment horizontal="center" vertical="center" wrapText="1"/>
      <protection hidden="1"/>
    </xf>
    <xf numFmtId="164" fontId="6" fillId="10" borderId="2" xfId="0" applyNumberFormat="1" applyFont="1" applyFill="1" applyBorder="1" applyAlignment="1" applyProtection="1">
      <alignment vertical="center" wrapText="1"/>
      <protection hidden="1"/>
    </xf>
    <xf numFmtId="164" fontId="20" fillId="11" borderId="9" xfId="0" applyNumberFormat="1" applyFont="1" applyFill="1" applyBorder="1" applyAlignment="1" applyProtection="1">
      <alignment horizontal="center" vertical="center" wrapText="1"/>
      <protection hidden="1"/>
    </xf>
    <xf numFmtId="164" fontId="20" fillId="11" borderId="2" xfId="0" applyNumberFormat="1" applyFont="1" applyFill="1" applyBorder="1" applyAlignment="1" applyProtection="1">
      <alignment horizontal="center" vertical="center" wrapText="1"/>
      <protection hidden="1"/>
    </xf>
    <xf numFmtId="164" fontId="12" fillId="11" borderId="3" xfId="0" applyNumberFormat="1" applyFont="1" applyFill="1" applyBorder="1" applyAlignment="1" applyProtection="1">
      <alignment horizontal="center" vertical="center" wrapText="1"/>
      <protection hidden="1"/>
    </xf>
    <xf numFmtId="164" fontId="29" fillId="11" borderId="3" xfId="0" applyNumberFormat="1" applyFont="1" applyFill="1" applyBorder="1" applyAlignment="1" applyProtection="1">
      <alignment horizontal="center" vertical="center" wrapText="1"/>
      <protection hidden="1"/>
    </xf>
    <xf numFmtId="3" fontId="8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2" xfId="0" applyNumberFormat="1" applyFont="1" applyFill="1" applyBorder="1" applyAlignment="1" applyProtection="1">
      <alignment vertical="center" wrapText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9" fillId="9" borderId="3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3" xfId="0" applyNumberFormat="1" applyFont="1" applyFill="1" applyBorder="1" applyAlignment="1" applyProtection="1">
      <alignment vertical="center" wrapText="1"/>
      <protection hidden="1"/>
    </xf>
    <xf numFmtId="164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Alignment="1" applyProtection="1">
      <alignment vertical="center" wrapText="1"/>
      <protection hidden="1"/>
    </xf>
    <xf numFmtId="3" fontId="27" fillId="7" borderId="1" xfId="0" applyNumberFormat="1" applyFont="1" applyFill="1" applyBorder="1" applyAlignment="1" applyProtection="1">
      <alignment horizontal="center" vertical="center" wrapText="1"/>
      <protection hidden="1"/>
    </xf>
    <xf numFmtId="164" fontId="31" fillId="0" borderId="1" xfId="0" applyNumberFormat="1" applyFont="1" applyFill="1" applyBorder="1" applyAlignment="1" applyProtection="1">
      <alignment vertical="center" wrapText="1"/>
      <protection hidden="1"/>
    </xf>
    <xf numFmtId="164" fontId="21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22" fillId="3" borderId="0" xfId="0" applyNumberFormat="1" applyFont="1" applyFill="1" applyBorder="1" applyAlignment="1" applyProtection="1">
      <alignment vertical="center" wrapText="1"/>
      <protection hidden="1"/>
    </xf>
    <xf numFmtId="164" fontId="22" fillId="0" borderId="0" xfId="0" applyNumberFormat="1" applyFont="1" applyAlignment="1" applyProtection="1">
      <alignment vertical="center" wrapText="1"/>
      <protection hidden="1"/>
    </xf>
    <xf numFmtId="164" fontId="6" fillId="0" borderId="2" xfId="0" applyNumberFormat="1" applyFont="1" applyFill="1" applyBorder="1" applyAlignment="1" applyProtection="1">
      <alignment vertical="center" wrapText="1"/>
      <protection hidden="1"/>
    </xf>
    <xf numFmtId="164" fontId="28" fillId="9" borderId="9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35" fillId="0" borderId="9" xfId="0" applyNumberFormat="1" applyFont="1" applyFill="1" applyBorder="1" applyAlignment="1" applyProtection="1">
      <alignment vertical="center" wrapText="1"/>
      <protection hidden="1"/>
    </xf>
    <xf numFmtId="164" fontId="35" fillId="0" borderId="2" xfId="0" applyNumberFormat="1" applyFont="1" applyFill="1" applyBorder="1" applyAlignment="1" applyProtection="1">
      <alignment vertical="center" wrapText="1"/>
      <protection hidden="1"/>
    </xf>
    <xf numFmtId="164" fontId="13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23" fillId="7" borderId="3" xfId="0" applyNumberFormat="1" applyFont="1" applyFill="1" applyBorder="1" applyAlignment="1" applyProtection="1">
      <alignment horizontal="center" vertical="center" wrapText="1"/>
      <protection hidden="1"/>
    </xf>
    <xf numFmtId="164" fontId="27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4" fillId="12" borderId="9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6" xfId="0" applyNumberFormat="1" applyFont="1" applyFill="1" applyBorder="1" applyAlignment="1" applyProtection="1">
      <alignment vertical="center" wrapText="1"/>
      <protection hidden="1"/>
    </xf>
    <xf numFmtId="0" fontId="22" fillId="0" borderId="0" xfId="0" applyNumberFormat="1" applyFont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Border="1" applyAlignment="1" applyProtection="1">
      <alignment horizontal="left" vertical="center" wrapText="1" indent="1"/>
      <protection hidden="1"/>
    </xf>
    <xf numFmtId="3" fontId="1" fillId="0" borderId="4" xfId="0" applyNumberFormat="1" applyFont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7" xfId="0" applyNumberFormat="1" applyFont="1" applyBorder="1" applyAlignment="1" applyProtection="1">
      <alignment horizontal="center" vertical="center" wrapText="1"/>
      <protection hidden="1"/>
    </xf>
    <xf numFmtId="1" fontId="25" fillId="5" borderId="12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23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31" fillId="0" borderId="3" xfId="0" applyNumberFormat="1" applyFont="1" applyFill="1" applyBorder="1" applyAlignment="1" applyProtection="1">
      <alignment vertical="center" wrapText="1"/>
      <protection hidden="1"/>
    </xf>
    <xf numFmtId="164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3" xfId="0" applyNumberFormat="1" applyFont="1" applyFill="1" applyBorder="1" applyAlignment="1" applyProtection="1">
      <alignment vertical="center" wrapText="1"/>
      <protection hidden="1"/>
    </xf>
    <xf numFmtId="164" fontId="6" fillId="0" borderId="9" xfId="0" applyNumberFormat="1" applyFont="1" applyFill="1" applyBorder="1" applyAlignment="1" applyProtection="1">
      <alignment horizontal="right" vertical="center" wrapText="1" indent="1"/>
      <protection hidden="1"/>
    </xf>
    <xf numFmtId="164" fontId="6" fillId="0" borderId="1" xfId="0" applyNumberFormat="1" applyFont="1" applyFill="1" applyBorder="1" applyAlignment="1" applyProtection="1">
      <alignment horizontal="right" vertical="center" wrapText="1" indent="1"/>
      <protection hidden="1"/>
    </xf>
    <xf numFmtId="164" fontId="6" fillId="0" borderId="3" xfId="0" applyNumberFormat="1" applyFont="1" applyFill="1" applyBorder="1" applyAlignment="1" applyProtection="1">
      <alignment horizontal="right" vertical="center" wrapText="1" indent="1"/>
      <protection hidden="1"/>
    </xf>
    <xf numFmtId="164" fontId="6" fillId="0" borderId="2" xfId="0" applyNumberFormat="1" applyFont="1" applyFill="1" applyBorder="1" applyAlignment="1" applyProtection="1">
      <alignment horizontal="right" vertical="center" wrapText="1" indent="1"/>
      <protection hidden="1"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164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1" xfId="0" applyNumberFormat="1" applyFont="1" applyFill="1" applyBorder="1" applyAlignment="1" applyProtection="1">
      <alignment horizontal="center" vertical="center" wrapText="1" readingOrder="2"/>
      <protection hidden="1"/>
    </xf>
    <xf numFmtId="164" fontId="8" fillId="4" borderId="2" xfId="0" applyNumberFormat="1" applyFont="1" applyFill="1" applyBorder="1" applyAlignment="1" applyProtection="1">
      <alignment horizontal="center" vertical="center" wrapText="1" readingOrder="2"/>
      <protection hidden="1"/>
    </xf>
    <xf numFmtId="164" fontId="8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8" fillId="0" borderId="2" xfId="0" applyNumberFormat="1" applyFont="1" applyFill="1" applyBorder="1" applyAlignment="1" applyProtection="1">
      <alignment horizontal="left" vertical="center" wrapText="1" indent="1"/>
      <protection hidden="1"/>
    </xf>
    <xf numFmtId="164" fontId="8" fillId="0" borderId="3" xfId="0" applyNumberFormat="1" applyFont="1" applyFill="1" applyBorder="1" applyAlignment="1" applyProtection="1">
      <alignment horizontal="left" vertical="center" wrapText="1" indent="1"/>
      <protection hidden="1"/>
    </xf>
    <xf numFmtId="164" fontId="6" fillId="10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10" borderId="2" xfId="0" applyNumberFormat="1" applyFont="1" applyFill="1" applyBorder="1" applyAlignment="1" applyProtection="1">
      <alignment horizontal="center" vertical="center" wrapText="1"/>
      <protection hidden="1"/>
    </xf>
    <xf numFmtId="164" fontId="6" fillId="10" borderId="3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14" xfId="0" applyNumberFormat="1" applyFont="1" applyBorder="1" applyAlignment="1" applyProtection="1">
      <alignment horizontal="center" vertical="center" wrapText="1"/>
      <protection hidden="1"/>
    </xf>
    <xf numFmtId="164" fontId="5" fillId="0" borderId="15" xfId="0" applyNumberFormat="1" applyFont="1" applyBorder="1" applyAlignment="1" applyProtection="1">
      <alignment horizontal="center" vertical="center" wrapText="1"/>
      <protection hidden="1"/>
    </xf>
    <xf numFmtId="164" fontId="14" fillId="0" borderId="9" xfId="0" applyNumberFormat="1" applyFont="1" applyBorder="1" applyAlignment="1" applyProtection="1">
      <alignment horizontal="center" wrapText="1"/>
      <protection hidden="1"/>
    </xf>
    <xf numFmtId="3" fontId="5" fillId="0" borderId="9" xfId="0" applyNumberFormat="1" applyFont="1" applyBorder="1" applyAlignment="1" applyProtection="1">
      <alignment horizontal="center" vertical="center" wrapText="1"/>
      <protection hidden="1"/>
    </xf>
    <xf numFmtId="3" fontId="14" fillId="0" borderId="9" xfId="0" applyNumberFormat="1" applyFont="1" applyBorder="1" applyAlignment="1" applyProtection="1">
      <alignment horizontal="center" wrapText="1"/>
      <protection hidden="1"/>
    </xf>
    <xf numFmtId="164" fontId="8" fillId="4" borderId="2" xfId="0" applyNumberFormat="1" applyFont="1" applyFill="1" applyBorder="1" applyAlignment="1" applyProtection="1">
      <alignment horizontal="left" vertical="center" wrapText="1" indent="1"/>
      <protection hidden="1"/>
    </xf>
    <xf numFmtId="164" fontId="8" fillId="4" borderId="3" xfId="0" applyNumberFormat="1" applyFont="1" applyFill="1" applyBorder="1" applyAlignment="1" applyProtection="1">
      <alignment horizontal="left" vertical="center" wrapText="1" indent="1"/>
      <protection hidden="1"/>
    </xf>
    <xf numFmtId="164" fontId="6" fillId="10" borderId="8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2" xfId="0" applyNumberFormat="1" applyFont="1" applyFill="1" applyBorder="1" applyAlignment="1" applyProtection="1">
      <alignment horizontal="left" vertical="center" wrapText="1"/>
      <protection hidden="1"/>
    </xf>
    <xf numFmtId="164" fontId="8" fillId="3" borderId="3" xfId="0" applyNumberFormat="1" applyFont="1" applyFill="1" applyBorder="1" applyAlignment="1" applyProtection="1">
      <alignment horizontal="left" vertical="center" wrapText="1"/>
      <protection hidden="1"/>
    </xf>
    <xf numFmtId="164" fontId="9" fillId="4" borderId="1" xfId="0" applyNumberFormat="1" applyFont="1" applyFill="1" applyBorder="1" applyAlignment="1" applyProtection="1">
      <alignment horizontal="left" vertical="center" wrapText="1" indent="1"/>
      <protection hidden="1"/>
    </xf>
    <xf numFmtId="164" fontId="9" fillId="4" borderId="2" xfId="0" applyNumberFormat="1" applyFont="1" applyFill="1" applyBorder="1" applyAlignment="1" applyProtection="1">
      <alignment horizontal="left" vertical="center" wrapText="1" indent="1"/>
      <protection hidden="1"/>
    </xf>
    <xf numFmtId="164" fontId="9" fillId="3" borderId="2" xfId="0" applyNumberFormat="1" applyFont="1" applyFill="1" applyBorder="1" applyAlignment="1" applyProtection="1">
      <alignment horizontal="left" vertical="center" wrapText="1"/>
      <protection hidden="1"/>
    </xf>
    <xf numFmtId="164" fontId="9" fillId="3" borderId="3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13" xfId="0" applyNumberFormat="1" applyFont="1" applyFill="1" applyBorder="1" applyAlignment="1" applyProtection="1">
      <alignment horizontal="center" vertical="center" wrapText="1" readingOrder="2"/>
      <protection hidden="1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hidden="1"/>
    </xf>
    <xf numFmtId="164" fontId="8" fillId="0" borderId="8" xfId="0" applyNumberFormat="1" applyFont="1" applyFill="1" applyBorder="1" applyAlignment="1" applyProtection="1">
      <alignment horizontal="center" vertical="center" wrapText="1" readingOrder="2"/>
      <protection hidden="1"/>
    </xf>
    <xf numFmtId="3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5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5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36" fillId="5" borderId="1" xfId="1" applyNumberFormat="1" applyFill="1" applyBorder="1" applyAlignment="1" applyProtection="1">
      <alignment horizontal="center" vertical="center" wrapText="1"/>
      <protection locked="0" hidden="1"/>
    </xf>
    <xf numFmtId="164" fontId="9" fillId="0" borderId="2" xfId="0" applyNumberFormat="1" applyFont="1" applyBorder="1" applyAlignment="1" applyProtection="1">
      <alignment horizontal="right" vertical="center" wrapText="1" indent="1"/>
      <protection hidden="1"/>
    </xf>
    <xf numFmtId="164" fontId="9" fillId="0" borderId="3" xfId="0" applyNumberFormat="1" applyFont="1" applyBorder="1" applyAlignment="1" applyProtection="1">
      <alignment horizontal="right" vertical="center" wrapText="1" indent="1"/>
      <protection hidden="1"/>
    </xf>
    <xf numFmtId="164" fontId="12" fillId="6" borderId="1" xfId="0" applyNumberFormat="1" applyFont="1" applyFill="1" applyBorder="1" applyAlignment="1" applyProtection="1">
      <alignment horizontal="center" vertical="center" wrapText="1"/>
      <protection hidden="1"/>
    </xf>
    <xf numFmtId="164" fontId="12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12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center" wrapText="1" indent="1"/>
      <protection hidden="1"/>
    </xf>
    <xf numFmtId="164" fontId="19" fillId="0" borderId="0" xfId="0" applyNumberFormat="1" applyFont="1" applyBorder="1" applyAlignment="1" applyProtection="1">
      <alignment horizontal="left" vertical="center" wrapText="1" indent="1"/>
      <protection hidden="1"/>
    </xf>
    <xf numFmtId="164" fontId="9" fillId="6" borderId="2" xfId="0" applyNumberFormat="1" applyFont="1" applyFill="1" applyBorder="1" applyAlignment="1" applyProtection="1">
      <alignment horizontal="left" vertical="center" wrapText="1"/>
      <protection hidden="1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5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6" fillId="5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13" fillId="6" borderId="1" xfId="0" applyNumberFormat="1" applyFont="1" applyFill="1" applyBorder="1" applyAlignment="1" applyProtection="1">
      <alignment horizontal="center" vertical="center" wrapText="1"/>
      <protection hidden="1"/>
    </xf>
    <xf numFmtId="164" fontId="13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13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7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3" xfId="0" applyNumberFormat="1" applyFont="1" applyBorder="1" applyAlignment="1" applyProtection="1">
      <alignment horizontal="center" vertical="center" wrapText="1"/>
      <protection hidden="1"/>
    </xf>
    <xf numFmtId="164" fontId="6" fillId="10" borderId="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9" xfId="0" applyNumberFormat="1" applyFont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right" vertical="center" wrapText="1" indent="1"/>
      <protection hidden="1"/>
    </xf>
    <xf numFmtId="164" fontId="6" fillId="0" borderId="2" xfId="0" applyNumberFormat="1" applyFont="1" applyFill="1" applyBorder="1" applyAlignment="1" applyProtection="1">
      <alignment horizontal="right" vertical="center" wrapText="1" indent="1"/>
      <protection hidden="1"/>
    </xf>
    <xf numFmtId="164" fontId="6" fillId="0" borderId="3" xfId="0" applyNumberFormat="1" applyFont="1" applyFill="1" applyBorder="1" applyAlignment="1" applyProtection="1">
      <alignment horizontal="right" vertical="center" wrapText="1" indent="1"/>
      <protection hidden="1"/>
    </xf>
    <xf numFmtId="164" fontId="35" fillId="0" borderId="1" xfId="0" applyNumberFormat="1" applyFont="1" applyFill="1" applyBorder="1" applyAlignment="1" applyProtection="1">
      <alignment horizontal="right" vertical="center" wrapText="1" indent="1"/>
      <protection hidden="1"/>
    </xf>
    <xf numFmtId="164" fontId="35" fillId="0" borderId="2" xfId="0" applyNumberFormat="1" applyFont="1" applyFill="1" applyBorder="1" applyAlignment="1" applyProtection="1">
      <alignment horizontal="right" vertical="center" wrapText="1" indent="1"/>
      <protection hidden="1"/>
    </xf>
    <xf numFmtId="164" fontId="35" fillId="0" borderId="3" xfId="0" applyNumberFormat="1" applyFont="1" applyFill="1" applyBorder="1" applyAlignment="1" applyProtection="1">
      <alignment horizontal="right" vertical="center" wrapText="1" indent="1"/>
      <protection hidden="1"/>
    </xf>
    <xf numFmtId="164" fontId="6" fillId="0" borderId="9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0" borderId="0" xfId="0" applyNumberFormat="1" applyFont="1" applyBorder="1" applyAlignment="1" applyProtection="1">
      <alignment horizontal="left" vertical="center" wrapText="1" indent="1"/>
      <protection hidden="1"/>
    </xf>
    <xf numFmtId="164" fontId="8" fillId="0" borderId="0" xfId="0" applyNumberFormat="1" applyFont="1" applyBorder="1" applyAlignment="1" applyProtection="1">
      <alignment horizontal="left" vertical="center" wrapText="1" indent="1"/>
      <protection hidden="1"/>
    </xf>
  </cellXfs>
  <cellStyles count="2">
    <cellStyle name="Hiperlink" xfId="1" builtinId="8"/>
    <cellStyle name="Normal" xfId="0" builtinId="0"/>
  </cellStyles>
  <dxfs count="15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472745</xdr:colOff>
      <xdr:row>0</xdr:row>
      <xdr:rowOff>83693</xdr:rowOff>
    </xdr:from>
    <xdr:to>
      <xdr:col>1</xdr:col>
      <xdr:colOff>837611</xdr:colOff>
      <xdr:row>0</xdr:row>
      <xdr:rowOff>800101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745" y="0"/>
          <a:ext cx="983991" cy="716408"/>
        </a:xfrm>
        <a:prstGeom prst="rect">
          <a:avLst/>
        </a:prstGeom>
      </xdr:spPr>
    </xdr:pic>
    <xdr:clientData/>
  </xdr:twoCellAnchor>
  <xdr:oneCellAnchor>
    <xdr:from>
      <xdr:col>8</xdr:col>
      <xdr:colOff>530841</xdr:colOff>
      <xdr:row>0</xdr:row>
      <xdr:rowOff>104775</xdr:rowOff>
    </xdr:from>
    <xdr:ext cx="1060349" cy="685800"/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3691" y="104775"/>
          <a:ext cx="1060349" cy="6858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507124</xdr:colOff>
      <xdr:row>0</xdr:row>
      <xdr:rowOff>208312</xdr:rowOff>
    </xdr:from>
    <xdr:to>
      <xdr:col>1</xdr:col>
      <xdr:colOff>849518</xdr:colOff>
      <xdr:row>0</xdr:row>
      <xdr:rowOff>892970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7124" y="208312"/>
          <a:ext cx="901988" cy="684658"/>
        </a:xfrm>
        <a:prstGeom prst="rect">
          <a:avLst/>
        </a:prstGeom>
      </xdr:spPr>
    </xdr:pic>
    <xdr:clientData/>
  </xdr:twoCellAnchor>
  <xdr:oneCellAnchor>
    <xdr:from>
      <xdr:col>9</xdr:col>
      <xdr:colOff>945971</xdr:colOff>
      <xdr:row>0</xdr:row>
      <xdr:rowOff>197585</xdr:rowOff>
    </xdr:from>
    <xdr:ext cx="1093576" cy="707290"/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54065" y="197585"/>
          <a:ext cx="1093576" cy="7072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7"/>
  <sheetViews>
    <sheetView showGridLines="0" tabSelected="1" view="pageBreakPreview" zoomScaleNormal="90" zoomScaleSheetLayoutView="100" zoomScalePageLayoutView="80" workbookViewId="0">
      <selection activeCell="M17" sqref="M17"/>
    </sheetView>
  </sheetViews>
  <sheetFormatPr defaultColWidth="8.85546875" defaultRowHeight="18" customHeight="1" x14ac:dyDescent="0.25"/>
  <cols>
    <col min="1" max="1" width="8.85546875" style="92" customWidth="1"/>
    <col min="2" max="2" width="38" style="10" customWidth="1"/>
    <col min="3" max="3" width="8.7109375" style="93" customWidth="1"/>
    <col min="4" max="4" width="8.7109375" style="94" customWidth="1"/>
    <col min="5" max="5" width="8.7109375" style="53" customWidth="1"/>
    <col min="6" max="6" width="7.140625" style="95" customWidth="1"/>
    <col min="7" max="7" width="14.42578125" style="119" customWidth="1"/>
    <col min="8" max="8" width="18.85546875" style="119" customWidth="1"/>
    <col min="9" max="9" width="10.7109375" style="96" customWidth="1"/>
    <col min="10" max="10" width="10.7109375" style="53" customWidth="1"/>
    <col min="11" max="11" width="10.7109375" style="97" customWidth="1"/>
    <col min="12" max="12" width="3.7109375" style="8" customWidth="1"/>
    <col min="13" max="13" width="8.7109375" style="85" customWidth="1"/>
    <col min="14" max="14" width="8.85546875" style="8"/>
    <col min="15" max="16384" width="8.85546875" style="10"/>
  </cols>
  <sheetData>
    <row r="1" spans="1:15" ht="69.75" customHeight="1" x14ac:dyDescent="0.2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5" s="3" customFormat="1" ht="18" customHeight="1" x14ac:dyDescent="0.25">
      <c r="A2" s="258" t="s">
        <v>318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  <c r="L2" s="4"/>
      <c r="M2" s="2"/>
      <c r="N2" s="1"/>
    </row>
    <row r="3" spans="1:15" s="3" customFormat="1" ht="18" customHeight="1" x14ac:dyDescent="0.25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60"/>
      <c r="L3" s="4"/>
      <c r="M3" s="2"/>
      <c r="N3" s="1"/>
    </row>
    <row r="4" spans="1:15" s="3" customFormat="1" ht="18" customHeight="1" x14ac:dyDescent="0.25">
      <c r="A4" s="261" t="s">
        <v>197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  <c r="L4" s="1"/>
      <c r="M4" s="2"/>
      <c r="N4" s="1"/>
    </row>
    <row r="5" spans="1:15" s="3" customFormat="1" ht="18" customHeight="1" x14ac:dyDescent="0.25">
      <c r="A5" s="5" t="s">
        <v>4</v>
      </c>
      <c r="B5" s="267"/>
      <c r="C5" s="268"/>
      <c r="D5" s="268"/>
      <c r="E5" s="268"/>
      <c r="F5" s="268"/>
      <c r="G5" s="268"/>
      <c r="H5" s="268"/>
      <c r="I5" s="269"/>
      <c r="J5" s="6" t="s">
        <v>177</v>
      </c>
      <c r="K5" s="101"/>
      <c r="L5" s="1"/>
      <c r="M5" s="2"/>
      <c r="N5" s="1"/>
    </row>
    <row r="6" spans="1:15" s="3" customFormat="1" ht="18" customHeight="1" x14ac:dyDescent="0.25">
      <c r="A6" s="7" t="s">
        <v>179</v>
      </c>
      <c r="B6" s="103"/>
      <c r="C6" s="250" t="s">
        <v>194</v>
      </c>
      <c r="D6" s="251"/>
      <c r="E6" s="252"/>
      <c r="F6" s="253"/>
      <c r="G6" s="253"/>
      <c r="H6" s="253"/>
      <c r="I6" s="254"/>
      <c r="J6" s="133" t="s">
        <v>178</v>
      </c>
      <c r="K6" s="102"/>
      <c r="L6" s="1"/>
      <c r="M6" s="2"/>
      <c r="N6" s="1"/>
    </row>
    <row r="7" spans="1:15" s="3" customFormat="1" ht="18" customHeight="1" x14ac:dyDescent="0.25">
      <c r="A7" s="7" t="s">
        <v>319</v>
      </c>
      <c r="B7" s="255"/>
      <c r="C7" s="253"/>
      <c r="D7" s="253"/>
      <c r="E7" s="253"/>
      <c r="F7" s="253"/>
      <c r="G7" s="254"/>
      <c r="H7" s="137" t="s">
        <v>321</v>
      </c>
      <c r="I7" s="253"/>
      <c r="J7" s="253"/>
      <c r="K7" s="254"/>
      <c r="L7" s="1"/>
      <c r="M7" s="2"/>
      <c r="N7" s="1"/>
    </row>
    <row r="8" spans="1:15" ht="18" customHeight="1" thickBot="1" x14ac:dyDescent="0.3">
      <c r="A8" s="230" t="s">
        <v>180</v>
      </c>
      <c r="B8" s="231"/>
      <c r="C8" s="231"/>
      <c r="D8" s="231"/>
      <c r="E8" s="231"/>
      <c r="F8" s="231"/>
      <c r="G8" s="231"/>
      <c r="H8" s="231"/>
      <c r="I8" s="231"/>
      <c r="J8" s="231"/>
      <c r="K8" s="240"/>
      <c r="M8" s="9"/>
    </row>
    <row r="9" spans="1:15" ht="18" customHeight="1" thickBot="1" x14ac:dyDescent="0.3">
      <c r="A9" s="11"/>
      <c r="B9" s="132" t="s">
        <v>134</v>
      </c>
      <c r="C9" s="12"/>
      <c r="D9" s="12"/>
      <c r="E9" s="12"/>
      <c r="F9" s="13"/>
      <c r="G9" s="14"/>
      <c r="H9" s="14"/>
      <c r="I9" s="12"/>
      <c r="J9" s="12"/>
      <c r="K9" s="110"/>
      <c r="M9" s="15"/>
    </row>
    <row r="10" spans="1:15" ht="18" customHeight="1" x14ac:dyDescent="0.25">
      <c r="A10" s="11"/>
      <c r="B10" s="266" t="s">
        <v>198</v>
      </c>
      <c r="C10" s="266"/>
      <c r="D10" s="266"/>
      <c r="E10" s="266"/>
      <c r="F10" s="266"/>
      <c r="G10" s="266"/>
      <c r="H10" s="14"/>
      <c r="I10" s="131" t="s">
        <v>111</v>
      </c>
      <c r="J10" s="16" t="s">
        <v>112</v>
      </c>
      <c r="K10" s="125" t="s">
        <v>195</v>
      </c>
      <c r="M10" s="17"/>
      <c r="O10" s="18"/>
    </row>
    <row r="11" spans="1:15" ht="18" customHeight="1" x14ac:dyDescent="0.25">
      <c r="A11" s="120"/>
      <c r="B11" s="241" t="s">
        <v>181</v>
      </c>
      <c r="C11" s="241"/>
      <c r="D11" s="241"/>
      <c r="E11" s="241"/>
      <c r="F11" s="241"/>
      <c r="G11" s="241"/>
      <c r="H11" s="242"/>
      <c r="I11" s="98"/>
      <c r="J11" s="111"/>
      <c r="K11" s="42">
        <f>IF(OR(K9=0,K9=""),0,IF(K9&lt;3,(I11+J11),0))</f>
        <v>0</v>
      </c>
      <c r="M11" s="17"/>
      <c r="O11" s="18"/>
    </row>
    <row r="12" spans="1:15" ht="18" customHeight="1" x14ac:dyDescent="0.25">
      <c r="A12" s="120"/>
      <c r="B12" s="241" t="s">
        <v>182</v>
      </c>
      <c r="C12" s="241"/>
      <c r="D12" s="241"/>
      <c r="E12" s="241"/>
      <c r="F12" s="241"/>
      <c r="G12" s="241"/>
      <c r="H12" s="242"/>
      <c r="I12" s="98"/>
      <c r="J12" s="111"/>
      <c r="K12" s="42">
        <f>IF(OR(K9=0,K9=""),0,IF(K9&lt;3,(I12+J12),0))</f>
        <v>0</v>
      </c>
      <c r="M12" s="17"/>
    </row>
    <row r="13" spans="1:15" ht="18" customHeight="1" x14ac:dyDescent="0.25">
      <c r="A13" s="120"/>
      <c r="B13" s="241" t="s">
        <v>183</v>
      </c>
      <c r="C13" s="241"/>
      <c r="D13" s="241"/>
      <c r="E13" s="241"/>
      <c r="F13" s="241"/>
      <c r="G13" s="241"/>
      <c r="H13" s="242"/>
      <c r="I13" s="98"/>
      <c r="J13" s="111"/>
      <c r="K13" s="42">
        <f>IF(OR(K9=0,K9=""),0,IF(K9&lt;3,(I13+J13),0))</f>
        <v>0</v>
      </c>
      <c r="M13" s="17"/>
    </row>
    <row r="14" spans="1:15" ht="18" customHeight="1" x14ac:dyDescent="0.25">
      <c r="A14" s="120"/>
      <c r="B14" s="241" t="s">
        <v>184</v>
      </c>
      <c r="C14" s="241"/>
      <c r="D14" s="241"/>
      <c r="E14" s="241"/>
      <c r="F14" s="241"/>
      <c r="G14" s="241"/>
      <c r="H14" s="242"/>
      <c r="I14" s="98"/>
      <c r="J14" s="111"/>
      <c r="K14" s="42">
        <f>IF(OR(K9=0,K9=""),0,IF(K9&lt;3,(I14+J14),0))</f>
        <v>0</v>
      </c>
      <c r="M14" s="17"/>
    </row>
    <row r="15" spans="1:15" ht="18" customHeight="1" x14ac:dyDescent="0.25">
      <c r="A15" s="120"/>
      <c r="B15" s="241" t="s">
        <v>185</v>
      </c>
      <c r="C15" s="241"/>
      <c r="D15" s="241"/>
      <c r="E15" s="241"/>
      <c r="F15" s="241"/>
      <c r="G15" s="241"/>
      <c r="H15" s="242"/>
      <c r="I15" s="98"/>
      <c r="J15" s="111"/>
      <c r="K15" s="42">
        <f>IF(OR(K9=0,K9=""),0,IF(K9&lt;3,(I15+J15),0))</f>
        <v>0</v>
      </c>
      <c r="M15" s="17"/>
    </row>
    <row r="16" spans="1:15" ht="18" customHeight="1" x14ac:dyDescent="0.25">
      <c r="A16" s="120"/>
      <c r="B16" s="241" t="s">
        <v>186</v>
      </c>
      <c r="C16" s="241"/>
      <c r="D16" s="241"/>
      <c r="E16" s="241"/>
      <c r="F16" s="241"/>
      <c r="G16" s="241"/>
      <c r="H16" s="242"/>
      <c r="I16" s="98"/>
      <c r="J16" s="111"/>
      <c r="K16" s="42">
        <f>IF(OR(K9=0,K9=""),0,IF(K9&lt;3,(I16+J16),0))</f>
        <v>0</v>
      </c>
      <c r="M16" s="19"/>
    </row>
    <row r="17" spans="1:20" s="22" customFormat="1" ht="18" customHeight="1" x14ac:dyDescent="0.25">
      <c r="A17" s="121"/>
      <c r="B17" s="245" t="s">
        <v>196</v>
      </c>
      <c r="C17" s="245"/>
      <c r="D17" s="245"/>
      <c r="E17" s="245"/>
      <c r="F17" s="245"/>
      <c r="G17" s="245"/>
      <c r="H17" s="246"/>
      <c r="I17" s="20">
        <f>SUM(I11:I16)</f>
        <v>0</v>
      </c>
      <c r="J17" s="122">
        <f>SUM(J11:J16)</f>
        <v>0</v>
      </c>
      <c r="K17" s="27">
        <f>SUM(K11:K16)</f>
        <v>0</v>
      </c>
      <c r="L17" s="9"/>
      <c r="M17" s="21"/>
      <c r="N17" s="9"/>
      <c r="T17" s="100"/>
    </row>
    <row r="18" spans="1:20" s="22" customFormat="1" ht="18" customHeight="1" x14ac:dyDescent="0.25">
      <c r="A18" s="23"/>
      <c r="B18" s="24" t="s">
        <v>201</v>
      </c>
      <c r="C18" s="25"/>
      <c r="D18" s="25"/>
      <c r="E18" s="25"/>
      <c r="F18" s="24"/>
      <c r="G18" s="26"/>
      <c r="H18" s="26"/>
      <c r="I18" s="112"/>
      <c r="J18" s="113"/>
      <c r="K18" s="27">
        <f>IF(OR(K9=0,K9=""),0,IF(K9&lt;3,SUM(I18+J18),0))</f>
        <v>0</v>
      </c>
      <c r="L18" s="9"/>
      <c r="M18" s="9"/>
      <c r="N18" s="9"/>
    </row>
    <row r="19" spans="1:20" ht="18" customHeight="1" x14ac:dyDescent="0.25">
      <c r="A19" s="230" t="s">
        <v>223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2"/>
      <c r="M19" s="9"/>
      <c r="O19" s="8"/>
    </row>
    <row r="20" spans="1:20" s="30" customFormat="1" ht="18" customHeight="1" x14ac:dyDescent="0.25">
      <c r="A20" s="136"/>
      <c r="B20" s="135"/>
      <c r="C20" s="236" t="s">
        <v>98</v>
      </c>
      <c r="D20" s="236"/>
      <c r="E20" s="236"/>
      <c r="F20" s="247"/>
      <c r="G20" s="248"/>
      <c r="H20" s="249"/>
      <c r="I20" s="235" t="s">
        <v>301</v>
      </c>
      <c r="J20" s="237" t="s">
        <v>205</v>
      </c>
      <c r="K20" s="235" t="s">
        <v>251</v>
      </c>
      <c r="L20" s="28"/>
      <c r="M20" s="29"/>
      <c r="N20" s="28"/>
      <c r="O20" s="28"/>
    </row>
    <row r="21" spans="1:20" ht="18" customHeight="1" x14ac:dyDescent="0.25">
      <c r="A21" s="233" t="s">
        <v>328</v>
      </c>
      <c r="B21" s="234"/>
      <c r="C21" s="31" t="s">
        <v>111</v>
      </c>
      <c r="D21" s="32" t="s">
        <v>112</v>
      </c>
      <c r="E21" s="131" t="s">
        <v>176</v>
      </c>
      <c r="F21" s="222" t="s">
        <v>203</v>
      </c>
      <c r="G21" s="223"/>
      <c r="H21" s="224"/>
      <c r="I21" s="235"/>
      <c r="J21" s="237"/>
      <c r="K21" s="235"/>
      <c r="M21" s="33"/>
      <c r="O21" s="8"/>
    </row>
    <row r="22" spans="1:20" ht="18" customHeight="1" x14ac:dyDescent="0.25">
      <c r="A22" s="243" t="s">
        <v>253</v>
      </c>
      <c r="B22" s="244"/>
      <c r="C22" s="34">
        <f>SUM(C23:C38)</f>
        <v>0</v>
      </c>
      <c r="D22" s="35">
        <f>SUM(D23:D38)</f>
        <v>0</v>
      </c>
      <c r="E22" s="34">
        <f>SUM(E23:E38)</f>
        <v>0</v>
      </c>
      <c r="F22" s="36"/>
      <c r="G22" s="127"/>
      <c r="H22" s="127"/>
      <c r="I22" s="37">
        <f>SUM(I23:I38)</f>
        <v>0</v>
      </c>
      <c r="J22" s="38">
        <f>K11</f>
        <v>0</v>
      </c>
      <c r="K22" s="39">
        <f>I22*J22</f>
        <v>0</v>
      </c>
      <c r="M22" s="29"/>
      <c r="O22" s="8"/>
    </row>
    <row r="23" spans="1:20" ht="18" customHeight="1" x14ac:dyDescent="0.25">
      <c r="A23" s="40"/>
      <c r="B23" s="41" t="s">
        <v>21</v>
      </c>
      <c r="C23" s="42">
        <f>IF(J22&gt;=1,1,0)</f>
        <v>0</v>
      </c>
      <c r="D23" s="43"/>
      <c r="E23" s="44"/>
      <c r="F23" s="45">
        <v>30</v>
      </c>
      <c r="G23" s="228"/>
      <c r="H23" s="229"/>
      <c r="I23" s="46">
        <f>C23*F23</f>
        <v>0</v>
      </c>
      <c r="J23" s="44"/>
      <c r="K23" s="47"/>
      <c r="M23" s="29"/>
      <c r="O23" s="8"/>
    </row>
    <row r="24" spans="1:20" ht="18" customHeight="1" x14ac:dyDescent="0.25">
      <c r="A24" s="40"/>
      <c r="B24" s="48" t="s">
        <v>22</v>
      </c>
      <c r="C24" s="42"/>
      <c r="D24" s="43"/>
      <c r="E24" s="44"/>
      <c r="F24" s="45">
        <v>3</v>
      </c>
      <c r="G24" s="228"/>
      <c r="H24" s="229"/>
      <c r="I24" s="46">
        <f>C23*F24</f>
        <v>0</v>
      </c>
      <c r="J24" s="44"/>
      <c r="K24" s="47"/>
      <c r="M24" s="29"/>
      <c r="O24" s="8"/>
    </row>
    <row r="25" spans="1:20" ht="18" customHeight="1" x14ac:dyDescent="0.25">
      <c r="A25" s="40"/>
      <c r="B25" s="41" t="s">
        <v>26</v>
      </c>
      <c r="C25" s="98"/>
      <c r="D25" s="99"/>
      <c r="E25" s="44">
        <f>ROUND((SUM(C25+D25)*28%),0)</f>
        <v>0</v>
      </c>
      <c r="F25" s="45">
        <v>12.5</v>
      </c>
      <c r="G25" s="228" t="s">
        <v>115</v>
      </c>
      <c r="H25" s="229"/>
      <c r="I25" s="46">
        <f>C23*((C25+D25+E25)*F25)</f>
        <v>0</v>
      </c>
      <c r="J25" s="44"/>
      <c r="K25" s="47"/>
      <c r="M25" s="29"/>
      <c r="O25" s="8"/>
    </row>
    <row r="26" spans="1:20" ht="18" customHeight="1" x14ac:dyDescent="0.25">
      <c r="A26" s="40"/>
      <c r="B26" s="41" t="s">
        <v>23</v>
      </c>
      <c r="C26" s="42">
        <f>IF(J22&gt;=1,1,0)</f>
        <v>0</v>
      </c>
      <c r="D26" s="43"/>
      <c r="E26" s="44"/>
      <c r="F26" s="45">
        <v>30</v>
      </c>
      <c r="G26" s="228"/>
      <c r="H26" s="229"/>
      <c r="I26" s="46">
        <f>C23*F26</f>
        <v>0</v>
      </c>
      <c r="J26" s="44"/>
      <c r="K26" s="47"/>
      <c r="M26" s="29"/>
      <c r="O26" s="8"/>
    </row>
    <row r="27" spans="1:20" ht="18" customHeight="1" x14ac:dyDescent="0.25">
      <c r="A27" s="40"/>
      <c r="B27" s="48" t="s">
        <v>24</v>
      </c>
      <c r="C27" s="42"/>
      <c r="D27" s="43"/>
      <c r="E27" s="44"/>
      <c r="F27" s="45">
        <v>3</v>
      </c>
      <c r="G27" s="228"/>
      <c r="H27" s="229"/>
      <c r="I27" s="46">
        <f>C23*F27</f>
        <v>0</v>
      </c>
      <c r="J27" s="44"/>
      <c r="K27" s="47"/>
      <c r="M27" s="29"/>
      <c r="O27" s="8"/>
    </row>
    <row r="28" spans="1:20" ht="18" customHeight="1" x14ac:dyDescent="0.25">
      <c r="A28" s="40"/>
      <c r="B28" s="41" t="s">
        <v>27</v>
      </c>
      <c r="C28" s="98"/>
      <c r="D28" s="99"/>
      <c r="E28" s="44">
        <f>ROUND((SUM(C28+D28)*28%),0)</f>
        <v>0</v>
      </c>
      <c r="F28" s="45">
        <v>12.5</v>
      </c>
      <c r="G28" s="228" t="s">
        <v>115</v>
      </c>
      <c r="H28" s="229"/>
      <c r="I28" s="46">
        <f>C23*((C28+D28+E28)*F28)</f>
        <v>0</v>
      </c>
      <c r="J28" s="44"/>
      <c r="K28" s="47"/>
      <c r="M28" s="29"/>
      <c r="O28" s="8"/>
    </row>
    <row r="29" spans="1:20" ht="18" customHeight="1" x14ac:dyDescent="0.25">
      <c r="A29" s="40"/>
      <c r="B29" s="41" t="s">
        <v>25</v>
      </c>
      <c r="C29" s="42"/>
      <c r="D29" s="43"/>
      <c r="E29" s="44"/>
      <c r="F29" s="45">
        <v>42</v>
      </c>
      <c r="G29" s="228"/>
      <c r="H29" s="229"/>
      <c r="I29" s="46">
        <f>C23*F29</f>
        <v>0</v>
      </c>
      <c r="J29" s="44"/>
      <c r="K29" s="47"/>
      <c r="M29" s="29"/>
      <c r="O29" s="8"/>
    </row>
    <row r="30" spans="1:20" ht="18" customHeight="1" x14ac:dyDescent="0.25">
      <c r="A30" s="40"/>
      <c r="B30" s="41" t="s">
        <v>32</v>
      </c>
      <c r="C30" s="42"/>
      <c r="D30" s="43"/>
      <c r="E30" s="44"/>
      <c r="F30" s="45">
        <v>42</v>
      </c>
      <c r="G30" s="228"/>
      <c r="H30" s="229"/>
      <c r="I30" s="46">
        <f>C23*F30</f>
        <v>0</v>
      </c>
      <c r="J30" s="44"/>
      <c r="K30" s="47"/>
      <c r="M30" s="29"/>
      <c r="O30" s="8"/>
    </row>
    <row r="31" spans="1:20" ht="18" customHeight="1" x14ac:dyDescent="0.25">
      <c r="A31" s="40"/>
      <c r="B31" s="41" t="s">
        <v>163</v>
      </c>
      <c r="C31" s="42"/>
      <c r="D31" s="43"/>
      <c r="E31" s="44"/>
      <c r="F31" s="45">
        <v>50</v>
      </c>
      <c r="G31" s="228"/>
      <c r="H31" s="229"/>
      <c r="I31" s="46">
        <f>C23*F31</f>
        <v>0</v>
      </c>
      <c r="J31" s="44"/>
      <c r="K31" s="47"/>
      <c r="M31" s="29"/>
      <c r="O31" s="8"/>
    </row>
    <row r="32" spans="1:20" ht="18" customHeight="1" x14ac:dyDescent="0.25">
      <c r="A32" s="40"/>
      <c r="B32" s="41" t="s">
        <v>29</v>
      </c>
      <c r="C32" s="42">
        <f>IF(J22&gt;=1,1,0)</f>
        <v>0</v>
      </c>
      <c r="D32" s="43"/>
      <c r="E32" s="44"/>
      <c r="F32" s="45">
        <v>12.5</v>
      </c>
      <c r="G32" s="228"/>
      <c r="H32" s="229"/>
      <c r="I32" s="46">
        <f>C23*F32</f>
        <v>0</v>
      </c>
      <c r="J32" s="44"/>
      <c r="K32" s="47"/>
      <c r="M32" s="29"/>
      <c r="O32" s="8"/>
    </row>
    <row r="33" spans="1:15" ht="18" customHeight="1" x14ac:dyDescent="0.25">
      <c r="A33" s="40"/>
      <c r="B33" s="41" t="s">
        <v>113</v>
      </c>
      <c r="C33" s="42"/>
      <c r="D33" s="43"/>
      <c r="E33" s="44"/>
      <c r="F33" s="45">
        <v>12.5</v>
      </c>
      <c r="G33" s="126"/>
      <c r="H33" s="126"/>
      <c r="I33" s="46">
        <f>C23*F33</f>
        <v>0</v>
      </c>
      <c r="J33" s="44"/>
      <c r="K33" s="47"/>
      <c r="M33" s="29"/>
      <c r="O33" s="8"/>
    </row>
    <row r="34" spans="1:15" ht="18" customHeight="1" x14ac:dyDescent="0.25">
      <c r="A34" s="40"/>
      <c r="B34" s="41" t="s">
        <v>28</v>
      </c>
      <c r="C34" s="98"/>
      <c r="D34" s="99"/>
      <c r="E34" s="44">
        <f>ROUND((SUM(C34+D34)*28%),0)</f>
        <v>0</v>
      </c>
      <c r="F34" s="45">
        <v>7.5</v>
      </c>
      <c r="G34" s="228" t="s">
        <v>115</v>
      </c>
      <c r="H34" s="229"/>
      <c r="I34" s="46">
        <f>C23*((C34+D34+E34)*F34)</f>
        <v>0</v>
      </c>
      <c r="J34" s="44"/>
      <c r="K34" s="47"/>
      <c r="M34" s="29"/>
      <c r="O34" s="8"/>
    </row>
    <row r="35" spans="1:15" ht="18" customHeight="1" x14ac:dyDescent="0.25">
      <c r="A35" s="40"/>
      <c r="B35" s="41" t="s">
        <v>30</v>
      </c>
      <c r="C35" s="42"/>
      <c r="D35" s="43"/>
      <c r="E35" s="44"/>
      <c r="F35" s="45">
        <v>12.5</v>
      </c>
      <c r="G35" s="228"/>
      <c r="H35" s="229"/>
      <c r="I35" s="46">
        <f>C23*F35</f>
        <v>0</v>
      </c>
      <c r="J35" s="44"/>
      <c r="K35" s="47"/>
      <c r="M35" s="29"/>
      <c r="O35" s="8"/>
    </row>
    <row r="36" spans="1:15" ht="18" customHeight="1" x14ac:dyDescent="0.25">
      <c r="A36" s="40"/>
      <c r="B36" s="41" t="s">
        <v>121</v>
      </c>
      <c r="C36" s="42"/>
      <c r="D36" s="43"/>
      <c r="E36" s="44"/>
      <c r="F36" s="45">
        <v>25</v>
      </c>
      <c r="G36" s="228"/>
      <c r="H36" s="229"/>
      <c r="I36" s="46">
        <f>C23*F36</f>
        <v>0</v>
      </c>
      <c r="J36" s="44"/>
      <c r="K36" s="47"/>
      <c r="M36" s="29"/>
      <c r="O36" s="8"/>
    </row>
    <row r="37" spans="1:15" ht="18" customHeight="1" x14ac:dyDescent="0.25">
      <c r="A37" s="40"/>
      <c r="B37" s="48" t="s">
        <v>120</v>
      </c>
      <c r="C37" s="42"/>
      <c r="D37" s="43"/>
      <c r="E37" s="44"/>
      <c r="F37" s="45">
        <v>15</v>
      </c>
      <c r="G37" s="228" t="s">
        <v>156</v>
      </c>
      <c r="H37" s="229"/>
      <c r="I37" s="46">
        <f>C23*(F37*2)</f>
        <v>0</v>
      </c>
      <c r="J37" s="44"/>
      <c r="K37" s="47"/>
      <c r="M37" s="29"/>
      <c r="O37" s="8"/>
    </row>
    <row r="38" spans="1:15" ht="18" customHeight="1" x14ac:dyDescent="0.25">
      <c r="A38" s="40"/>
      <c r="B38" s="48" t="s">
        <v>117</v>
      </c>
      <c r="C38" s="42"/>
      <c r="D38" s="43"/>
      <c r="E38" s="44"/>
      <c r="F38" s="45">
        <v>12.5</v>
      </c>
      <c r="G38" s="228" t="s">
        <v>155</v>
      </c>
      <c r="H38" s="229"/>
      <c r="I38" s="46">
        <f>C23*F38</f>
        <v>0</v>
      </c>
      <c r="J38" s="44"/>
      <c r="K38" s="47"/>
      <c r="M38" s="29"/>
      <c r="O38" s="8"/>
    </row>
    <row r="39" spans="1:15" ht="18" customHeight="1" x14ac:dyDescent="0.25">
      <c r="A39" s="243" t="s">
        <v>35</v>
      </c>
      <c r="B39" s="244"/>
      <c r="C39" s="34">
        <f>SUM(C40:C56)</f>
        <v>0</v>
      </c>
      <c r="D39" s="35">
        <f>SUM(D40:D56)</f>
        <v>0</v>
      </c>
      <c r="E39" s="34">
        <f>SUM(E40:E56)</f>
        <v>0</v>
      </c>
      <c r="F39" s="36"/>
      <c r="G39" s="127"/>
      <c r="H39" s="127"/>
      <c r="I39" s="37">
        <f>SUM(I40:I56)</f>
        <v>0</v>
      </c>
      <c r="J39" s="38">
        <f>K12</f>
        <v>0</v>
      </c>
      <c r="K39" s="39">
        <f>I39*J39</f>
        <v>0</v>
      </c>
      <c r="M39" s="29"/>
      <c r="O39" s="8"/>
    </row>
    <row r="40" spans="1:15" ht="18" customHeight="1" x14ac:dyDescent="0.25">
      <c r="A40" s="40"/>
      <c r="B40" s="41" t="s">
        <v>21</v>
      </c>
      <c r="C40" s="42">
        <f>IF(J39&gt;=1,1,0)</f>
        <v>0</v>
      </c>
      <c r="D40" s="43"/>
      <c r="E40" s="44"/>
      <c r="F40" s="45">
        <v>30</v>
      </c>
      <c r="G40" s="228"/>
      <c r="H40" s="229"/>
      <c r="I40" s="46">
        <f>C40*F40</f>
        <v>0</v>
      </c>
      <c r="J40" s="44"/>
      <c r="K40" s="47"/>
      <c r="M40" s="29"/>
      <c r="O40" s="8"/>
    </row>
    <row r="41" spans="1:15" ht="18" customHeight="1" x14ac:dyDescent="0.25">
      <c r="A41" s="40"/>
      <c r="B41" s="48" t="s">
        <v>22</v>
      </c>
      <c r="C41" s="42"/>
      <c r="D41" s="43"/>
      <c r="E41" s="44"/>
      <c r="F41" s="45">
        <v>3</v>
      </c>
      <c r="G41" s="228"/>
      <c r="H41" s="229"/>
      <c r="I41" s="46">
        <f>C40*F41</f>
        <v>0</v>
      </c>
      <c r="J41" s="44"/>
      <c r="K41" s="47"/>
      <c r="M41" s="29"/>
      <c r="O41" s="8"/>
    </row>
    <row r="42" spans="1:15" ht="18" customHeight="1" x14ac:dyDescent="0.25">
      <c r="A42" s="40"/>
      <c r="B42" s="41" t="s">
        <v>26</v>
      </c>
      <c r="C42" s="98"/>
      <c r="D42" s="99"/>
      <c r="E42" s="44">
        <f>ROUND((SUM(C42+D42)*28%),0)</f>
        <v>0</v>
      </c>
      <c r="F42" s="45">
        <v>12.5</v>
      </c>
      <c r="G42" s="228" t="s">
        <v>115</v>
      </c>
      <c r="H42" s="229"/>
      <c r="I42" s="46">
        <f>C40*((C42+D42+E42)*F42)</f>
        <v>0</v>
      </c>
      <c r="J42" s="44"/>
      <c r="K42" s="47"/>
      <c r="M42" s="29"/>
      <c r="O42" s="8"/>
    </row>
    <row r="43" spans="1:15" ht="18" customHeight="1" x14ac:dyDescent="0.25">
      <c r="A43" s="40"/>
      <c r="B43" s="41" t="s">
        <v>23</v>
      </c>
      <c r="C43" s="42" t="str">
        <f>IF(J39&gt;=1,1,"")</f>
        <v/>
      </c>
      <c r="D43" s="43"/>
      <c r="E43" s="44"/>
      <c r="F43" s="45">
        <v>30</v>
      </c>
      <c r="G43" s="228"/>
      <c r="H43" s="229"/>
      <c r="I43" s="46">
        <f>C40*F43</f>
        <v>0</v>
      </c>
      <c r="J43" s="44"/>
      <c r="K43" s="47"/>
      <c r="M43" s="29"/>
      <c r="O43" s="8"/>
    </row>
    <row r="44" spans="1:15" ht="18" customHeight="1" x14ac:dyDescent="0.25">
      <c r="A44" s="40"/>
      <c r="B44" s="48" t="s">
        <v>24</v>
      </c>
      <c r="C44" s="42"/>
      <c r="D44" s="43"/>
      <c r="E44" s="44"/>
      <c r="F44" s="45">
        <v>3</v>
      </c>
      <c r="G44" s="228"/>
      <c r="H44" s="229"/>
      <c r="I44" s="46">
        <f>C40*F44</f>
        <v>0</v>
      </c>
      <c r="J44" s="44"/>
      <c r="K44" s="47"/>
      <c r="M44" s="29"/>
      <c r="O44" s="8"/>
    </row>
    <row r="45" spans="1:15" ht="18" customHeight="1" x14ac:dyDescent="0.25">
      <c r="A45" s="40"/>
      <c r="B45" s="41" t="s">
        <v>27</v>
      </c>
      <c r="C45" s="98"/>
      <c r="D45" s="99"/>
      <c r="E45" s="44">
        <f>ROUND((SUM(C45+D45)*28%),0)</f>
        <v>0</v>
      </c>
      <c r="F45" s="45">
        <v>12.5</v>
      </c>
      <c r="G45" s="228" t="s">
        <v>115</v>
      </c>
      <c r="H45" s="229"/>
      <c r="I45" s="46">
        <f>C40*((C45+D45+E45)*F45)</f>
        <v>0</v>
      </c>
      <c r="J45" s="44"/>
      <c r="K45" s="47"/>
      <c r="M45" s="29"/>
      <c r="O45" s="8"/>
    </row>
    <row r="46" spans="1:15" ht="18" customHeight="1" x14ac:dyDescent="0.25">
      <c r="A46" s="40"/>
      <c r="B46" s="41" t="s">
        <v>25</v>
      </c>
      <c r="C46" s="42"/>
      <c r="D46" s="43"/>
      <c r="E46" s="44"/>
      <c r="F46" s="45">
        <v>42</v>
      </c>
      <c r="G46" s="228"/>
      <c r="H46" s="229"/>
      <c r="I46" s="46">
        <f>C40*F46</f>
        <v>0</v>
      </c>
      <c r="J46" s="44"/>
      <c r="K46" s="47"/>
      <c r="M46" s="29"/>
      <c r="O46" s="8"/>
    </row>
    <row r="47" spans="1:15" ht="18" customHeight="1" x14ac:dyDescent="0.25">
      <c r="A47" s="40"/>
      <c r="B47" s="41" t="s">
        <v>32</v>
      </c>
      <c r="C47" s="42"/>
      <c r="D47" s="43"/>
      <c r="E47" s="44"/>
      <c r="F47" s="45">
        <v>42</v>
      </c>
      <c r="G47" s="228"/>
      <c r="H47" s="229"/>
      <c r="I47" s="46">
        <f>C40*F47</f>
        <v>0</v>
      </c>
      <c r="J47" s="44"/>
      <c r="K47" s="47"/>
      <c r="M47" s="29"/>
      <c r="O47" s="8"/>
    </row>
    <row r="48" spans="1:15" ht="18" customHeight="1" x14ac:dyDescent="0.25">
      <c r="A48" s="40"/>
      <c r="B48" s="41" t="s">
        <v>163</v>
      </c>
      <c r="C48" s="42"/>
      <c r="D48" s="43"/>
      <c r="E48" s="44"/>
      <c r="F48" s="45">
        <v>25</v>
      </c>
      <c r="G48" s="228"/>
      <c r="H48" s="229"/>
      <c r="I48" s="46">
        <f>C40*F48</f>
        <v>0</v>
      </c>
      <c r="J48" s="44"/>
      <c r="K48" s="47"/>
      <c r="M48" s="29"/>
      <c r="O48" s="8"/>
    </row>
    <row r="49" spans="1:15" ht="18" customHeight="1" x14ac:dyDescent="0.25">
      <c r="A49" s="40"/>
      <c r="B49" s="41" t="s">
        <v>39</v>
      </c>
      <c r="C49" s="42"/>
      <c r="D49" s="43"/>
      <c r="E49" s="44"/>
      <c r="F49" s="45">
        <v>12.5</v>
      </c>
      <c r="G49" s="228"/>
      <c r="H49" s="229"/>
      <c r="I49" s="46">
        <f>C40*(F49*2)</f>
        <v>0</v>
      </c>
      <c r="J49" s="44"/>
      <c r="K49" s="47"/>
      <c r="M49" s="29"/>
      <c r="O49" s="8"/>
    </row>
    <row r="50" spans="1:15" ht="18" customHeight="1" x14ac:dyDescent="0.25">
      <c r="A50" s="40"/>
      <c r="B50" s="41" t="s">
        <v>29</v>
      </c>
      <c r="C50" s="42">
        <f>IF(J39&gt;=1,1,0)</f>
        <v>0</v>
      </c>
      <c r="D50" s="43"/>
      <c r="E50" s="44"/>
      <c r="F50" s="45">
        <v>12.5</v>
      </c>
      <c r="G50" s="228"/>
      <c r="H50" s="229"/>
      <c r="I50" s="46">
        <f>C40*F50</f>
        <v>0</v>
      </c>
      <c r="J50" s="44"/>
      <c r="K50" s="47"/>
      <c r="M50" s="29"/>
      <c r="O50" s="8"/>
    </row>
    <row r="51" spans="1:15" ht="18" customHeight="1" x14ac:dyDescent="0.25">
      <c r="A51" s="40"/>
      <c r="B51" s="41" t="s">
        <v>113</v>
      </c>
      <c r="C51" s="42"/>
      <c r="D51" s="43"/>
      <c r="E51" s="44"/>
      <c r="F51" s="45">
        <v>12.5</v>
      </c>
      <c r="G51" s="228"/>
      <c r="H51" s="229"/>
      <c r="I51" s="46">
        <f>C40*F51</f>
        <v>0</v>
      </c>
      <c r="J51" s="44"/>
      <c r="K51" s="47"/>
      <c r="M51" s="29"/>
      <c r="O51" s="8"/>
    </row>
    <row r="52" spans="1:15" ht="18" customHeight="1" x14ac:dyDescent="0.25">
      <c r="A52" s="40"/>
      <c r="B52" s="41" t="s">
        <v>28</v>
      </c>
      <c r="C52" s="98"/>
      <c r="D52" s="99"/>
      <c r="E52" s="44">
        <f>ROUND((SUM(C52+D52)*28%),0)</f>
        <v>0</v>
      </c>
      <c r="F52" s="45">
        <v>7.5</v>
      </c>
      <c r="G52" s="228" t="s">
        <v>115</v>
      </c>
      <c r="H52" s="229"/>
      <c r="I52" s="46">
        <f>C40*((C52+D52+E52)*F52)</f>
        <v>0</v>
      </c>
      <c r="J52" s="44"/>
      <c r="K52" s="47"/>
      <c r="M52" s="29"/>
      <c r="O52" s="8"/>
    </row>
    <row r="53" spans="1:15" ht="18" customHeight="1" x14ac:dyDescent="0.25">
      <c r="A53" s="40"/>
      <c r="B53" s="41" t="s">
        <v>30</v>
      </c>
      <c r="C53" s="42"/>
      <c r="D53" s="43"/>
      <c r="E53" s="44"/>
      <c r="F53" s="45">
        <v>12.5</v>
      </c>
      <c r="G53" s="228"/>
      <c r="H53" s="229"/>
      <c r="I53" s="46">
        <f>C40*F53</f>
        <v>0</v>
      </c>
      <c r="J53" s="44"/>
      <c r="K53" s="47"/>
      <c r="M53" s="29"/>
      <c r="O53" s="8"/>
    </row>
    <row r="54" spans="1:15" ht="18" customHeight="1" x14ac:dyDescent="0.25">
      <c r="A54" s="40"/>
      <c r="B54" s="41" t="s">
        <v>121</v>
      </c>
      <c r="C54" s="42"/>
      <c r="D54" s="43"/>
      <c r="E54" s="44"/>
      <c r="F54" s="45">
        <v>25</v>
      </c>
      <c r="G54" s="228"/>
      <c r="H54" s="229"/>
      <c r="I54" s="46">
        <f>C40*F54</f>
        <v>0</v>
      </c>
      <c r="J54" s="44"/>
      <c r="K54" s="47"/>
      <c r="M54" s="29"/>
      <c r="O54" s="8"/>
    </row>
    <row r="55" spans="1:15" ht="18" customHeight="1" x14ac:dyDescent="0.25">
      <c r="A55" s="40"/>
      <c r="B55" s="48" t="s">
        <v>120</v>
      </c>
      <c r="C55" s="42"/>
      <c r="D55" s="43"/>
      <c r="E55" s="44"/>
      <c r="F55" s="45">
        <v>15</v>
      </c>
      <c r="G55" s="228" t="s">
        <v>156</v>
      </c>
      <c r="H55" s="229"/>
      <c r="I55" s="46">
        <f>C40*(F55*2)</f>
        <v>0</v>
      </c>
      <c r="J55" s="44"/>
      <c r="K55" s="47"/>
      <c r="M55" s="29"/>
      <c r="O55" s="8"/>
    </row>
    <row r="56" spans="1:15" ht="18" customHeight="1" x14ac:dyDescent="0.25">
      <c r="A56" s="40"/>
      <c r="B56" s="48" t="s">
        <v>117</v>
      </c>
      <c r="C56" s="42"/>
      <c r="D56" s="43"/>
      <c r="E56" s="44"/>
      <c r="F56" s="45">
        <v>12.5</v>
      </c>
      <c r="G56" s="228" t="s">
        <v>155</v>
      </c>
      <c r="H56" s="229"/>
      <c r="I56" s="46">
        <f>C40*F56</f>
        <v>0</v>
      </c>
      <c r="J56" s="44"/>
      <c r="K56" s="47"/>
      <c r="M56" s="29"/>
      <c r="O56" s="8"/>
    </row>
    <row r="57" spans="1:15" ht="18" customHeight="1" x14ac:dyDescent="0.25">
      <c r="A57" s="243" t="s">
        <v>3</v>
      </c>
      <c r="B57" s="244"/>
      <c r="C57" s="34">
        <f>SUM(C58:C60)</f>
        <v>0</v>
      </c>
      <c r="D57" s="35">
        <f>SUM(D58:D60)</f>
        <v>0</v>
      </c>
      <c r="E57" s="34">
        <f>SUM(E58:E60)</f>
        <v>0</v>
      </c>
      <c r="F57" s="36"/>
      <c r="G57" s="127"/>
      <c r="H57" s="127"/>
      <c r="I57" s="37">
        <f>SUM(I58:I60)</f>
        <v>0</v>
      </c>
      <c r="J57" s="38">
        <f>IF(K9=1,1,0)</f>
        <v>0</v>
      </c>
      <c r="K57" s="39">
        <f>IF(J57=1,(I57*J57),0)</f>
        <v>0</v>
      </c>
      <c r="M57" s="29"/>
      <c r="O57" s="8"/>
    </row>
    <row r="58" spans="1:15" s="61" customFormat="1" ht="18" customHeight="1" x14ac:dyDescent="0.25">
      <c r="A58" s="40"/>
      <c r="B58" s="41" t="s">
        <v>135</v>
      </c>
      <c r="C58" s="42">
        <f>IF(J57=1,1,0)</f>
        <v>0</v>
      </c>
      <c r="D58" s="43"/>
      <c r="E58" s="44"/>
      <c r="F58" s="45">
        <v>12.5</v>
      </c>
      <c r="G58" s="228"/>
      <c r="H58" s="229"/>
      <c r="I58" s="46">
        <f>IF(J57=1,(C58*F58),0)</f>
        <v>0</v>
      </c>
      <c r="J58" s="44"/>
      <c r="K58" s="47"/>
      <c r="L58" s="8"/>
      <c r="M58" s="29"/>
      <c r="N58" s="8"/>
      <c r="O58" s="8"/>
    </row>
    <row r="59" spans="1:15" ht="18" customHeight="1" x14ac:dyDescent="0.25">
      <c r="A59" s="49"/>
      <c r="B59" s="41" t="s">
        <v>113</v>
      </c>
      <c r="C59" s="42"/>
      <c r="D59" s="50"/>
      <c r="E59" s="44"/>
      <c r="F59" s="45">
        <v>12.5</v>
      </c>
      <c r="G59" s="228"/>
      <c r="H59" s="229"/>
      <c r="I59" s="46">
        <f>IF(J57=1,C58*F59,0)</f>
        <v>0</v>
      </c>
      <c r="J59" s="44"/>
      <c r="K59" s="51"/>
      <c r="M59" s="29"/>
      <c r="O59" s="8"/>
    </row>
    <row r="60" spans="1:15" ht="18" customHeight="1" x14ac:dyDescent="0.25">
      <c r="A60" s="40"/>
      <c r="B60" s="41" t="s">
        <v>143</v>
      </c>
      <c r="C60" s="98"/>
      <c r="D60" s="99"/>
      <c r="E60" s="44">
        <f>ROUND((SUM(C60+D60)*28%),0)</f>
        <v>0</v>
      </c>
      <c r="F60" s="45">
        <v>7.5</v>
      </c>
      <c r="G60" s="228" t="s">
        <v>115</v>
      </c>
      <c r="H60" s="229"/>
      <c r="I60" s="46">
        <f>IF(J57=1,(C60+D60+E60)*F60,0)</f>
        <v>0</v>
      </c>
      <c r="J60" s="44"/>
      <c r="K60" s="47"/>
      <c r="M60" s="29"/>
      <c r="O60" s="8"/>
    </row>
    <row r="61" spans="1:15" ht="18" customHeight="1" x14ac:dyDescent="0.25">
      <c r="A61" s="243" t="s">
        <v>6</v>
      </c>
      <c r="B61" s="244"/>
      <c r="C61" s="34">
        <f>SUM(C62:C69)</f>
        <v>0</v>
      </c>
      <c r="D61" s="35">
        <f>SUM(D62:D69)</f>
        <v>0</v>
      </c>
      <c r="E61" s="34">
        <f>SUM(E62:E69)</f>
        <v>0</v>
      </c>
      <c r="F61" s="36"/>
      <c r="G61" s="127"/>
      <c r="H61" s="127"/>
      <c r="I61" s="37">
        <f>SUM(I63:I69)</f>
        <v>0</v>
      </c>
      <c r="J61" s="38">
        <f>IF(OR(J22&gt;=1,J39&gt;=1),1,0)</f>
        <v>0</v>
      </c>
      <c r="K61" s="39">
        <f>I61*J61</f>
        <v>0</v>
      </c>
      <c r="M61" s="29"/>
      <c r="O61" s="8"/>
    </row>
    <row r="62" spans="1:15" ht="18" customHeight="1" x14ac:dyDescent="0.25">
      <c r="A62" s="40"/>
      <c r="B62" s="41" t="s">
        <v>17</v>
      </c>
      <c r="C62" s="98"/>
      <c r="D62" s="99"/>
      <c r="E62" s="44">
        <f>ROUND((SUM(C62+D62)*28%),0)</f>
        <v>0</v>
      </c>
      <c r="F62" s="45">
        <v>7.5</v>
      </c>
      <c r="G62" s="228" t="s">
        <v>211</v>
      </c>
      <c r="H62" s="229"/>
      <c r="I62" s="46">
        <f>IF(AND(K11&lt;1,K12&lt;1),0,IF(SUM(K11:K12)&lt;11,F62*SUM(K9:K11),75))</f>
        <v>0</v>
      </c>
      <c r="J62" s="44"/>
      <c r="K62" s="52"/>
      <c r="M62" s="29"/>
      <c r="O62" s="8"/>
    </row>
    <row r="63" spans="1:15" ht="18" customHeight="1" x14ac:dyDescent="0.25">
      <c r="A63" s="40"/>
      <c r="B63" s="41" t="s">
        <v>16</v>
      </c>
      <c r="C63" s="42"/>
      <c r="D63" s="43"/>
      <c r="E63" s="123"/>
      <c r="F63" s="45">
        <v>25</v>
      </c>
      <c r="G63" s="228" t="s">
        <v>207</v>
      </c>
      <c r="H63" s="229"/>
      <c r="I63" s="46">
        <f>IF(AND(K11&lt;1,K12&lt;1),0,IF(AND(K11&lt;3,K12&lt;3),F63,IF(AND(K11&lt;5,K12&lt;5),F63*2,F63*3)))</f>
        <v>0</v>
      </c>
      <c r="J63" s="44"/>
      <c r="K63" s="52"/>
      <c r="M63" s="29"/>
      <c r="O63" s="8"/>
    </row>
    <row r="64" spans="1:15" ht="18" customHeight="1" x14ac:dyDescent="0.25">
      <c r="A64" s="40"/>
      <c r="B64" s="41" t="s">
        <v>15</v>
      </c>
      <c r="C64" s="42"/>
      <c r="D64" s="44"/>
      <c r="E64" s="44"/>
      <c r="F64" s="45">
        <v>15</v>
      </c>
      <c r="G64" s="228" t="s">
        <v>206</v>
      </c>
      <c r="H64" s="229"/>
      <c r="I64" s="46">
        <f>IF(AND(K11&lt;1,K12&lt;1),0,IF(AND(K11&lt;5,K12&lt;5),F64,F64*2))</f>
        <v>0</v>
      </c>
      <c r="J64" s="44"/>
      <c r="K64" s="52"/>
      <c r="M64" s="29"/>
      <c r="O64" s="8"/>
    </row>
    <row r="65" spans="1:15" ht="18" customHeight="1" x14ac:dyDescent="0.25">
      <c r="A65" s="40"/>
      <c r="B65" s="41" t="s">
        <v>18</v>
      </c>
      <c r="C65" s="42"/>
      <c r="D65" s="43"/>
      <c r="E65" s="44"/>
      <c r="F65" s="45">
        <v>15</v>
      </c>
      <c r="G65" s="228" t="s">
        <v>208</v>
      </c>
      <c r="H65" s="229"/>
      <c r="I65" s="46">
        <f>IF(AND(K11&lt;1,K12&lt;1),0,IF(SUM(K11:K12)&lt;5,F65,F65*2))</f>
        <v>0</v>
      </c>
      <c r="J65" s="44"/>
      <c r="K65" s="52"/>
      <c r="M65" s="29"/>
      <c r="O65" s="8"/>
    </row>
    <row r="66" spans="1:15" ht="18" customHeight="1" x14ac:dyDescent="0.25">
      <c r="A66" s="40"/>
      <c r="B66" s="41" t="s">
        <v>19</v>
      </c>
      <c r="C66" s="42"/>
      <c r="D66" s="43"/>
      <c r="E66" s="44"/>
      <c r="F66" s="45">
        <v>15</v>
      </c>
      <c r="G66" s="228"/>
      <c r="H66" s="229"/>
      <c r="I66" s="46">
        <f>IF(AND(K11&lt;1,K12&lt;1),0,F66)</f>
        <v>0</v>
      </c>
      <c r="J66" s="44"/>
      <c r="K66" s="52"/>
      <c r="M66" s="29"/>
      <c r="O66" s="8"/>
    </row>
    <row r="67" spans="1:15" ht="25.5" x14ac:dyDescent="0.25">
      <c r="A67" s="40"/>
      <c r="B67" s="41" t="s">
        <v>270</v>
      </c>
      <c r="C67" s="42"/>
      <c r="D67" s="43"/>
      <c r="E67" s="44"/>
      <c r="F67" s="45">
        <v>25</v>
      </c>
      <c r="G67" s="228" t="s">
        <v>209</v>
      </c>
      <c r="H67" s="229"/>
      <c r="I67" s="46">
        <f>IF(AND(K11&lt;1,K12&lt;1),0,IF(AND(K11&lt;3,K12&lt;3),F67,IF(AND(K11&lt;5,K12&lt;5),F67*2,F67*3)))</f>
        <v>0</v>
      </c>
      <c r="J67" s="44"/>
      <c r="K67" s="52"/>
      <c r="M67" s="29"/>
      <c r="O67" s="8"/>
    </row>
    <row r="68" spans="1:15" ht="18" customHeight="1" x14ac:dyDescent="0.25">
      <c r="A68" s="40"/>
      <c r="B68" s="41" t="s">
        <v>80</v>
      </c>
      <c r="C68" s="42"/>
      <c r="D68" s="43"/>
      <c r="E68" s="44"/>
      <c r="F68" s="45">
        <v>15</v>
      </c>
      <c r="G68" s="228"/>
      <c r="H68" s="229"/>
      <c r="I68" s="46">
        <f>IF(AND(K11&lt;1,K12&lt;1),0,F68)</f>
        <v>0</v>
      </c>
      <c r="J68" s="44"/>
      <c r="K68" s="52"/>
      <c r="M68" s="29"/>
      <c r="O68" s="8"/>
    </row>
    <row r="69" spans="1:15" ht="18" customHeight="1" x14ac:dyDescent="0.25">
      <c r="A69" s="40"/>
      <c r="B69" s="48" t="s">
        <v>303</v>
      </c>
      <c r="C69" s="42"/>
      <c r="D69" s="43"/>
      <c r="E69" s="44"/>
      <c r="F69" s="45">
        <v>15</v>
      </c>
      <c r="G69" s="228"/>
      <c r="H69" s="229"/>
      <c r="I69" s="46">
        <f>IF(AND(K11&lt;1,K12&lt;1),0,F69)</f>
        <v>0</v>
      </c>
      <c r="J69" s="42"/>
      <c r="K69" s="46"/>
      <c r="M69" s="29"/>
      <c r="O69" s="8"/>
    </row>
    <row r="70" spans="1:15" ht="18" customHeight="1" x14ac:dyDescent="0.25">
      <c r="A70" s="40"/>
      <c r="B70" s="48" t="s">
        <v>302</v>
      </c>
      <c r="C70" s="42"/>
      <c r="D70" s="43"/>
      <c r="E70" s="44"/>
      <c r="F70" s="45">
        <v>15</v>
      </c>
      <c r="G70" s="228" t="s">
        <v>118</v>
      </c>
      <c r="H70" s="229"/>
      <c r="I70" s="46">
        <f>IF(AND(K11&lt;1,K12&lt;1),0,F70*2)</f>
        <v>0</v>
      </c>
      <c r="J70" s="44"/>
      <c r="K70" s="47"/>
      <c r="M70" s="29"/>
      <c r="O70" s="8"/>
    </row>
    <row r="71" spans="1:15" ht="18" customHeight="1" x14ac:dyDescent="0.25">
      <c r="A71" s="40"/>
      <c r="B71" s="48" t="s">
        <v>117</v>
      </c>
      <c r="C71" s="42"/>
      <c r="D71" s="43"/>
      <c r="E71" s="44"/>
      <c r="F71" s="45">
        <v>12.5</v>
      </c>
      <c r="G71" s="228" t="s">
        <v>155</v>
      </c>
      <c r="H71" s="229"/>
      <c r="I71" s="46">
        <f>IF(AND(K11&lt;1,K12&lt;1),0,F71)</f>
        <v>0</v>
      </c>
      <c r="J71" s="44"/>
      <c r="K71" s="47"/>
      <c r="M71" s="29"/>
      <c r="O71" s="8"/>
    </row>
    <row r="72" spans="1:15" ht="18" customHeight="1" x14ac:dyDescent="0.25">
      <c r="A72" s="243" t="s">
        <v>36</v>
      </c>
      <c r="B72" s="244"/>
      <c r="C72" s="34">
        <f>SUM(C73:C89)</f>
        <v>0</v>
      </c>
      <c r="D72" s="35">
        <f>SUM(D73:D89)</f>
        <v>0</v>
      </c>
      <c r="E72" s="34">
        <f>SUM(E73:E89)</f>
        <v>0</v>
      </c>
      <c r="F72" s="36"/>
      <c r="G72" s="127"/>
      <c r="H72" s="127"/>
      <c r="I72" s="37">
        <f>SUM(I73:I89)</f>
        <v>0</v>
      </c>
      <c r="J72" s="38">
        <f>K13</f>
        <v>0</v>
      </c>
      <c r="K72" s="39">
        <f>I72*J72</f>
        <v>0</v>
      </c>
      <c r="M72" s="29"/>
      <c r="O72" s="8"/>
    </row>
    <row r="73" spans="1:15" ht="18" customHeight="1" x14ac:dyDescent="0.25">
      <c r="A73" s="40"/>
      <c r="B73" s="41" t="s">
        <v>21</v>
      </c>
      <c r="C73" s="42">
        <f>IF(J72&gt;=1,1,0)</f>
        <v>0</v>
      </c>
      <c r="D73" s="43"/>
      <c r="E73" s="44"/>
      <c r="F73" s="45">
        <v>30</v>
      </c>
      <c r="G73" s="228"/>
      <c r="H73" s="229"/>
      <c r="I73" s="46">
        <f>C73*F73</f>
        <v>0</v>
      </c>
      <c r="J73" s="44"/>
      <c r="K73" s="47"/>
      <c r="M73" s="29"/>
      <c r="O73" s="8"/>
    </row>
    <row r="74" spans="1:15" ht="18" customHeight="1" x14ac:dyDescent="0.25">
      <c r="A74" s="40"/>
      <c r="B74" s="48" t="s">
        <v>22</v>
      </c>
      <c r="C74" s="42"/>
      <c r="D74" s="43"/>
      <c r="E74" s="44"/>
      <c r="F74" s="45">
        <v>3</v>
      </c>
      <c r="G74" s="228"/>
      <c r="H74" s="229"/>
      <c r="I74" s="46">
        <f>C73*F74</f>
        <v>0</v>
      </c>
      <c r="J74" s="44"/>
      <c r="K74" s="47"/>
      <c r="M74" s="29"/>
      <c r="O74" s="8"/>
    </row>
    <row r="75" spans="1:15" ht="18" customHeight="1" x14ac:dyDescent="0.25">
      <c r="A75" s="40"/>
      <c r="B75" s="41" t="s">
        <v>26</v>
      </c>
      <c r="C75" s="98"/>
      <c r="D75" s="99"/>
      <c r="E75" s="44">
        <f>ROUND((SUM(C75+D75)*28%),0)</f>
        <v>0</v>
      </c>
      <c r="F75" s="45">
        <v>12.5</v>
      </c>
      <c r="G75" s="228" t="s">
        <v>115</v>
      </c>
      <c r="H75" s="229"/>
      <c r="I75" s="46">
        <f>C73*((C75+D75+E75)*F75)</f>
        <v>0</v>
      </c>
      <c r="J75" s="44"/>
      <c r="K75" s="47"/>
      <c r="M75" s="29"/>
      <c r="O75" s="8"/>
    </row>
    <row r="76" spans="1:15" ht="18" customHeight="1" x14ac:dyDescent="0.25">
      <c r="A76" s="40"/>
      <c r="B76" s="41" t="s">
        <v>23</v>
      </c>
      <c r="C76" s="42">
        <f>IF(J72&gt;=1,1,0)</f>
        <v>0</v>
      </c>
      <c r="D76" s="43"/>
      <c r="E76" s="44"/>
      <c r="F76" s="45">
        <v>30</v>
      </c>
      <c r="G76" s="228"/>
      <c r="H76" s="229"/>
      <c r="I76" s="46">
        <f>C73*F76</f>
        <v>0</v>
      </c>
      <c r="J76" s="44"/>
      <c r="K76" s="47"/>
      <c r="M76" s="29"/>
      <c r="O76" s="8"/>
    </row>
    <row r="77" spans="1:15" ht="18" customHeight="1" x14ac:dyDescent="0.25">
      <c r="A77" s="40"/>
      <c r="B77" s="48" t="s">
        <v>24</v>
      </c>
      <c r="C77" s="42"/>
      <c r="D77" s="43"/>
      <c r="E77" s="44"/>
      <c r="F77" s="45">
        <v>3</v>
      </c>
      <c r="G77" s="228"/>
      <c r="H77" s="229"/>
      <c r="I77" s="46">
        <f>C73*F77</f>
        <v>0</v>
      </c>
      <c r="J77" s="44"/>
      <c r="K77" s="47"/>
      <c r="M77" s="29"/>
      <c r="O77" s="8"/>
    </row>
    <row r="78" spans="1:15" ht="18" customHeight="1" x14ac:dyDescent="0.25">
      <c r="A78" s="40"/>
      <c r="B78" s="41" t="s">
        <v>27</v>
      </c>
      <c r="C78" s="98"/>
      <c r="D78" s="99"/>
      <c r="E78" s="44">
        <f>ROUND((SUM(C78+D78)*28%),0)</f>
        <v>0</v>
      </c>
      <c r="F78" s="45">
        <v>12.5</v>
      </c>
      <c r="G78" s="228" t="s">
        <v>115</v>
      </c>
      <c r="H78" s="229"/>
      <c r="I78" s="46">
        <f>C73*((C78+D78+E78)*F78)</f>
        <v>0</v>
      </c>
      <c r="J78" s="44"/>
      <c r="K78" s="47"/>
      <c r="M78" s="29"/>
      <c r="O78" s="8"/>
    </row>
    <row r="79" spans="1:15" ht="18" customHeight="1" x14ac:dyDescent="0.25">
      <c r="A79" s="40"/>
      <c r="B79" s="41" t="s">
        <v>25</v>
      </c>
      <c r="C79" s="42"/>
      <c r="D79" s="43"/>
      <c r="E79" s="44"/>
      <c r="F79" s="45">
        <v>42</v>
      </c>
      <c r="G79" s="228"/>
      <c r="H79" s="229"/>
      <c r="I79" s="46">
        <f>C73*F79</f>
        <v>0</v>
      </c>
      <c r="J79" s="44"/>
      <c r="K79" s="47"/>
      <c r="M79" s="29"/>
      <c r="O79" s="8"/>
    </row>
    <row r="80" spans="1:15" ht="18" customHeight="1" x14ac:dyDescent="0.25">
      <c r="A80" s="40"/>
      <c r="B80" s="41" t="s">
        <v>33</v>
      </c>
      <c r="C80" s="42"/>
      <c r="D80" s="43"/>
      <c r="E80" s="44"/>
      <c r="F80" s="45">
        <v>42</v>
      </c>
      <c r="G80" s="228"/>
      <c r="H80" s="229"/>
      <c r="I80" s="46">
        <f>C73*F80</f>
        <v>0</v>
      </c>
      <c r="J80" s="44"/>
      <c r="K80" s="47"/>
      <c r="M80" s="29"/>
      <c r="O80" s="8"/>
    </row>
    <row r="81" spans="1:15" ht="18" customHeight="1" x14ac:dyDescent="0.25">
      <c r="A81" s="40"/>
      <c r="B81" s="41" t="s">
        <v>163</v>
      </c>
      <c r="C81" s="42"/>
      <c r="D81" s="43"/>
      <c r="E81" s="44"/>
      <c r="F81" s="45">
        <v>25</v>
      </c>
      <c r="G81" s="228"/>
      <c r="H81" s="229"/>
      <c r="I81" s="46">
        <f>C73*F81</f>
        <v>0</v>
      </c>
      <c r="J81" s="44"/>
      <c r="K81" s="47"/>
      <c r="M81" s="29"/>
      <c r="O81" s="8"/>
    </row>
    <row r="82" spans="1:15" ht="18" customHeight="1" x14ac:dyDescent="0.25">
      <c r="A82" s="40"/>
      <c r="B82" s="41" t="s">
        <v>39</v>
      </c>
      <c r="C82" s="42"/>
      <c r="D82" s="43"/>
      <c r="E82" s="44"/>
      <c r="F82" s="45">
        <v>12.5</v>
      </c>
      <c r="G82" s="228" t="s">
        <v>221</v>
      </c>
      <c r="H82" s="229"/>
      <c r="I82" s="46">
        <f>C73*(F82*2)</f>
        <v>0</v>
      </c>
      <c r="J82" s="44"/>
      <c r="K82" s="47"/>
      <c r="M82" s="29"/>
      <c r="O82" s="8"/>
    </row>
    <row r="83" spans="1:15" ht="18" customHeight="1" x14ac:dyDescent="0.25">
      <c r="A83" s="40"/>
      <c r="B83" s="41" t="s">
        <v>29</v>
      </c>
      <c r="C83" s="42">
        <f>IF(J72&gt;=1,1,0)</f>
        <v>0</v>
      </c>
      <c r="D83" s="43"/>
      <c r="E83" s="44"/>
      <c r="F83" s="45">
        <v>12.5</v>
      </c>
      <c r="G83" s="228"/>
      <c r="H83" s="229"/>
      <c r="I83" s="46">
        <f>C73*F83</f>
        <v>0</v>
      </c>
      <c r="J83" s="44"/>
      <c r="K83" s="47"/>
      <c r="M83" s="29"/>
      <c r="O83" s="8"/>
    </row>
    <row r="84" spans="1:15" ht="18" customHeight="1" x14ac:dyDescent="0.25">
      <c r="A84" s="40"/>
      <c r="B84" s="41" t="s">
        <v>113</v>
      </c>
      <c r="C84" s="42"/>
      <c r="D84" s="43"/>
      <c r="E84" s="44"/>
      <c r="F84" s="45">
        <v>12.5</v>
      </c>
      <c r="G84" s="228"/>
      <c r="H84" s="229"/>
      <c r="I84" s="46">
        <f>C73*F84</f>
        <v>0</v>
      </c>
      <c r="J84" s="44"/>
      <c r="K84" s="47"/>
      <c r="M84" s="29"/>
      <c r="O84" s="8"/>
    </row>
    <row r="85" spans="1:15" ht="18" customHeight="1" x14ac:dyDescent="0.25">
      <c r="A85" s="40"/>
      <c r="B85" s="41" t="s">
        <v>28</v>
      </c>
      <c r="C85" s="98"/>
      <c r="D85" s="99"/>
      <c r="E85" s="44">
        <f>ROUND((SUM(C85+D85)*28%),0)</f>
        <v>0</v>
      </c>
      <c r="F85" s="45">
        <v>7.5</v>
      </c>
      <c r="G85" s="228" t="s">
        <v>115</v>
      </c>
      <c r="H85" s="229"/>
      <c r="I85" s="46">
        <f>C73*((C85+D85+E85)*F85)</f>
        <v>0</v>
      </c>
      <c r="J85" s="44"/>
      <c r="K85" s="47"/>
      <c r="M85" s="29"/>
      <c r="O85" s="8"/>
    </row>
    <row r="86" spans="1:15" ht="18" customHeight="1" x14ac:dyDescent="0.25">
      <c r="A86" s="40"/>
      <c r="B86" s="41" t="s">
        <v>30</v>
      </c>
      <c r="C86" s="42"/>
      <c r="D86" s="43"/>
      <c r="E86" s="44"/>
      <c r="F86" s="45">
        <v>12.5</v>
      </c>
      <c r="G86" s="228"/>
      <c r="H86" s="229"/>
      <c r="I86" s="46">
        <f>C73*F86</f>
        <v>0</v>
      </c>
      <c r="J86" s="44"/>
      <c r="K86" s="47"/>
      <c r="M86" s="29"/>
      <c r="O86" s="8"/>
    </row>
    <row r="87" spans="1:15" ht="18" customHeight="1" x14ac:dyDescent="0.25">
      <c r="A87" s="40"/>
      <c r="B87" s="41" t="s">
        <v>81</v>
      </c>
      <c r="C87" s="42"/>
      <c r="D87" s="43"/>
      <c r="E87" s="44"/>
      <c r="F87" s="45">
        <v>25</v>
      </c>
      <c r="G87" s="228"/>
      <c r="H87" s="229"/>
      <c r="I87" s="46">
        <f>C73*F87</f>
        <v>0</v>
      </c>
      <c r="J87" s="44"/>
      <c r="K87" s="47"/>
      <c r="M87" s="29"/>
      <c r="O87" s="8"/>
    </row>
    <row r="88" spans="1:15" ht="18" customHeight="1" x14ac:dyDescent="0.25">
      <c r="A88" s="40"/>
      <c r="B88" s="48" t="s">
        <v>119</v>
      </c>
      <c r="C88" s="54" t="s">
        <v>204</v>
      </c>
      <c r="D88" s="43"/>
      <c r="E88" s="44"/>
      <c r="F88" s="138">
        <v>15</v>
      </c>
      <c r="G88" s="228" t="s">
        <v>156</v>
      </c>
      <c r="H88" s="229"/>
      <c r="I88" s="46">
        <f>C73*(F88*2)</f>
        <v>0</v>
      </c>
      <c r="J88" s="44"/>
      <c r="K88" s="47"/>
      <c r="M88" s="29"/>
      <c r="O88" s="8"/>
    </row>
    <row r="89" spans="1:15" ht="18" customHeight="1" x14ac:dyDescent="0.25">
      <c r="A89" s="40"/>
      <c r="B89" s="48" t="s">
        <v>117</v>
      </c>
      <c r="C89" s="42"/>
      <c r="D89" s="43"/>
      <c r="E89" s="44"/>
      <c r="F89" s="45">
        <v>12.5</v>
      </c>
      <c r="G89" s="228" t="s">
        <v>155</v>
      </c>
      <c r="H89" s="229"/>
      <c r="I89" s="46">
        <f>C73*F89</f>
        <v>0</v>
      </c>
      <c r="J89" s="44"/>
      <c r="K89" s="47"/>
      <c r="M89" s="29"/>
      <c r="O89" s="8"/>
    </row>
    <row r="90" spans="1:15" ht="18" customHeight="1" x14ac:dyDescent="0.25">
      <c r="A90" s="243" t="s">
        <v>37</v>
      </c>
      <c r="B90" s="244"/>
      <c r="C90" s="34">
        <f>SUM(C91:C106)</f>
        <v>0</v>
      </c>
      <c r="D90" s="35">
        <f>SUM(D91:D106)</f>
        <v>0</v>
      </c>
      <c r="E90" s="34">
        <f>SUM(E91:E106)</f>
        <v>0</v>
      </c>
      <c r="F90" s="36"/>
      <c r="G90" s="127"/>
      <c r="H90" s="127"/>
      <c r="I90" s="37">
        <f>SUM(I91:I106)</f>
        <v>0</v>
      </c>
      <c r="J90" s="38">
        <f>K14</f>
        <v>0</v>
      </c>
      <c r="K90" s="39">
        <f>I90*J90</f>
        <v>0</v>
      </c>
      <c r="M90" s="29"/>
      <c r="O90" s="8"/>
    </row>
    <row r="91" spans="1:15" ht="18" customHeight="1" x14ac:dyDescent="0.25">
      <c r="A91" s="40"/>
      <c r="B91" s="41" t="s">
        <v>21</v>
      </c>
      <c r="C91" s="42">
        <f>IF(J90&gt;=1,1,0)</f>
        <v>0</v>
      </c>
      <c r="D91" s="43"/>
      <c r="E91" s="44"/>
      <c r="F91" s="45">
        <v>30</v>
      </c>
      <c r="G91" s="228"/>
      <c r="H91" s="229"/>
      <c r="I91" s="46">
        <f>C91*F91</f>
        <v>0</v>
      </c>
      <c r="J91" s="44"/>
      <c r="K91" s="47"/>
      <c r="M91" s="29"/>
      <c r="O91" s="8"/>
    </row>
    <row r="92" spans="1:15" ht="18" customHeight="1" x14ac:dyDescent="0.25">
      <c r="A92" s="40"/>
      <c r="B92" s="48" t="s">
        <v>22</v>
      </c>
      <c r="C92" s="42"/>
      <c r="D92" s="43"/>
      <c r="E92" s="44"/>
      <c r="F92" s="45">
        <v>3</v>
      </c>
      <c r="G92" s="228"/>
      <c r="H92" s="229"/>
      <c r="I92" s="46">
        <f>C91*F92</f>
        <v>0</v>
      </c>
      <c r="J92" s="44"/>
      <c r="K92" s="47"/>
      <c r="M92" s="29"/>
      <c r="O92" s="8"/>
    </row>
    <row r="93" spans="1:15" ht="18" customHeight="1" x14ac:dyDescent="0.25">
      <c r="A93" s="40"/>
      <c r="B93" s="41" t="s">
        <v>26</v>
      </c>
      <c r="C93" s="98"/>
      <c r="D93" s="99"/>
      <c r="E93" s="44">
        <f>ROUND((SUM(C93+D93)*28%),0)</f>
        <v>0</v>
      </c>
      <c r="F93" s="45">
        <v>12.5</v>
      </c>
      <c r="G93" s="228" t="s">
        <v>115</v>
      </c>
      <c r="H93" s="229"/>
      <c r="I93" s="46">
        <f>C91*((C93+D93+E93)*F93)</f>
        <v>0</v>
      </c>
      <c r="J93" s="44"/>
      <c r="K93" s="47"/>
      <c r="M93" s="29"/>
      <c r="O93" s="8"/>
    </row>
    <row r="94" spans="1:15" ht="18" customHeight="1" x14ac:dyDescent="0.25">
      <c r="A94" s="40"/>
      <c r="B94" s="41" t="s">
        <v>23</v>
      </c>
      <c r="C94" s="42">
        <f>IF(J90&gt;=1,1,0)</f>
        <v>0</v>
      </c>
      <c r="D94" s="43"/>
      <c r="E94" s="44"/>
      <c r="F94" s="45">
        <v>30</v>
      </c>
      <c r="G94" s="228"/>
      <c r="H94" s="229"/>
      <c r="I94" s="46">
        <f>C91*F94</f>
        <v>0</v>
      </c>
      <c r="J94" s="44"/>
      <c r="K94" s="47"/>
      <c r="M94" s="29"/>
      <c r="O94" s="8"/>
    </row>
    <row r="95" spans="1:15" ht="18" customHeight="1" x14ac:dyDescent="0.25">
      <c r="A95" s="40"/>
      <c r="B95" s="48" t="s">
        <v>24</v>
      </c>
      <c r="C95" s="42"/>
      <c r="D95" s="43"/>
      <c r="E95" s="44"/>
      <c r="F95" s="45">
        <v>3</v>
      </c>
      <c r="G95" s="228"/>
      <c r="H95" s="229"/>
      <c r="I95" s="46">
        <f>C91*F95</f>
        <v>0</v>
      </c>
      <c r="J95" s="44"/>
      <c r="K95" s="47"/>
      <c r="M95" s="29"/>
      <c r="O95" s="8"/>
    </row>
    <row r="96" spans="1:15" ht="18" customHeight="1" x14ac:dyDescent="0.25">
      <c r="A96" s="40"/>
      <c r="B96" s="41" t="s">
        <v>27</v>
      </c>
      <c r="C96" s="98"/>
      <c r="D96" s="99"/>
      <c r="E96" s="44">
        <f>ROUND((SUM(C96+D96)*28%),0)</f>
        <v>0</v>
      </c>
      <c r="F96" s="45">
        <v>12.5</v>
      </c>
      <c r="G96" s="228" t="s">
        <v>115</v>
      </c>
      <c r="H96" s="229"/>
      <c r="I96" s="46">
        <f>C91*((C96+D96+E96)*F96)</f>
        <v>0</v>
      </c>
      <c r="J96" s="44"/>
      <c r="K96" s="47"/>
      <c r="M96" s="29"/>
      <c r="O96" s="8"/>
    </row>
    <row r="97" spans="1:15" ht="18" customHeight="1" x14ac:dyDescent="0.25">
      <c r="A97" s="40"/>
      <c r="B97" s="41" t="s">
        <v>25</v>
      </c>
      <c r="C97" s="42"/>
      <c r="D97" s="43"/>
      <c r="E97" s="44"/>
      <c r="F97" s="45">
        <v>42</v>
      </c>
      <c r="G97" s="228"/>
      <c r="H97" s="229"/>
      <c r="I97" s="46">
        <f>C91*F97</f>
        <v>0</v>
      </c>
      <c r="J97" s="44"/>
      <c r="K97" s="47"/>
      <c r="M97" s="29"/>
      <c r="O97" s="8"/>
    </row>
    <row r="98" spans="1:15" ht="18" customHeight="1" x14ac:dyDescent="0.25">
      <c r="A98" s="40"/>
      <c r="B98" s="41" t="s">
        <v>163</v>
      </c>
      <c r="C98" s="42"/>
      <c r="D98" s="43"/>
      <c r="E98" s="44"/>
      <c r="F98" s="45">
        <v>25</v>
      </c>
      <c r="G98" s="228"/>
      <c r="H98" s="229"/>
      <c r="I98" s="46">
        <f>C91*F98</f>
        <v>0</v>
      </c>
      <c r="J98" s="44"/>
      <c r="K98" s="47"/>
      <c r="M98" s="29"/>
      <c r="O98" s="8"/>
    </row>
    <row r="99" spans="1:15" ht="18" customHeight="1" x14ac:dyDescent="0.25">
      <c r="A99" s="40"/>
      <c r="B99" s="41" t="s">
        <v>95</v>
      </c>
      <c r="C99" s="42"/>
      <c r="D99" s="43"/>
      <c r="E99" s="44"/>
      <c r="F99" s="45">
        <v>67</v>
      </c>
      <c r="G99" s="228"/>
      <c r="H99" s="229"/>
      <c r="I99" s="46">
        <f>C91*F99</f>
        <v>0</v>
      </c>
      <c r="J99" s="42"/>
      <c r="K99" s="46"/>
      <c r="M99" s="29"/>
      <c r="O99" s="8"/>
    </row>
    <row r="100" spans="1:15" ht="18" customHeight="1" x14ac:dyDescent="0.25">
      <c r="A100" s="40"/>
      <c r="B100" s="41" t="s">
        <v>29</v>
      </c>
      <c r="C100" s="42">
        <f>IF(J90&gt;=1,1,0)</f>
        <v>0</v>
      </c>
      <c r="D100" s="43"/>
      <c r="E100" s="44"/>
      <c r="F100" s="45">
        <v>12.5</v>
      </c>
      <c r="G100" s="228"/>
      <c r="H100" s="229"/>
      <c r="I100" s="46">
        <f>C91*F100</f>
        <v>0</v>
      </c>
      <c r="J100" s="44"/>
      <c r="K100" s="47"/>
      <c r="M100" s="29"/>
      <c r="O100" s="8"/>
    </row>
    <row r="101" spans="1:15" ht="18" customHeight="1" x14ac:dyDescent="0.25">
      <c r="A101" s="40"/>
      <c r="B101" s="41" t="s">
        <v>113</v>
      </c>
      <c r="C101" s="42"/>
      <c r="D101" s="43"/>
      <c r="E101" s="44"/>
      <c r="F101" s="45">
        <v>12.5</v>
      </c>
      <c r="G101" s="228"/>
      <c r="H101" s="229"/>
      <c r="I101" s="46">
        <f>C91*F101</f>
        <v>0</v>
      </c>
      <c r="J101" s="44"/>
      <c r="K101" s="47"/>
      <c r="M101" s="29"/>
      <c r="O101" s="8"/>
    </row>
    <row r="102" spans="1:15" ht="18" customHeight="1" x14ac:dyDescent="0.25">
      <c r="A102" s="40"/>
      <c r="B102" s="41" t="s">
        <v>28</v>
      </c>
      <c r="C102" s="98"/>
      <c r="D102" s="99"/>
      <c r="E102" s="44">
        <f>ROUND((SUM(C102+D102)*28%),0)</f>
        <v>0</v>
      </c>
      <c r="F102" s="45">
        <v>7.5</v>
      </c>
      <c r="G102" s="228" t="s">
        <v>115</v>
      </c>
      <c r="H102" s="229"/>
      <c r="I102" s="46">
        <f>C91*((C102+D102+E102)*F102)</f>
        <v>0</v>
      </c>
      <c r="J102" s="42"/>
      <c r="K102" s="46"/>
      <c r="M102" s="29"/>
      <c r="O102" s="8"/>
    </row>
    <row r="103" spans="1:15" ht="18" customHeight="1" x14ac:dyDescent="0.25">
      <c r="A103" s="40"/>
      <c r="B103" s="41" t="s">
        <v>30</v>
      </c>
      <c r="C103" s="42"/>
      <c r="D103" s="43"/>
      <c r="E103" s="44"/>
      <c r="F103" s="45">
        <v>12.5</v>
      </c>
      <c r="G103" s="228"/>
      <c r="H103" s="229"/>
      <c r="I103" s="46">
        <f>C91*F103</f>
        <v>0</v>
      </c>
      <c r="J103" s="44"/>
      <c r="K103" s="47"/>
      <c r="M103" s="29"/>
      <c r="O103" s="8"/>
    </row>
    <row r="104" spans="1:15" ht="18" customHeight="1" x14ac:dyDescent="0.25">
      <c r="A104" s="40"/>
      <c r="B104" s="41" t="s">
        <v>81</v>
      </c>
      <c r="C104" s="42"/>
      <c r="D104" s="43"/>
      <c r="E104" s="44"/>
      <c r="F104" s="45">
        <v>25</v>
      </c>
      <c r="G104" s="228"/>
      <c r="H104" s="229"/>
      <c r="I104" s="46">
        <f>C91*F104</f>
        <v>0</v>
      </c>
      <c r="J104" s="44"/>
      <c r="K104" s="47"/>
      <c r="M104" s="29"/>
      <c r="O104" s="8"/>
    </row>
    <row r="105" spans="1:15" ht="18" customHeight="1" x14ac:dyDescent="0.25">
      <c r="A105" s="40"/>
      <c r="B105" s="48" t="s">
        <v>120</v>
      </c>
      <c r="C105" s="42"/>
      <c r="D105" s="43"/>
      <c r="E105" s="44"/>
      <c r="F105" s="45">
        <v>15</v>
      </c>
      <c r="G105" s="228" t="s">
        <v>156</v>
      </c>
      <c r="H105" s="229"/>
      <c r="I105" s="46">
        <f>C91*(F105*2)</f>
        <v>0</v>
      </c>
      <c r="J105" s="44"/>
      <c r="K105" s="47"/>
      <c r="M105" s="29"/>
      <c r="O105" s="8"/>
    </row>
    <row r="106" spans="1:15" ht="18" customHeight="1" x14ac:dyDescent="0.25">
      <c r="A106" s="40"/>
      <c r="B106" s="48" t="s">
        <v>117</v>
      </c>
      <c r="C106" s="42"/>
      <c r="D106" s="43"/>
      <c r="E106" s="44"/>
      <c r="F106" s="45">
        <v>12.5</v>
      </c>
      <c r="G106" s="228" t="s">
        <v>155</v>
      </c>
      <c r="H106" s="229"/>
      <c r="I106" s="46">
        <f>C91*F106</f>
        <v>0</v>
      </c>
      <c r="J106" s="44"/>
      <c r="K106" s="47"/>
      <c r="M106" s="29"/>
      <c r="O106" s="8"/>
    </row>
    <row r="107" spans="1:15" ht="18" customHeight="1" x14ac:dyDescent="0.25">
      <c r="A107" s="243" t="s">
        <v>38</v>
      </c>
      <c r="B107" s="244"/>
      <c r="C107" s="34">
        <f>SUM(C108:C125)</f>
        <v>0</v>
      </c>
      <c r="D107" s="35">
        <f>SUM(D108:D125)</f>
        <v>0</v>
      </c>
      <c r="E107" s="34">
        <f>SUM(E108:E125)</f>
        <v>0</v>
      </c>
      <c r="F107" s="36"/>
      <c r="G107" s="127"/>
      <c r="H107" s="127"/>
      <c r="I107" s="37">
        <f>SUM(I108:I125)</f>
        <v>0</v>
      </c>
      <c r="J107" s="38">
        <f>K15</f>
        <v>0</v>
      </c>
      <c r="K107" s="39">
        <f>I107*J107</f>
        <v>0</v>
      </c>
      <c r="M107" s="29"/>
      <c r="O107" s="8"/>
    </row>
    <row r="108" spans="1:15" ht="18" customHeight="1" x14ac:dyDescent="0.25">
      <c r="A108" s="40"/>
      <c r="B108" s="41" t="s">
        <v>21</v>
      </c>
      <c r="C108" s="42">
        <f>IF(J107&gt;=1,1,0)</f>
        <v>0</v>
      </c>
      <c r="D108" s="43"/>
      <c r="E108" s="44"/>
      <c r="F108" s="45">
        <v>30</v>
      </c>
      <c r="G108" s="228"/>
      <c r="H108" s="229"/>
      <c r="I108" s="46">
        <f>C108*F108</f>
        <v>0</v>
      </c>
      <c r="J108" s="44"/>
      <c r="K108" s="47"/>
      <c r="M108" s="29"/>
      <c r="O108" s="8"/>
    </row>
    <row r="109" spans="1:15" ht="18" customHeight="1" x14ac:dyDescent="0.25">
      <c r="A109" s="40"/>
      <c r="B109" s="48" t="s">
        <v>22</v>
      </c>
      <c r="C109" s="42"/>
      <c r="D109" s="43"/>
      <c r="E109" s="44"/>
      <c r="F109" s="45">
        <v>3</v>
      </c>
      <c r="G109" s="228"/>
      <c r="H109" s="229"/>
      <c r="I109" s="46">
        <f>C108*F109</f>
        <v>0</v>
      </c>
      <c r="J109" s="44"/>
      <c r="K109" s="47"/>
      <c r="M109" s="29"/>
      <c r="O109" s="8"/>
    </row>
    <row r="110" spans="1:15" ht="18" customHeight="1" x14ac:dyDescent="0.25">
      <c r="A110" s="40"/>
      <c r="B110" s="41" t="s">
        <v>26</v>
      </c>
      <c r="C110" s="98"/>
      <c r="D110" s="99"/>
      <c r="E110" s="44">
        <f>ROUND((SUM(C110+D110)*28%),0)</f>
        <v>0</v>
      </c>
      <c r="F110" s="45">
        <v>12.5</v>
      </c>
      <c r="G110" s="228" t="s">
        <v>115</v>
      </c>
      <c r="H110" s="229"/>
      <c r="I110" s="46">
        <f>C108*((C110+D110+E110)*F110)</f>
        <v>0</v>
      </c>
      <c r="J110" s="44"/>
      <c r="K110" s="47"/>
      <c r="M110" s="29"/>
      <c r="O110" s="8"/>
    </row>
    <row r="111" spans="1:15" ht="18" customHeight="1" x14ac:dyDescent="0.25">
      <c r="A111" s="40"/>
      <c r="B111" s="41" t="s">
        <v>23</v>
      </c>
      <c r="C111" s="42">
        <f>IF(C108&gt;=1,1,0)</f>
        <v>0</v>
      </c>
      <c r="D111" s="43"/>
      <c r="E111" s="44"/>
      <c r="F111" s="45">
        <v>30</v>
      </c>
      <c r="G111" s="228"/>
      <c r="H111" s="229"/>
      <c r="I111" s="46">
        <f>C108*F111</f>
        <v>0</v>
      </c>
      <c r="J111" s="44"/>
      <c r="K111" s="47"/>
      <c r="M111" s="29"/>
      <c r="O111" s="8"/>
    </row>
    <row r="112" spans="1:15" ht="18" customHeight="1" x14ac:dyDescent="0.25">
      <c r="A112" s="40"/>
      <c r="B112" s="48" t="s">
        <v>24</v>
      </c>
      <c r="C112" s="42"/>
      <c r="D112" s="43"/>
      <c r="E112" s="44"/>
      <c r="F112" s="45">
        <v>3</v>
      </c>
      <c r="G112" s="228"/>
      <c r="H112" s="229"/>
      <c r="I112" s="46">
        <f>C108*F112</f>
        <v>0</v>
      </c>
      <c r="J112" s="44"/>
      <c r="K112" s="52"/>
      <c r="M112" s="29"/>
      <c r="O112" s="8"/>
    </row>
    <row r="113" spans="1:15" ht="18" customHeight="1" x14ac:dyDescent="0.25">
      <c r="A113" s="40"/>
      <c r="B113" s="41" t="s">
        <v>27</v>
      </c>
      <c r="C113" s="98"/>
      <c r="D113" s="99"/>
      <c r="E113" s="44">
        <f>ROUND((SUM(C113+D113)*28%),0)</f>
        <v>0</v>
      </c>
      <c r="F113" s="45">
        <v>12.5</v>
      </c>
      <c r="G113" s="228" t="s">
        <v>115</v>
      </c>
      <c r="H113" s="229"/>
      <c r="I113" s="46">
        <f>C108*((C113+D113+E113)*F113)</f>
        <v>0</v>
      </c>
      <c r="J113" s="44"/>
      <c r="K113" s="52"/>
      <c r="M113" s="29"/>
      <c r="O113" s="8"/>
    </row>
    <row r="114" spans="1:15" ht="18" customHeight="1" x14ac:dyDescent="0.25">
      <c r="A114" s="40"/>
      <c r="B114" s="41" t="s">
        <v>25</v>
      </c>
      <c r="C114" s="42"/>
      <c r="D114" s="43"/>
      <c r="E114" s="44"/>
      <c r="F114" s="45">
        <v>42</v>
      </c>
      <c r="G114" s="228"/>
      <c r="H114" s="229"/>
      <c r="I114" s="46">
        <f>C108*F114</f>
        <v>0</v>
      </c>
      <c r="J114" s="44"/>
      <c r="K114" s="52"/>
      <c r="M114" s="29"/>
      <c r="O114" s="8"/>
    </row>
    <row r="115" spans="1:15" ht="18" customHeight="1" x14ac:dyDescent="0.25">
      <c r="A115" s="40"/>
      <c r="B115" s="41" t="s">
        <v>33</v>
      </c>
      <c r="C115" s="42"/>
      <c r="D115" s="43"/>
      <c r="E115" s="44"/>
      <c r="F115" s="45">
        <v>42</v>
      </c>
      <c r="G115" s="228"/>
      <c r="H115" s="229"/>
      <c r="I115" s="46">
        <f>C108*F115</f>
        <v>0</v>
      </c>
      <c r="J115" s="44"/>
      <c r="K115" s="52"/>
      <c r="M115" s="29"/>
      <c r="O115" s="8"/>
    </row>
    <row r="116" spans="1:15" ht="18" customHeight="1" x14ac:dyDescent="0.25">
      <c r="A116" s="40"/>
      <c r="B116" s="41" t="s">
        <v>163</v>
      </c>
      <c r="C116" s="42"/>
      <c r="D116" s="43"/>
      <c r="E116" s="44"/>
      <c r="F116" s="45">
        <v>20</v>
      </c>
      <c r="G116" s="228"/>
      <c r="H116" s="229"/>
      <c r="I116" s="46">
        <f>C108*F116</f>
        <v>0</v>
      </c>
      <c r="J116" s="44"/>
      <c r="K116" s="52"/>
      <c r="M116" s="29"/>
      <c r="O116" s="8"/>
    </row>
    <row r="117" spans="1:15" ht="18" customHeight="1" x14ac:dyDescent="0.25">
      <c r="A117" s="40"/>
      <c r="B117" s="41" t="s">
        <v>40</v>
      </c>
      <c r="C117" s="42"/>
      <c r="D117" s="43"/>
      <c r="E117" s="44"/>
      <c r="F117" s="45">
        <v>5</v>
      </c>
      <c r="G117" s="228"/>
      <c r="H117" s="229"/>
      <c r="I117" s="46">
        <f>C108*F117</f>
        <v>0</v>
      </c>
      <c r="J117" s="44"/>
      <c r="K117" s="52"/>
      <c r="M117" s="29"/>
      <c r="O117" s="8"/>
    </row>
    <row r="118" spans="1:15" ht="18" customHeight="1" x14ac:dyDescent="0.25">
      <c r="A118" s="40"/>
      <c r="B118" s="41" t="s">
        <v>39</v>
      </c>
      <c r="C118" s="42"/>
      <c r="D118" s="43"/>
      <c r="E118" s="44"/>
      <c r="F118" s="45">
        <v>12.5</v>
      </c>
      <c r="G118" s="228" t="s">
        <v>221</v>
      </c>
      <c r="H118" s="229"/>
      <c r="I118" s="46">
        <f>C108*(F118*2)</f>
        <v>0</v>
      </c>
      <c r="J118" s="44"/>
      <c r="K118" s="52"/>
      <c r="M118" s="29"/>
      <c r="O118" s="8"/>
    </row>
    <row r="119" spans="1:15" ht="18" customHeight="1" x14ac:dyDescent="0.25">
      <c r="A119" s="40"/>
      <c r="B119" s="41" t="s">
        <v>29</v>
      </c>
      <c r="C119" s="42">
        <f>IF(C108&gt;=1,1,0)</f>
        <v>0</v>
      </c>
      <c r="D119" s="43"/>
      <c r="E119" s="44"/>
      <c r="F119" s="45">
        <v>12.5</v>
      </c>
      <c r="G119" s="228"/>
      <c r="H119" s="229"/>
      <c r="I119" s="46">
        <f>C108*F119</f>
        <v>0</v>
      </c>
      <c r="J119" s="44"/>
      <c r="K119" s="52"/>
      <c r="M119" s="29"/>
      <c r="O119" s="8"/>
    </row>
    <row r="120" spans="1:15" ht="18" customHeight="1" x14ac:dyDescent="0.25">
      <c r="A120" s="40"/>
      <c r="B120" s="41" t="s">
        <v>113</v>
      </c>
      <c r="C120" s="42"/>
      <c r="D120" s="43"/>
      <c r="E120" s="44"/>
      <c r="F120" s="45">
        <v>12.5</v>
      </c>
      <c r="G120" s="228"/>
      <c r="H120" s="229"/>
      <c r="I120" s="46">
        <f>C108*F120</f>
        <v>0</v>
      </c>
      <c r="J120" s="44"/>
      <c r="K120" s="52"/>
      <c r="M120" s="29"/>
      <c r="O120" s="8"/>
    </row>
    <row r="121" spans="1:15" ht="18" customHeight="1" x14ac:dyDescent="0.25">
      <c r="A121" s="40"/>
      <c r="B121" s="41" t="s">
        <v>28</v>
      </c>
      <c r="C121" s="98"/>
      <c r="D121" s="99"/>
      <c r="E121" s="44">
        <f>ROUND((SUM(C121+D121)*28%),0)</f>
        <v>0</v>
      </c>
      <c r="F121" s="45">
        <v>7.5</v>
      </c>
      <c r="G121" s="228" t="s">
        <v>115</v>
      </c>
      <c r="H121" s="229"/>
      <c r="I121" s="46">
        <f>C108*((C121+D121+E121)*F121)</f>
        <v>0</v>
      </c>
      <c r="J121" s="44"/>
      <c r="K121" s="52"/>
      <c r="M121" s="29"/>
      <c r="N121" s="139"/>
      <c r="O121" s="8"/>
    </row>
    <row r="122" spans="1:15" ht="18" customHeight="1" x14ac:dyDescent="0.25">
      <c r="A122" s="40"/>
      <c r="B122" s="41" t="s">
        <v>30</v>
      </c>
      <c r="C122" s="42"/>
      <c r="D122" s="43"/>
      <c r="E122" s="44"/>
      <c r="F122" s="45">
        <v>12.5</v>
      </c>
      <c r="G122" s="228"/>
      <c r="H122" s="229"/>
      <c r="I122" s="46">
        <f>C108*F122</f>
        <v>0</v>
      </c>
      <c r="J122" s="44"/>
      <c r="K122" s="52"/>
      <c r="M122" s="29"/>
      <c r="O122" s="8"/>
    </row>
    <row r="123" spans="1:15" ht="18" customHeight="1" x14ac:dyDescent="0.25">
      <c r="A123" s="40"/>
      <c r="B123" s="41" t="s">
        <v>81</v>
      </c>
      <c r="C123" s="42"/>
      <c r="D123" s="43"/>
      <c r="E123" s="44"/>
      <c r="F123" s="45">
        <v>25</v>
      </c>
      <c r="G123" s="228"/>
      <c r="H123" s="229"/>
      <c r="I123" s="46">
        <f>C108*F123</f>
        <v>0</v>
      </c>
      <c r="J123" s="44"/>
      <c r="K123" s="52"/>
      <c r="M123" s="29"/>
      <c r="O123" s="8"/>
    </row>
    <row r="124" spans="1:15" ht="18" customHeight="1" x14ac:dyDescent="0.25">
      <c r="A124" s="40"/>
      <c r="B124" s="48" t="s">
        <v>120</v>
      </c>
      <c r="C124" s="42"/>
      <c r="D124" s="43"/>
      <c r="E124" s="44"/>
      <c r="F124" s="45">
        <v>15</v>
      </c>
      <c r="G124" s="228" t="s">
        <v>156</v>
      </c>
      <c r="H124" s="229"/>
      <c r="I124" s="46">
        <f>C108*(F124*2)</f>
        <v>0</v>
      </c>
      <c r="J124" s="44"/>
      <c r="K124" s="52"/>
      <c r="M124" s="29"/>
      <c r="O124" s="8"/>
    </row>
    <row r="125" spans="1:15" ht="18" customHeight="1" x14ac:dyDescent="0.25">
      <c r="A125" s="40"/>
      <c r="B125" s="48" t="s">
        <v>117</v>
      </c>
      <c r="C125" s="42"/>
      <c r="D125" s="43"/>
      <c r="E125" s="44"/>
      <c r="F125" s="45">
        <v>12.5</v>
      </c>
      <c r="G125" s="228" t="s">
        <v>155</v>
      </c>
      <c r="H125" s="229"/>
      <c r="I125" s="46">
        <f>C108*F125</f>
        <v>0</v>
      </c>
      <c r="J125" s="44"/>
      <c r="K125" s="52"/>
      <c r="M125" s="29"/>
      <c r="O125" s="8"/>
    </row>
    <row r="126" spans="1:15" ht="18" customHeight="1" x14ac:dyDescent="0.25">
      <c r="A126" s="243" t="s">
        <v>219</v>
      </c>
      <c r="B126" s="244"/>
      <c r="C126" s="34" t="s">
        <v>248</v>
      </c>
      <c r="D126" s="35" t="s">
        <v>248</v>
      </c>
      <c r="E126" s="34" t="s">
        <v>248</v>
      </c>
      <c r="F126" s="36"/>
      <c r="G126" s="127"/>
      <c r="H126" s="127"/>
      <c r="I126" s="37">
        <f>SUM(I127:I132)</f>
        <v>0</v>
      </c>
      <c r="J126" s="38">
        <f>IF(J107&lt;2,0,IF(J107&lt;5,1,IF(J107&lt;9,2,IF(J107&lt;13,3,4))))</f>
        <v>0</v>
      </c>
      <c r="K126" s="39">
        <f>I126*J126</f>
        <v>0</v>
      </c>
      <c r="M126" s="29"/>
      <c r="O126" s="8"/>
    </row>
    <row r="127" spans="1:15" ht="39.950000000000003" customHeight="1" x14ac:dyDescent="0.25">
      <c r="A127" s="40"/>
      <c r="B127" s="41" t="s">
        <v>41</v>
      </c>
      <c r="C127" s="42"/>
      <c r="D127" s="43"/>
      <c r="E127" s="44"/>
      <c r="F127" s="45">
        <v>15</v>
      </c>
      <c r="G127" s="228" t="s">
        <v>216</v>
      </c>
      <c r="H127" s="229"/>
      <c r="I127" s="46">
        <f>IF(J126=0,0,(J126*F127))</f>
        <v>0</v>
      </c>
      <c r="J127" s="44"/>
      <c r="K127" s="47"/>
      <c r="M127" s="29"/>
      <c r="O127" s="8"/>
    </row>
    <row r="128" spans="1:15" ht="18" customHeight="1" x14ac:dyDescent="0.25">
      <c r="A128" s="40"/>
      <c r="B128" s="48" t="s">
        <v>42</v>
      </c>
      <c r="C128" s="42"/>
      <c r="D128" s="43"/>
      <c r="E128" s="44"/>
      <c r="F128" s="45">
        <v>3</v>
      </c>
      <c r="G128" s="228" t="s">
        <v>217</v>
      </c>
      <c r="H128" s="229"/>
      <c r="I128" s="46">
        <f>IF(J126=0,0,(J126*F128))</f>
        <v>0</v>
      </c>
      <c r="J128" s="44"/>
      <c r="K128" s="47"/>
      <c r="M128" s="29"/>
      <c r="O128" s="8"/>
    </row>
    <row r="129" spans="1:15" ht="39.950000000000003" customHeight="1" x14ac:dyDescent="0.25">
      <c r="A129" s="40"/>
      <c r="B129" s="41" t="s">
        <v>43</v>
      </c>
      <c r="C129" s="42"/>
      <c r="D129" s="43"/>
      <c r="E129" s="44"/>
      <c r="F129" s="45">
        <v>15</v>
      </c>
      <c r="G129" s="228" t="s">
        <v>216</v>
      </c>
      <c r="H129" s="229"/>
      <c r="I129" s="46">
        <f>IF(J126=0,0,(J126*F129))</f>
        <v>0</v>
      </c>
      <c r="J129" s="44"/>
      <c r="K129" s="47"/>
      <c r="M129" s="29"/>
      <c r="O129" s="8"/>
    </row>
    <row r="130" spans="1:15" ht="18" customHeight="1" x14ac:dyDescent="0.25">
      <c r="A130" s="40"/>
      <c r="B130" s="48" t="s">
        <v>44</v>
      </c>
      <c r="C130" s="42"/>
      <c r="D130" s="43"/>
      <c r="E130" s="44"/>
      <c r="F130" s="45">
        <v>3</v>
      </c>
      <c r="G130" s="228" t="s">
        <v>218</v>
      </c>
      <c r="H130" s="229"/>
      <c r="I130" s="46">
        <f>IF(J126=0,0,(J126*F130))</f>
        <v>0</v>
      </c>
      <c r="J130" s="44"/>
      <c r="K130" s="47"/>
      <c r="M130" s="29"/>
      <c r="O130" s="8"/>
    </row>
    <row r="131" spans="1:15" ht="26.25" customHeight="1" x14ac:dyDescent="0.25">
      <c r="A131" s="40"/>
      <c r="B131" s="41" t="s">
        <v>213</v>
      </c>
      <c r="C131" s="42"/>
      <c r="D131" s="43"/>
      <c r="E131" s="44"/>
      <c r="F131" s="45">
        <v>15</v>
      </c>
      <c r="G131" s="228" t="s">
        <v>212</v>
      </c>
      <c r="H131" s="229"/>
      <c r="I131" s="46">
        <f>IF(J126=0,0,(J126*F131))</f>
        <v>0</v>
      </c>
      <c r="J131" s="44"/>
      <c r="K131" s="47"/>
      <c r="M131" s="29"/>
      <c r="O131" s="8"/>
    </row>
    <row r="132" spans="1:15" ht="18" customHeight="1" x14ac:dyDescent="0.25">
      <c r="A132" s="40"/>
      <c r="B132" s="48" t="s">
        <v>214</v>
      </c>
      <c r="C132" s="42"/>
      <c r="D132" s="43"/>
      <c r="E132" s="44"/>
      <c r="F132" s="45">
        <v>2</v>
      </c>
      <c r="G132" s="228" t="s">
        <v>215</v>
      </c>
      <c r="H132" s="229"/>
      <c r="I132" s="46">
        <f>IF(J126=0,0,((J126*F132)*2))</f>
        <v>0</v>
      </c>
      <c r="J132" s="44"/>
      <c r="K132" s="47"/>
      <c r="M132" s="29"/>
      <c r="O132" s="8"/>
    </row>
    <row r="133" spans="1:15" ht="18" customHeight="1" x14ac:dyDescent="0.25">
      <c r="A133" s="243" t="s">
        <v>133</v>
      </c>
      <c r="B133" s="244"/>
      <c r="C133" s="34">
        <f>SUM(C134:C150)</f>
        <v>0</v>
      </c>
      <c r="D133" s="35">
        <f>SUM(D134:D150)</f>
        <v>0</v>
      </c>
      <c r="E133" s="34">
        <f>SUM(E134:E150)</f>
        <v>0</v>
      </c>
      <c r="F133" s="36"/>
      <c r="G133" s="127"/>
      <c r="H133" s="127"/>
      <c r="I133" s="37">
        <f>SUM(I134:I150)</f>
        <v>0</v>
      </c>
      <c r="J133" s="38">
        <f>K16</f>
        <v>0</v>
      </c>
      <c r="K133" s="39">
        <f>I133*J133</f>
        <v>0</v>
      </c>
      <c r="M133" s="29"/>
      <c r="O133" s="8"/>
    </row>
    <row r="134" spans="1:15" ht="18" customHeight="1" x14ac:dyDescent="0.25">
      <c r="A134" s="40"/>
      <c r="B134" s="41" t="s">
        <v>21</v>
      </c>
      <c r="C134" s="42">
        <f>IF(J133&gt;=1,1,0)</f>
        <v>0</v>
      </c>
      <c r="D134" s="43"/>
      <c r="E134" s="44"/>
      <c r="F134" s="45">
        <v>30</v>
      </c>
      <c r="G134" s="228"/>
      <c r="H134" s="229"/>
      <c r="I134" s="46">
        <f>C134*F134</f>
        <v>0</v>
      </c>
      <c r="J134" s="44"/>
      <c r="K134" s="47"/>
      <c r="M134" s="29"/>
      <c r="O134" s="8"/>
    </row>
    <row r="135" spans="1:15" ht="18" customHeight="1" x14ac:dyDescent="0.25">
      <c r="A135" s="40"/>
      <c r="B135" s="48" t="s">
        <v>22</v>
      </c>
      <c r="C135" s="42"/>
      <c r="D135" s="43"/>
      <c r="E135" s="44"/>
      <c r="F135" s="45">
        <v>3</v>
      </c>
      <c r="G135" s="228"/>
      <c r="H135" s="229"/>
      <c r="I135" s="46">
        <f>C134*F135</f>
        <v>0</v>
      </c>
      <c r="J135" s="44"/>
      <c r="K135" s="47"/>
      <c r="M135" s="29"/>
      <c r="O135" s="8"/>
    </row>
    <row r="136" spans="1:15" ht="18" customHeight="1" x14ac:dyDescent="0.25">
      <c r="A136" s="40"/>
      <c r="B136" s="41" t="s">
        <v>26</v>
      </c>
      <c r="C136" s="98"/>
      <c r="D136" s="99"/>
      <c r="E136" s="44">
        <f>ROUND((SUM(C136+D136)*28%),0)</f>
        <v>0</v>
      </c>
      <c r="F136" s="45">
        <v>12.5</v>
      </c>
      <c r="G136" s="228" t="s">
        <v>115</v>
      </c>
      <c r="H136" s="229"/>
      <c r="I136" s="46">
        <f>C134*((C136+D136+E136)*F136)</f>
        <v>0</v>
      </c>
      <c r="J136" s="44"/>
      <c r="K136" s="47"/>
      <c r="M136" s="29"/>
      <c r="O136" s="8"/>
    </row>
    <row r="137" spans="1:15" ht="18" customHeight="1" x14ac:dyDescent="0.25">
      <c r="A137" s="40"/>
      <c r="B137" s="41" t="s">
        <v>23</v>
      </c>
      <c r="C137" s="42">
        <f>IF(C134=1,1,0)</f>
        <v>0</v>
      </c>
      <c r="D137" s="43"/>
      <c r="E137" s="44"/>
      <c r="F137" s="45">
        <v>30</v>
      </c>
      <c r="G137" s="228"/>
      <c r="H137" s="229"/>
      <c r="I137" s="46">
        <f>C134*F137</f>
        <v>0</v>
      </c>
      <c r="J137" s="44"/>
      <c r="K137" s="47"/>
      <c r="M137" s="29"/>
      <c r="O137" s="8"/>
    </row>
    <row r="138" spans="1:15" ht="18" customHeight="1" x14ac:dyDescent="0.25">
      <c r="A138" s="40"/>
      <c r="B138" s="48" t="s">
        <v>24</v>
      </c>
      <c r="C138" s="42"/>
      <c r="D138" s="43"/>
      <c r="E138" s="44"/>
      <c r="F138" s="45">
        <v>3</v>
      </c>
      <c r="G138" s="228"/>
      <c r="H138" s="229"/>
      <c r="I138" s="46">
        <f>C134*F138</f>
        <v>0</v>
      </c>
      <c r="J138" s="44"/>
      <c r="K138" s="47"/>
      <c r="M138" s="29"/>
      <c r="O138" s="8"/>
    </row>
    <row r="139" spans="1:15" ht="18" customHeight="1" x14ac:dyDescent="0.25">
      <c r="A139" s="40"/>
      <c r="B139" s="41" t="s">
        <v>27</v>
      </c>
      <c r="C139" s="98"/>
      <c r="D139" s="99"/>
      <c r="E139" s="44">
        <f>ROUND((SUM(C139+D139)*28%),0)</f>
        <v>0</v>
      </c>
      <c r="F139" s="45">
        <v>12.5</v>
      </c>
      <c r="G139" s="228" t="s">
        <v>115</v>
      </c>
      <c r="H139" s="229"/>
      <c r="I139" s="46">
        <f>C134*((C139+D139+E139)*F139)</f>
        <v>0</v>
      </c>
      <c r="J139" s="44"/>
      <c r="K139" s="47"/>
      <c r="M139" s="29"/>
      <c r="O139" s="8"/>
    </row>
    <row r="140" spans="1:15" ht="18" customHeight="1" x14ac:dyDescent="0.25">
      <c r="A140" s="40"/>
      <c r="B140" s="41" t="s">
        <v>25</v>
      </c>
      <c r="C140" s="42"/>
      <c r="D140" s="43"/>
      <c r="E140" s="44"/>
      <c r="F140" s="45">
        <v>42</v>
      </c>
      <c r="G140" s="228"/>
      <c r="H140" s="229"/>
      <c r="I140" s="46">
        <f>C134*F140</f>
        <v>0</v>
      </c>
      <c r="J140" s="44"/>
      <c r="K140" s="47"/>
      <c r="M140" s="29"/>
      <c r="O140" s="8"/>
    </row>
    <row r="141" spans="1:15" ht="18" customHeight="1" x14ac:dyDescent="0.25">
      <c r="A141" s="40"/>
      <c r="B141" s="41" t="s">
        <v>33</v>
      </c>
      <c r="C141" s="42"/>
      <c r="D141" s="43"/>
      <c r="E141" s="44"/>
      <c r="F141" s="45">
        <v>42</v>
      </c>
      <c r="G141" s="228"/>
      <c r="H141" s="229"/>
      <c r="I141" s="46">
        <f>C134*F141</f>
        <v>0</v>
      </c>
      <c r="J141" s="44"/>
      <c r="K141" s="47"/>
      <c r="M141" s="29"/>
      <c r="O141" s="8"/>
    </row>
    <row r="142" spans="1:15" ht="18" customHeight="1" x14ac:dyDescent="0.25">
      <c r="A142" s="40"/>
      <c r="B142" s="41" t="s">
        <v>163</v>
      </c>
      <c r="C142" s="42"/>
      <c r="D142" s="43"/>
      <c r="E142" s="44"/>
      <c r="F142" s="45">
        <v>25</v>
      </c>
      <c r="G142" s="228"/>
      <c r="H142" s="229"/>
      <c r="I142" s="46">
        <f>C134*F142</f>
        <v>0</v>
      </c>
      <c r="J142" s="44"/>
      <c r="K142" s="47"/>
      <c r="M142" s="29"/>
      <c r="O142" s="8"/>
    </row>
    <row r="143" spans="1:15" ht="18" customHeight="1" x14ac:dyDescent="0.25">
      <c r="A143" s="40"/>
      <c r="B143" s="41" t="s">
        <v>39</v>
      </c>
      <c r="C143" s="42"/>
      <c r="D143" s="43"/>
      <c r="E143" s="44"/>
      <c r="F143" s="45">
        <v>12.5</v>
      </c>
      <c r="G143" s="228" t="s">
        <v>221</v>
      </c>
      <c r="H143" s="229"/>
      <c r="I143" s="46">
        <f>C134*(F143*2)</f>
        <v>0</v>
      </c>
      <c r="J143" s="44"/>
      <c r="K143" s="47"/>
      <c r="M143" s="29"/>
      <c r="O143" s="8"/>
    </row>
    <row r="144" spans="1:15" ht="18" customHeight="1" x14ac:dyDescent="0.25">
      <c r="A144" s="40"/>
      <c r="B144" s="41" t="s">
        <v>29</v>
      </c>
      <c r="C144" s="42">
        <f>IF(C134=1,1,0)</f>
        <v>0</v>
      </c>
      <c r="D144" s="43"/>
      <c r="E144" s="44"/>
      <c r="F144" s="45">
        <v>12.5</v>
      </c>
      <c r="G144" s="228"/>
      <c r="H144" s="229"/>
      <c r="I144" s="46">
        <f>C134*F144</f>
        <v>0</v>
      </c>
      <c r="J144" s="44"/>
      <c r="K144" s="47"/>
      <c r="M144" s="29"/>
      <c r="O144" s="8"/>
    </row>
    <row r="145" spans="1:15" ht="18" customHeight="1" x14ac:dyDescent="0.25">
      <c r="A145" s="40"/>
      <c r="B145" s="41" t="s">
        <v>113</v>
      </c>
      <c r="C145" s="42"/>
      <c r="D145" s="43"/>
      <c r="E145" s="44"/>
      <c r="F145" s="45">
        <v>12.5</v>
      </c>
      <c r="G145" s="228"/>
      <c r="H145" s="229"/>
      <c r="I145" s="46">
        <f>C134*F145</f>
        <v>0</v>
      </c>
      <c r="J145" s="44"/>
      <c r="K145" s="47"/>
      <c r="M145" s="29"/>
      <c r="O145" s="8"/>
    </row>
    <row r="146" spans="1:15" ht="18" customHeight="1" x14ac:dyDescent="0.25">
      <c r="A146" s="40"/>
      <c r="B146" s="41" t="s">
        <v>28</v>
      </c>
      <c r="C146" s="98"/>
      <c r="D146" s="99"/>
      <c r="E146" s="44">
        <f>ROUND((SUM(C146+D146)*28%),0)</f>
        <v>0</v>
      </c>
      <c r="F146" s="45">
        <v>7.5</v>
      </c>
      <c r="G146" s="228" t="s">
        <v>115</v>
      </c>
      <c r="H146" s="229"/>
      <c r="I146" s="46">
        <f>C134*((C146+D146+E146)*F146)</f>
        <v>0</v>
      </c>
      <c r="J146" s="44"/>
      <c r="K146" s="47"/>
      <c r="M146" s="29"/>
      <c r="O146" s="8"/>
    </row>
    <row r="147" spans="1:15" ht="18" customHeight="1" x14ac:dyDescent="0.25">
      <c r="A147" s="40"/>
      <c r="B147" s="41" t="s">
        <v>30</v>
      </c>
      <c r="C147" s="42"/>
      <c r="D147" s="43"/>
      <c r="E147" s="44"/>
      <c r="F147" s="45">
        <v>12.5</v>
      </c>
      <c r="G147" s="228"/>
      <c r="H147" s="229"/>
      <c r="I147" s="46">
        <f>C134*F147</f>
        <v>0</v>
      </c>
      <c r="J147" s="44"/>
      <c r="K147" s="47"/>
      <c r="M147" s="29"/>
      <c r="O147" s="8"/>
    </row>
    <row r="148" spans="1:15" ht="18" customHeight="1" x14ac:dyDescent="0.25">
      <c r="A148" s="40"/>
      <c r="B148" s="41" t="s">
        <v>81</v>
      </c>
      <c r="C148" s="42"/>
      <c r="D148" s="43"/>
      <c r="E148" s="44"/>
      <c r="F148" s="45">
        <v>25</v>
      </c>
      <c r="G148" s="228"/>
      <c r="H148" s="229"/>
      <c r="I148" s="46">
        <f>C134*F148</f>
        <v>0</v>
      </c>
      <c r="J148" s="44"/>
      <c r="K148" s="47"/>
      <c r="M148" s="29"/>
      <c r="O148" s="8"/>
    </row>
    <row r="149" spans="1:15" ht="18" customHeight="1" x14ac:dyDescent="0.25">
      <c r="A149" s="40"/>
      <c r="B149" s="48" t="s">
        <v>120</v>
      </c>
      <c r="C149" s="42"/>
      <c r="D149" s="43"/>
      <c r="E149" s="44"/>
      <c r="F149" s="45">
        <v>15</v>
      </c>
      <c r="G149" s="228" t="s">
        <v>156</v>
      </c>
      <c r="H149" s="229"/>
      <c r="I149" s="46">
        <f>C134*(F149*2)</f>
        <v>0</v>
      </c>
      <c r="J149" s="44"/>
      <c r="K149" s="47"/>
      <c r="M149" s="29"/>
      <c r="O149" s="8"/>
    </row>
    <row r="150" spans="1:15" ht="18" customHeight="1" x14ac:dyDescent="0.25">
      <c r="A150" s="40"/>
      <c r="B150" s="48" t="s">
        <v>117</v>
      </c>
      <c r="C150" s="42"/>
      <c r="D150" s="43"/>
      <c r="E150" s="44"/>
      <c r="F150" s="45">
        <v>12.5</v>
      </c>
      <c r="G150" s="228" t="s">
        <v>155</v>
      </c>
      <c r="H150" s="229"/>
      <c r="I150" s="46">
        <f>C134*F150</f>
        <v>0</v>
      </c>
      <c r="J150" s="44"/>
      <c r="K150" s="47"/>
      <c r="M150" s="29"/>
      <c r="O150" s="8"/>
    </row>
    <row r="151" spans="1:15" ht="18" customHeight="1" x14ac:dyDescent="0.25">
      <c r="A151" s="243" t="s">
        <v>168</v>
      </c>
      <c r="B151" s="244"/>
      <c r="C151" s="34" t="s">
        <v>248</v>
      </c>
      <c r="D151" s="35" t="s">
        <v>248</v>
      </c>
      <c r="E151" s="34" t="s">
        <v>248</v>
      </c>
      <c r="F151" s="36"/>
      <c r="G151" s="127"/>
      <c r="H151" s="127"/>
      <c r="I151" s="37">
        <f>SUM(I152:I155)</f>
        <v>0</v>
      </c>
      <c r="J151" s="38">
        <f>IF(K17&gt;4,1,0)</f>
        <v>0</v>
      </c>
      <c r="K151" s="39">
        <f>I151*J151</f>
        <v>0</v>
      </c>
      <c r="M151" s="55"/>
      <c r="O151" s="8"/>
    </row>
    <row r="152" spans="1:15" ht="30" customHeight="1" x14ac:dyDescent="0.25">
      <c r="A152" s="49"/>
      <c r="B152" s="56" t="s">
        <v>153</v>
      </c>
      <c r="C152" s="42"/>
      <c r="D152" s="50"/>
      <c r="E152" s="44"/>
      <c r="F152" s="45">
        <v>25</v>
      </c>
      <c r="G152" s="228" t="s">
        <v>278</v>
      </c>
      <c r="H152" s="229"/>
      <c r="I152" s="46">
        <f>IF(K17&lt;=4,0,IF(K17&lt;7,25,IF(K17&lt;9,37.5,IF(K17&lt;11,50,IF(K17&lt;13,62.5,75)))))</f>
        <v>0</v>
      </c>
      <c r="J152" s="44"/>
      <c r="K152" s="51"/>
      <c r="M152" s="55"/>
      <c r="O152" s="8"/>
    </row>
    <row r="153" spans="1:15" ht="18" customHeight="1" x14ac:dyDescent="0.25">
      <c r="A153" s="40"/>
      <c r="B153" s="48" t="s">
        <v>304</v>
      </c>
      <c r="C153" s="42"/>
      <c r="D153" s="43"/>
      <c r="E153" s="44"/>
      <c r="F153" s="45">
        <v>15</v>
      </c>
      <c r="G153" s="228" t="s">
        <v>118</v>
      </c>
      <c r="H153" s="229"/>
      <c r="I153" s="46">
        <f>IF(J151=0,0,(F153*2))</f>
        <v>0</v>
      </c>
      <c r="J153" s="44"/>
      <c r="K153" s="52"/>
      <c r="M153" s="57"/>
      <c r="O153" s="8"/>
    </row>
    <row r="154" spans="1:15" ht="30" customHeight="1" x14ac:dyDescent="0.25">
      <c r="A154" s="49"/>
      <c r="B154" s="58" t="s">
        <v>31</v>
      </c>
      <c r="C154" s="42"/>
      <c r="D154" s="50"/>
      <c r="E154" s="44"/>
      <c r="F154" s="45">
        <v>12.5</v>
      </c>
      <c r="G154" s="228" t="s">
        <v>279</v>
      </c>
      <c r="H154" s="229"/>
      <c r="I154" s="46">
        <f>IF(K17&lt;=4,0,IF(K17&lt;9,12.5,25))</f>
        <v>0</v>
      </c>
      <c r="J154" s="44"/>
      <c r="K154" s="51"/>
      <c r="M154" s="55"/>
      <c r="O154" s="8"/>
    </row>
    <row r="155" spans="1:15" ht="18" customHeight="1" x14ac:dyDescent="0.25">
      <c r="A155" s="49"/>
      <c r="B155" s="56" t="s">
        <v>169</v>
      </c>
      <c r="C155" s="42"/>
      <c r="D155" s="50"/>
      <c r="E155" s="44"/>
      <c r="F155" s="45">
        <v>50</v>
      </c>
      <c r="G155" s="228" t="s">
        <v>124</v>
      </c>
      <c r="H155" s="229"/>
      <c r="I155" s="46">
        <f>IF(K17&lt;8,0,50)</f>
        <v>0</v>
      </c>
      <c r="J155" s="44"/>
      <c r="K155" s="51"/>
      <c r="M155" s="55"/>
      <c r="O155" s="8"/>
    </row>
    <row r="156" spans="1:15" ht="18" customHeight="1" x14ac:dyDescent="0.25">
      <c r="A156" s="243" t="s">
        <v>0</v>
      </c>
      <c r="B156" s="244"/>
      <c r="C156" s="34">
        <f>SUM(C157:C171)</f>
        <v>0</v>
      </c>
      <c r="D156" s="35">
        <f>SUM(D157:D171)</f>
        <v>0</v>
      </c>
      <c r="E156" s="34">
        <f>SUM(E157:E171)</f>
        <v>0</v>
      </c>
      <c r="F156" s="36"/>
      <c r="G156" s="127"/>
      <c r="H156" s="127"/>
      <c r="I156" s="37">
        <f>SUM(I157:I171)</f>
        <v>0</v>
      </c>
      <c r="J156" s="38">
        <f>K18</f>
        <v>0</v>
      </c>
      <c r="K156" s="39">
        <f>I156*J156</f>
        <v>0</v>
      </c>
      <c r="M156" s="29"/>
      <c r="O156" s="8"/>
    </row>
    <row r="157" spans="1:15" ht="18" customHeight="1" x14ac:dyDescent="0.25">
      <c r="A157" s="40"/>
      <c r="B157" s="41" t="s">
        <v>82</v>
      </c>
      <c r="C157" s="42">
        <f>IF(J156=0,0,1)</f>
        <v>0</v>
      </c>
      <c r="D157" s="43"/>
      <c r="E157" s="44"/>
      <c r="F157" s="45">
        <v>30</v>
      </c>
      <c r="G157" s="228"/>
      <c r="H157" s="229"/>
      <c r="I157" s="46">
        <f>IF(C157=0,0,F157)</f>
        <v>0</v>
      </c>
      <c r="J157" s="44"/>
      <c r="K157" s="47"/>
      <c r="M157" s="59"/>
      <c r="O157" s="8"/>
    </row>
    <row r="158" spans="1:15" ht="18" customHeight="1" x14ac:dyDescent="0.25">
      <c r="A158" s="40"/>
      <c r="B158" s="48" t="s">
        <v>83</v>
      </c>
      <c r="C158" s="42"/>
      <c r="D158" s="43"/>
      <c r="E158" s="44"/>
      <c r="F158" s="45">
        <v>3</v>
      </c>
      <c r="G158" s="228"/>
      <c r="H158" s="229"/>
      <c r="I158" s="46">
        <f>IF(C157=0,0,F158)</f>
        <v>0</v>
      </c>
      <c r="J158" s="44"/>
      <c r="K158" s="47"/>
      <c r="M158" s="59"/>
      <c r="O158" s="8"/>
    </row>
    <row r="159" spans="1:15" ht="18" customHeight="1" x14ac:dyDescent="0.25">
      <c r="A159" s="40"/>
      <c r="B159" s="41" t="s">
        <v>84</v>
      </c>
      <c r="C159" s="98"/>
      <c r="D159" s="99"/>
      <c r="E159" s="44">
        <f>ROUND((SUM(C159+D159)*28%),0)</f>
        <v>0</v>
      </c>
      <c r="F159" s="45">
        <v>12.5</v>
      </c>
      <c r="G159" s="228" t="s">
        <v>115</v>
      </c>
      <c r="H159" s="229"/>
      <c r="I159" s="46">
        <f>IF(C157=0,0,(C159+D159+E159)*F159)</f>
        <v>0</v>
      </c>
      <c r="J159" s="44"/>
      <c r="K159" s="47"/>
      <c r="M159" s="59"/>
      <c r="O159" s="8"/>
    </row>
    <row r="160" spans="1:15" ht="18" customHeight="1" x14ac:dyDescent="0.25">
      <c r="A160" s="40"/>
      <c r="B160" s="41" t="s">
        <v>85</v>
      </c>
      <c r="C160" s="42">
        <f>IF(J156=0,0,1)</f>
        <v>0</v>
      </c>
      <c r="D160" s="43"/>
      <c r="E160" s="44"/>
      <c r="F160" s="45">
        <v>30</v>
      </c>
      <c r="G160" s="228"/>
      <c r="H160" s="229"/>
      <c r="I160" s="46">
        <f>IF(C160=0,0,F160)</f>
        <v>0</v>
      </c>
      <c r="J160" s="44"/>
      <c r="K160" s="47"/>
      <c r="M160" s="59"/>
      <c r="O160" s="8"/>
    </row>
    <row r="161" spans="1:15" ht="18" customHeight="1" x14ac:dyDescent="0.25">
      <c r="A161" s="40"/>
      <c r="B161" s="48" t="s">
        <v>86</v>
      </c>
      <c r="C161" s="42"/>
      <c r="D161" s="43"/>
      <c r="E161" s="44"/>
      <c r="F161" s="45">
        <v>3</v>
      </c>
      <c r="G161" s="228"/>
      <c r="H161" s="229"/>
      <c r="I161" s="46">
        <f>IF(C160=0,0,F161)</f>
        <v>0</v>
      </c>
      <c r="J161" s="44"/>
      <c r="K161" s="47"/>
      <c r="M161" s="59"/>
      <c r="O161" s="8"/>
    </row>
    <row r="162" spans="1:15" ht="18" customHeight="1" x14ac:dyDescent="0.25">
      <c r="A162" s="40"/>
      <c r="B162" s="41" t="s">
        <v>87</v>
      </c>
      <c r="C162" s="98"/>
      <c r="D162" s="99"/>
      <c r="E162" s="44">
        <f>ROUND((SUM(C162+D162)*28%),0)</f>
        <v>0</v>
      </c>
      <c r="F162" s="45">
        <v>12.5</v>
      </c>
      <c r="G162" s="228" t="s">
        <v>115</v>
      </c>
      <c r="H162" s="229"/>
      <c r="I162" s="46">
        <f>IF(C160=0,0,(C162+D162+E162)*F162)</f>
        <v>0</v>
      </c>
      <c r="J162" s="44"/>
      <c r="K162" s="47"/>
      <c r="M162" s="59"/>
      <c r="O162" s="8"/>
    </row>
    <row r="163" spans="1:15" ht="18" customHeight="1" x14ac:dyDescent="0.25">
      <c r="A163" s="40"/>
      <c r="B163" s="41" t="s">
        <v>88</v>
      </c>
      <c r="C163" s="42">
        <f>IF(J156=0,0,1)</f>
        <v>0</v>
      </c>
      <c r="D163" s="43"/>
      <c r="E163" s="44"/>
      <c r="F163" s="45">
        <v>30</v>
      </c>
      <c r="G163" s="228"/>
      <c r="H163" s="229"/>
      <c r="I163" s="46">
        <f>IF(C163=0,0,F163)</f>
        <v>0</v>
      </c>
      <c r="J163" s="44"/>
      <c r="K163" s="47"/>
      <c r="M163" s="59"/>
      <c r="O163" s="8"/>
    </row>
    <row r="164" spans="1:15" ht="18" customHeight="1" x14ac:dyDescent="0.25">
      <c r="A164" s="40"/>
      <c r="B164" s="48" t="s">
        <v>89</v>
      </c>
      <c r="C164" s="42"/>
      <c r="D164" s="43"/>
      <c r="E164" s="44"/>
      <c r="F164" s="45">
        <v>3</v>
      </c>
      <c r="G164" s="228"/>
      <c r="H164" s="229"/>
      <c r="I164" s="46">
        <f>IF(C163=0,0,F164)</f>
        <v>0</v>
      </c>
      <c r="J164" s="44"/>
      <c r="K164" s="47"/>
      <c r="M164" s="59"/>
      <c r="O164" s="8"/>
    </row>
    <row r="165" spans="1:15" ht="18" customHeight="1" x14ac:dyDescent="0.25">
      <c r="A165" s="40"/>
      <c r="B165" s="41" t="s">
        <v>90</v>
      </c>
      <c r="C165" s="98"/>
      <c r="D165" s="99"/>
      <c r="E165" s="44">
        <f>ROUND((SUM(C165+D165)*28%),0)</f>
        <v>0</v>
      </c>
      <c r="F165" s="45">
        <v>12.5</v>
      </c>
      <c r="G165" s="228" t="s">
        <v>115</v>
      </c>
      <c r="H165" s="229"/>
      <c r="I165" s="46">
        <f>IF(C163=0,0,(C165+D165+E165)*F165)</f>
        <v>0</v>
      </c>
      <c r="J165" s="44"/>
      <c r="K165" s="47"/>
      <c r="M165" s="59"/>
      <c r="O165" s="8"/>
    </row>
    <row r="166" spans="1:15" ht="18" customHeight="1" x14ac:dyDescent="0.25">
      <c r="A166" s="40"/>
      <c r="B166" s="41" t="s">
        <v>210</v>
      </c>
      <c r="C166" s="42">
        <f>IF(J156=0,0,1)</f>
        <v>0</v>
      </c>
      <c r="D166" s="43"/>
      <c r="E166" s="44"/>
      <c r="F166" s="45">
        <v>12.5</v>
      </c>
      <c r="G166" s="228"/>
      <c r="H166" s="229"/>
      <c r="I166" s="46">
        <f>C166*F166</f>
        <v>0</v>
      </c>
      <c r="J166" s="44"/>
      <c r="K166" s="47"/>
      <c r="M166" s="59"/>
      <c r="O166" s="8"/>
    </row>
    <row r="167" spans="1:15" ht="18" customHeight="1" x14ac:dyDescent="0.25">
      <c r="A167" s="40"/>
      <c r="B167" s="41" t="s">
        <v>113</v>
      </c>
      <c r="C167" s="42"/>
      <c r="D167" s="43"/>
      <c r="E167" s="44"/>
      <c r="F167" s="45">
        <v>12.5</v>
      </c>
      <c r="G167" s="228"/>
      <c r="H167" s="229"/>
      <c r="I167" s="46">
        <f>C166*F167</f>
        <v>0</v>
      </c>
      <c r="J167" s="44"/>
      <c r="K167" s="47"/>
      <c r="M167" s="59"/>
      <c r="O167" s="8"/>
    </row>
    <row r="168" spans="1:15" ht="18" customHeight="1" x14ac:dyDescent="0.25">
      <c r="A168" s="40"/>
      <c r="B168" s="41" t="s">
        <v>91</v>
      </c>
      <c r="C168" s="98"/>
      <c r="D168" s="99"/>
      <c r="E168" s="44">
        <f>ROUND((SUM(C168+D168)*28%),0)</f>
        <v>0</v>
      </c>
      <c r="F168" s="45">
        <v>7.5</v>
      </c>
      <c r="G168" s="228" t="s">
        <v>115</v>
      </c>
      <c r="H168" s="229"/>
      <c r="I168" s="46">
        <f>IF(C166=0,0,(C168+D168+E168)*F168)</f>
        <v>0</v>
      </c>
      <c r="J168" s="44"/>
      <c r="K168" s="47"/>
      <c r="M168" s="59"/>
      <c r="O168" s="8"/>
    </row>
    <row r="169" spans="1:15" ht="18" customHeight="1" x14ac:dyDescent="0.25">
      <c r="A169" s="40"/>
      <c r="B169" s="41" t="s">
        <v>30</v>
      </c>
      <c r="C169" s="42"/>
      <c r="D169" s="43"/>
      <c r="E169" s="44"/>
      <c r="F169" s="45">
        <v>12.5</v>
      </c>
      <c r="G169" s="228"/>
      <c r="H169" s="229"/>
      <c r="I169" s="46">
        <f>IF(C166=0,0,F169)</f>
        <v>0</v>
      </c>
      <c r="J169" s="44"/>
      <c r="K169" s="47"/>
      <c r="M169" s="59"/>
      <c r="O169" s="8"/>
    </row>
    <row r="170" spans="1:15" ht="18" customHeight="1" x14ac:dyDescent="0.25">
      <c r="A170" s="40"/>
      <c r="B170" s="48" t="s">
        <v>119</v>
      </c>
      <c r="C170" s="42"/>
      <c r="D170" s="43"/>
      <c r="E170" s="44"/>
      <c r="F170" s="45">
        <v>15</v>
      </c>
      <c r="G170" s="228" t="s">
        <v>156</v>
      </c>
      <c r="H170" s="229"/>
      <c r="I170" s="46">
        <f>IF(C166=0,0,(F170*2))</f>
        <v>0</v>
      </c>
      <c r="J170" s="44"/>
      <c r="K170" s="47"/>
      <c r="M170" s="59"/>
      <c r="O170" s="8"/>
    </row>
    <row r="171" spans="1:15" ht="18" customHeight="1" x14ac:dyDescent="0.25">
      <c r="A171" s="40"/>
      <c r="B171" s="48" t="s">
        <v>117</v>
      </c>
      <c r="C171" s="42"/>
      <c r="D171" s="43"/>
      <c r="E171" s="44"/>
      <c r="F171" s="45">
        <v>12.5</v>
      </c>
      <c r="G171" s="228" t="s">
        <v>155</v>
      </c>
      <c r="H171" s="229"/>
      <c r="I171" s="46">
        <f>IF(C166=0,0,F171)</f>
        <v>0</v>
      </c>
      <c r="J171" s="44"/>
      <c r="K171" s="47"/>
      <c r="M171" s="59"/>
      <c r="O171" s="8"/>
    </row>
    <row r="172" spans="1:15" ht="18" customHeight="1" x14ac:dyDescent="0.25">
      <c r="A172" s="243" t="s">
        <v>249</v>
      </c>
      <c r="B172" s="244"/>
      <c r="C172" s="34" t="s">
        <v>248</v>
      </c>
      <c r="D172" s="35" t="s">
        <v>248</v>
      </c>
      <c r="E172" s="34" t="s">
        <v>248</v>
      </c>
      <c r="F172" s="36"/>
      <c r="G172" s="238" t="s">
        <v>189</v>
      </c>
      <c r="H172" s="239"/>
      <c r="I172" s="37">
        <f>SUM(I173:I177)</f>
        <v>0</v>
      </c>
      <c r="J172" s="38">
        <f>IF(K18=0,0,IF(EVEN(K18),ROUNDDOWN(K18*0.5,1)))</f>
        <v>0</v>
      </c>
      <c r="K172" s="39">
        <f>I172*J172</f>
        <v>0</v>
      </c>
      <c r="M172" s="59"/>
      <c r="O172" s="8"/>
    </row>
    <row r="173" spans="1:15" ht="18" customHeight="1" x14ac:dyDescent="0.25">
      <c r="A173" s="40"/>
      <c r="B173" s="60" t="s">
        <v>187</v>
      </c>
      <c r="C173" s="42"/>
      <c r="D173" s="43"/>
      <c r="E173" s="42"/>
      <c r="F173" s="45">
        <v>160</v>
      </c>
      <c r="G173" s="228"/>
      <c r="H173" s="229"/>
      <c r="I173" s="46">
        <f>IF(J172=0,0,F173)</f>
        <v>0</v>
      </c>
      <c r="J173" s="44"/>
      <c r="K173" s="47"/>
      <c r="M173" s="59"/>
      <c r="O173" s="8"/>
    </row>
    <row r="174" spans="1:15" ht="18" customHeight="1" x14ac:dyDescent="0.25">
      <c r="A174" s="40"/>
      <c r="B174" s="48" t="s">
        <v>92</v>
      </c>
      <c r="C174" s="42"/>
      <c r="D174" s="43"/>
      <c r="E174" s="44"/>
      <c r="F174" s="45">
        <v>30</v>
      </c>
      <c r="G174" s="228"/>
      <c r="H174" s="229"/>
      <c r="I174" s="46">
        <f>IF(J172=0,0,F174)</f>
        <v>0</v>
      </c>
      <c r="J174" s="44"/>
      <c r="K174" s="47"/>
      <c r="M174" s="59"/>
      <c r="O174" s="8"/>
    </row>
    <row r="175" spans="1:15" ht="18" customHeight="1" x14ac:dyDescent="0.25">
      <c r="A175" s="40"/>
      <c r="B175" s="48" t="s">
        <v>93</v>
      </c>
      <c r="C175" s="42"/>
      <c r="D175" s="43"/>
      <c r="E175" s="44"/>
      <c r="F175" s="45">
        <v>15</v>
      </c>
      <c r="G175" s="228"/>
      <c r="H175" s="229"/>
      <c r="I175" s="46">
        <f>IF(J172=0,0,F175)</f>
        <v>0</v>
      </c>
      <c r="J175" s="44"/>
      <c r="K175" s="52"/>
      <c r="M175" s="59"/>
      <c r="O175" s="8"/>
    </row>
    <row r="176" spans="1:15" ht="30" customHeight="1" x14ac:dyDescent="0.25">
      <c r="A176" s="40"/>
      <c r="B176" s="48" t="s">
        <v>304</v>
      </c>
      <c r="C176" s="42"/>
      <c r="D176" s="43"/>
      <c r="E176" s="44"/>
      <c r="F176" s="45">
        <v>15</v>
      </c>
      <c r="G176" s="228" t="s">
        <v>237</v>
      </c>
      <c r="H176" s="229"/>
      <c r="I176" s="46">
        <f>IF(J172=0,0,(F176*2)*J172)</f>
        <v>0</v>
      </c>
      <c r="J176" s="44"/>
      <c r="K176" s="52"/>
      <c r="M176" s="59"/>
      <c r="O176" s="8"/>
    </row>
    <row r="177" spans="1:15" s="61" customFormat="1" ht="18" customHeight="1" x14ac:dyDescent="0.25">
      <c r="A177" s="40"/>
      <c r="B177" s="48" t="s">
        <v>31</v>
      </c>
      <c r="C177" s="42"/>
      <c r="D177" s="43"/>
      <c r="E177" s="44"/>
      <c r="F177" s="45">
        <v>15</v>
      </c>
      <c r="G177" s="228" t="s">
        <v>189</v>
      </c>
      <c r="H177" s="229"/>
      <c r="I177" s="46">
        <f>IF(K18=0,0,IF(EVEN(K18),ROUNDDOWN(K18*0.5,0)*F177))</f>
        <v>0</v>
      </c>
      <c r="J177" s="44"/>
      <c r="K177" s="46"/>
      <c r="L177" s="8"/>
      <c r="M177" s="59"/>
      <c r="N177" s="8"/>
      <c r="O177" s="8"/>
    </row>
    <row r="178" spans="1:15" ht="18" customHeight="1" x14ac:dyDescent="0.25">
      <c r="A178" s="49"/>
      <c r="B178" s="84"/>
      <c r="C178" s="6"/>
      <c r="D178" s="105"/>
      <c r="E178" s="6"/>
      <c r="F178" s="45"/>
      <c r="G178" s="256" t="s">
        <v>294</v>
      </c>
      <c r="H178" s="256"/>
      <c r="I178" s="256"/>
      <c r="J178" s="257"/>
      <c r="K178" s="63">
        <f>SUM(K22+K39+K61+K72+K90+K107+K126+K133+K151+K156+K172)</f>
        <v>0</v>
      </c>
      <c r="M178" s="55"/>
    </row>
    <row r="179" spans="1:15" ht="18" customHeight="1" x14ac:dyDescent="0.25">
      <c r="A179" s="230" t="s">
        <v>224</v>
      </c>
      <c r="B179" s="231"/>
      <c r="C179" s="231"/>
      <c r="D179" s="231"/>
      <c r="E179" s="231"/>
      <c r="F179" s="231"/>
      <c r="G179" s="231"/>
      <c r="H179" s="231"/>
      <c r="I179" s="231"/>
      <c r="J179" s="231"/>
      <c r="K179" s="232"/>
      <c r="M179" s="9"/>
      <c r="O179" s="8"/>
    </row>
    <row r="180" spans="1:15" s="30" customFormat="1" ht="18" customHeight="1" x14ac:dyDescent="0.25">
      <c r="A180" s="134"/>
      <c r="B180" s="135"/>
      <c r="C180" s="236" t="s">
        <v>98</v>
      </c>
      <c r="D180" s="236"/>
      <c r="E180" s="236"/>
      <c r="F180" s="68"/>
      <c r="G180" s="69"/>
      <c r="H180" s="69"/>
      <c r="I180" s="235" t="s">
        <v>202</v>
      </c>
      <c r="J180" s="237" t="s">
        <v>329</v>
      </c>
      <c r="K180" s="235" t="s">
        <v>246</v>
      </c>
      <c r="L180" s="28"/>
      <c r="M180" s="29"/>
      <c r="N180" s="28"/>
      <c r="O180" s="28"/>
    </row>
    <row r="181" spans="1:15" ht="18" customHeight="1" x14ac:dyDescent="0.25">
      <c r="A181" s="233" t="s">
        <v>328</v>
      </c>
      <c r="B181" s="234"/>
      <c r="C181" s="31" t="s">
        <v>111</v>
      </c>
      <c r="D181" s="32" t="s">
        <v>112</v>
      </c>
      <c r="E181" s="131" t="s">
        <v>176</v>
      </c>
      <c r="F181" s="222" t="s">
        <v>203</v>
      </c>
      <c r="G181" s="223"/>
      <c r="H181" s="224"/>
      <c r="I181" s="235"/>
      <c r="J181" s="237"/>
      <c r="K181" s="235"/>
      <c r="M181" s="33"/>
      <c r="O181" s="8"/>
    </row>
    <row r="182" spans="1:15" ht="18" customHeight="1" x14ac:dyDescent="0.25">
      <c r="A182" s="243" t="s">
        <v>1</v>
      </c>
      <c r="B182" s="244"/>
      <c r="C182" s="34">
        <f>SUM(C183:C188)</f>
        <v>0</v>
      </c>
      <c r="D182" s="35">
        <f>SUM(D183:D188)</f>
        <v>0</v>
      </c>
      <c r="E182" s="34">
        <f>SUM(E183:E188)</f>
        <v>0</v>
      </c>
      <c r="F182" s="72"/>
      <c r="G182" s="130"/>
      <c r="H182" s="130"/>
      <c r="I182" s="37">
        <f>SUM(I183:I188)</f>
        <v>0</v>
      </c>
      <c r="J182" s="38">
        <f>IF(K9=1,1,0)</f>
        <v>0</v>
      </c>
      <c r="K182" s="39">
        <f>IF(J182=1,(I182*J182),0)</f>
        <v>0</v>
      </c>
      <c r="M182" s="57"/>
      <c r="O182" s="8"/>
    </row>
    <row r="183" spans="1:15" ht="18" customHeight="1" x14ac:dyDescent="0.25">
      <c r="A183" s="40"/>
      <c r="B183" s="41" t="s">
        <v>20</v>
      </c>
      <c r="C183" s="42">
        <f>IF(J182=1,1,0)</f>
        <v>0</v>
      </c>
      <c r="D183" s="43"/>
      <c r="E183" s="43"/>
      <c r="F183" s="45">
        <v>30</v>
      </c>
      <c r="G183" s="228"/>
      <c r="H183" s="229"/>
      <c r="I183" s="52">
        <f>IF(J182=0,0,C183*F183)</f>
        <v>0</v>
      </c>
      <c r="J183" s="42"/>
      <c r="K183" s="46"/>
      <c r="M183" s="29"/>
      <c r="O183" s="8"/>
    </row>
    <row r="184" spans="1:15" ht="18" customHeight="1" x14ac:dyDescent="0.25">
      <c r="A184" s="40"/>
      <c r="B184" s="48" t="s">
        <v>10</v>
      </c>
      <c r="C184" s="42"/>
      <c r="D184" s="43"/>
      <c r="E184" s="43"/>
      <c r="F184" s="45">
        <v>3</v>
      </c>
      <c r="G184" s="228"/>
      <c r="H184" s="229"/>
      <c r="I184" s="52">
        <f>IF(J182=0,0,C183*F184)</f>
        <v>0</v>
      </c>
      <c r="J184" s="42"/>
      <c r="K184" s="46"/>
      <c r="M184" s="29"/>
      <c r="O184" s="8"/>
    </row>
    <row r="185" spans="1:15" ht="18" customHeight="1" x14ac:dyDescent="0.25">
      <c r="A185" s="40"/>
      <c r="B185" s="41" t="s">
        <v>200</v>
      </c>
      <c r="C185" s="42"/>
      <c r="D185" s="43"/>
      <c r="E185" s="43"/>
      <c r="F185" s="45">
        <v>15</v>
      </c>
      <c r="G185" s="228"/>
      <c r="H185" s="229"/>
      <c r="I185" s="52">
        <f>IF(J182=0,0,C183*F185)</f>
        <v>0</v>
      </c>
      <c r="J185" s="42"/>
      <c r="K185" s="46"/>
      <c r="M185" s="29"/>
      <c r="O185" s="8"/>
    </row>
    <row r="186" spans="1:15" ht="18" customHeight="1" x14ac:dyDescent="0.25">
      <c r="A186" s="40"/>
      <c r="B186" s="41" t="s">
        <v>11</v>
      </c>
      <c r="C186" s="98"/>
      <c r="D186" s="99"/>
      <c r="E186" s="44">
        <f>ROUND((SUM(C186+D186)*28%),0)</f>
        <v>0</v>
      </c>
      <c r="F186" s="45">
        <v>7.5</v>
      </c>
      <c r="G186" s="228" t="s">
        <v>115</v>
      </c>
      <c r="H186" s="229"/>
      <c r="I186" s="52">
        <f>IF(J182=0,0,((C186+D186+E186)*F186))</f>
        <v>0</v>
      </c>
      <c r="J186" s="42"/>
      <c r="K186" s="46"/>
      <c r="M186" s="29"/>
      <c r="O186" s="8"/>
    </row>
    <row r="187" spans="1:15" ht="18" customHeight="1" x14ac:dyDescent="0.25">
      <c r="A187" s="40"/>
      <c r="B187" s="41" t="s">
        <v>12</v>
      </c>
      <c r="C187" s="98"/>
      <c r="D187" s="99"/>
      <c r="E187" s="44">
        <f>ROUND((SUM(C187+D187)*28%),0)</f>
        <v>0</v>
      </c>
      <c r="F187" s="45">
        <v>12.5</v>
      </c>
      <c r="G187" s="228" t="s">
        <v>115</v>
      </c>
      <c r="H187" s="229"/>
      <c r="I187" s="52">
        <f>IF(J182=0,0,(C187+D187+E187)*F187)</f>
        <v>0</v>
      </c>
      <c r="J187" s="42"/>
      <c r="K187" s="46"/>
      <c r="M187" s="29"/>
      <c r="O187" s="8"/>
    </row>
    <row r="188" spans="1:15" ht="18" customHeight="1" x14ac:dyDescent="0.25">
      <c r="A188" s="40"/>
      <c r="B188" s="41" t="s">
        <v>13</v>
      </c>
      <c r="C188" s="98"/>
      <c r="D188" s="99"/>
      <c r="E188" s="44">
        <f>ROUND((SUM(C188+D188)*28%),0)</f>
        <v>0</v>
      </c>
      <c r="F188" s="45">
        <v>7.5</v>
      </c>
      <c r="G188" s="228" t="s">
        <v>115</v>
      </c>
      <c r="H188" s="229"/>
      <c r="I188" s="52">
        <f>IF(J182=0,0,(C188+D188+E188)*F188)</f>
        <v>0</v>
      </c>
      <c r="J188" s="42"/>
      <c r="K188" s="46"/>
      <c r="M188" s="29"/>
      <c r="O188" s="8"/>
    </row>
    <row r="189" spans="1:15" ht="18" customHeight="1" x14ac:dyDescent="0.25">
      <c r="A189" s="243" t="s">
        <v>5</v>
      </c>
      <c r="B189" s="244"/>
      <c r="C189" s="34">
        <f>SUM(C190:C193)</f>
        <v>0</v>
      </c>
      <c r="D189" s="35">
        <f>SUM(D190:D193)</f>
        <v>0</v>
      </c>
      <c r="E189" s="34">
        <f>SUM(E190:E193)</f>
        <v>0</v>
      </c>
      <c r="F189" s="72"/>
      <c r="G189" s="130"/>
      <c r="H189" s="130"/>
      <c r="I189" s="37">
        <f>SUM(I190:I193)</f>
        <v>0</v>
      </c>
      <c r="J189" s="38">
        <f>IF(K9=1,1,0)</f>
        <v>0</v>
      </c>
      <c r="K189" s="39">
        <f>IF(J189=1,(I189*J189),0)</f>
        <v>0</v>
      </c>
      <c r="M189" s="29"/>
      <c r="O189" s="8"/>
    </row>
    <row r="190" spans="1:15" ht="18" customHeight="1" x14ac:dyDescent="0.25">
      <c r="A190" s="40"/>
      <c r="B190" s="41" t="s">
        <v>96</v>
      </c>
      <c r="C190" s="42">
        <f>IF(J189=1,1,0)</f>
        <v>0</v>
      </c>
      <c r="D190" s="43"/>
      <c r="E190" s="44">
        <f t="shared" ref="E190:E193" si="0">ROUND((SUM(C190+D190)*28%),0)</f>
        <v>0</v>
      </c>
      <c r="F190" s="45">
        <v>12.5</v>
      </c>
      <c r="G190" s="228" t="s">
        <v>115</v>
      </c>
      <c r="H190" s="229"/>
      <c r="I190" s="52">
        <f>IF(J189=0,0,(C190+D190+E190)*F190)</f>
        <v>0</v>
      </c>
      <c r="J190" s="42"/>
      <c r="K190" s="46"/>
      <c r="M190" s="29"/>
      <c r="O190" s="8"/>
    </row>
    <row r="191" spans="1:15" ht="18" customHeight="1" x14ac:dyDescent="0.25">
      <c r="A191" s="40"/>
      <c r="B191" s="41" t="s">
        <v>254</v>
      </c>
      <c r="C191" s="42"/>
      <c r="D191" s="43"/>
      <c r="E191" s="44"/>
      <c r="F191" s="45">
        <v>12.5</v>
      </c>
      <c r="G191" s="228"/>
      <c r="H191" s="229"/>
      <c r="I191" s="52">
        <f>IF(J189=0,0,C190*F191)</f>
        <v>0</v>
      </c>
      <c r="J191" s="42"/>
      <c r="K191" s="46"/>
      <c r="M191" s="29"/>
      <c r="O191" s="8"/>
    </row>
    <row r="192" spans="1:15" ht="18" customHeight="1" x14ac:dyDescent="0.25">
      <c r="A192" s="40"/>
      <c r="B192" s="41" t="s">
        <v>151</v>
      </c>
      <c r="C192" s="98"/>
      <c r="D192" s="99"/>
      <c r="E192" s="44">
        <f t="shared" si="0"/>
        <v>0</v>
      </c>
      <c r="F192" s="45">
        <v>7.5</v>
      </c>
      <c r="G192" s="228" t="s">
        <v>115</v>
      </c>
      <c r="H192" s="229"/>
      <c r="I192" s="52">
        <f>IF(J189=0,0,(C192+D192+E192)*F192)</f>
        <v>0</v>
      </c>
      <c r="J192" s="42"/>
      <c r="K192" s="46"/>
      <c r="M192" s="29"/>
      <c r="O192" s="8"/>
    </row>
    <row r="193" spans="1:15" ht="18" customHeight="1" x14ac:dyDescent="0.25">
      <c r="A193" s="40"/>
      <c r="B193" s="41" t="s">
        <v>14</v>
      </c>
      <c r="C193" s="98"/>
      <c r="D193" s="99"/>
      <c r="E193" s="44">
        <f t="shared" si="0"/>
        <v>0</v>
      </c>
      <c r="F193" s="45">
        <v>7.5</v>
      </c>
      <c r="G193" s="228" t="s">
        <v>115</v>
      </c>
      <c r="H193" s="229"/>
      <c r="I193" s="52">
        <f>IF(J189=0,0,(C193+D193+E193)*F193)</f>
        <v>0</v>
      </c>
      <c r="J193" s="42"/>
      <c r="K193" s="46"/>
      <c r="M193" s="29"/>
      <c r="O193" s="8"/>
    </row>
    <row r="194" spans="1:15" ht="18" customHeight="1" x14ac:dyDescent="0.25">
      <c r="A194" s="243" t="s">
        <v>7</v>
      </c>
      <c r="B194" s="244"/>
      <c r="C194" s="34">
        <f>SUM(C195:C199)</f>
        <v>0</v>
      </c>
      <c r="D194" s="35">
        <f>SUM(D195:D199)</f>
        <v>0</v>
      </c>
      <c r="E194" s="34">
        <f>SUM(E195:E199)</f>
        <v>0</v>
      </c>
      <c r="F194" s="72"/>
      <c r="G194" s="130"/>
      <c r="H194" s="130"/>
      <c r="I194" s="37">
        <f>SUM(I195:I199)</f>
        <v>0</v>
      </c>
      <c r="J194" s="38">
        <f>IF(K9=1,1,0)</f>
        <v>0</v>
      </c>
      <c r="K194" s="39">
        <f>IF(J194=1,(I194*J194),0)</f>
        <v>0</v>
      </c>
      <c r="M194" s="29"/>
      <c r="O194" s="8"/>
    </row>
    <row r="195" spans="1:15" ht="18" customHeight="1" x14ac:dyDescent="0.25">
      <c r="A195" s="40"/>
      <c r="B195" s="41" t="s">
        <v>116</v>
      </c>
      <c r="C195" s="42">
        <f>IF(J194=1,1,0)</f>
        <v>0</v>
      </c>
      <c r="D195" s="43"/>
      <c r="E195" s="43"/>
      <c r="F195" s="45">
        <v>12.5</v>
      </c>
      <c r="G195" s="228"/>
      <c r="H195" s="229"/>
      <c r="I195" s="46">
        <f>IF(J194=0,0,(C195*F195))</f>
        <v>0</v>
      </c>
      <c r="J195" s="44"/>
      <c r="K195" s="47"/>
      <c r="M195" s="29"/>
      <c r="O195" s="8"/>
    </row>
    <row r="196" spans="1:15" ht="18" customHeight="1" x14ac:dyDescent="0.25">
      <c r="A196" s="40"/>
      <c r="B196" s="41" t="s">
        <v>113</v>
      </c>
      <c r="C196" s="42"/>
      <c r="D196" s="43"/>
      <c r="E196" s="43"/>
      <c r="F196" s="45">
        <v>12.5</v>
      </c>
      <c r="G196" s="228"/>
      <c r="H196" s="229"/>
      <c r="I196" s="46">
        <f>IF(J194=0,0,(C195*F196))</f>
        <v>0</v>
      </c>
      <c r="J196" s="44"/>
      <c r="K196" s="47"/>
      <c r="M196" s="29"/>
      <c r="O196" s="8"/>
    </row>
    <row r="197" spans="1:15" ht="18" customHeight="1" x14ac:dyDescent="0.25">
      <c r="A197" s="40"/>
      <c r="B197" s="48" t="s">
        <v>144</v>
      </c>
      <c r="C197" s="42"/>
      <c r="D197" s="43"/>
      <c r="E197" s="43"/>
      <c r="F197" s="45">
        <v>3</v>
      </c>
      <c r="G197" s="228"/>
      <c r="H197" s="229"/>
      <c r="I197" s="46">
        <f>IF(J194=0,0,(C195*F197))</f>
        <v>0</v>
      </c>
      <c r="J197" s="44"/>
      <c r="K197" s="47"/>
      <c r="M197" s="29"/>
      <c r="O197" s="8"/>
    </row>
    <row r="198" spans="1:15" ht="18" customHeight="1" x14ac:dyDescent="0.25">
      <c r="A198" s="40"/>
      <c r="B198" s="41" t="s">
        <v>11</v>
      </c>
      <c r="C198" s="98"/>
      <c r="D198" s="99">
        <v>0</v>
      </c>
      <c r="E198" s="44">
        <f>ROUND((SUM(C198+D198)*28%),0)</f>
        <v>0</v>
      </c>
      <c r="F198" s="45">
        <v>7.5</v>
      </c>
      <c r="G198" s="228" t="s">
        <v>115</v>
      </c>
      <c r="H198" s="229"/>
      <c r="I198" s="46">
        <f>IF(J194=0,0,(C198+D198+E198)*F198)</f>
        <v>0</v>
      </c>
      <c r="J198" s="44"/>
      <c r="K198" s="52"/>
      <c r="M198" s="29"/>
      <c r="O198" s="8"/>
    </row>
    <row r="199" spans="1:15" ht="18" customHeight="1" x14ac:dyDescent="0.25">
      <c r="A199" s="40"/>
      <c r="B199" s="41" t="s">
        <v>142</v>
      </c>
      <c r="C199" s="42"/>
      <c r="D199" s="43"/>
      <c r="E199" s="43"/>
      <c r="F199" s="45">
        <v>30</v>
      </c>
      <c r="G199" s="228"/>
      <c r="H199" s="229"/>
      <c r="I199" s="46">
        <f>IF(J194=0,0,(C195*F199))</f>
        <v>0</v>
      </c>
      <c r="J199" s="44"/>
      <c r="K199" s="47"/>
      <c r="M199" s="29"/>
      <c r="O199" s="8"/>
    </row>
    <row r="200" spans="1:15" s="22" customFormat="1" ht="18" customHeight="1" x14ac:dyDescent="0.25">
      <c r="A200" s="243" t="s">
        <v>8</v>
      </c>
      <c r="B200" s="244"/>
      <c r="C200" s="34">
        <f>SUM(C201:C213)</f>
        <v>0</v>
      </c>
      <c r="D200" s="35">
        <f>SUM(D201:D213)</f>
        <v>0</v>
      </c>
      <c r="E200" s="34">
        <f>SUM(E201:E213)</f>
        <v>0</v>
      </c>
      <c r="F200" s="36"/>
      <c r="G200" s="127"/>
      <c r="H200" s="127"/>
      <c r="I200" s="37">
        <f>IF(J200=1,SUM(I201:I209),SUM(I203:I213))</f>
        <v>0</v>
      </c>
      <c r="J200" s="38">
        <f>IF(K9&gt;=1,1,0)</f>
        <v>0</v>
      </c>
      <c r="K200" s="39">
        <f>IF(J200=1,(I200*J200),SUM(I203:I213))</f>
        <v>0</v>
      </c>
      <c r="L200" s="9"/>
      <c r="M200" s="57"/>
      <c r="N200" s="9"/>
      <c r="O200" s="9"/>
    </row>
    <row r="201" spans="1:15" s="61" customFormat="1" ht="18" customHeight="1" x14ac:dyDescent="0.25">
      <c r="A201" s="80"/>
      <c r="B201" s="41" t="s">
        <v>96</v>
      </c>
      <c r="C201" s="42">
        <f>IF(K9=1,1,0)</f>
        <v>0</v>
      </c>
      <c r="D201" s="50"/>
      <c r="E201" s="44"/>
      <c r="F201" s="45">
        <v>12.5</v>
      </c>
      <c r="G201" s="228"/>
      <c r="H201" s="229"/>
      <c r="I201" s="46">
        <f>C201*F201</f>
        <v>0</v>
      </c>
      <c r="J201" s="44"/>
      <c r="K201" s="51"/>
      <c r="L201" s="8"/>
      <c r="M201" s="55"/>
      <c r="N201" s="8"/>
      <c r="O201" s="8"/>
    </row>
    <row r="202" spans="1:15" ht="18" customHeight="1" x14ac:dyDescent="0.25">
      <c r="A202" s="49"/>
      <c r="B202" s="41" t="s">
        <v>113</v>
      </c>
      <c r="C202" s="42"/>
      <c r="D202" s="50"/>
      <c r="E202" s="44"/>
      <c r="F202" s="45">
        <v>12.5</v>
      </c>
      <c r="G202" s="228"/>
      <c r="H202" s="229"/>
      <c r="I202" s="46">
        <f>C201*F202</f>
        <v>0</v>
      </c>
      <c r="J202" s="44"/>
      <c r="K202" s="51"/>
      <c r="M202" s="55"/>
      <c r="O202" s="8"/>
    </row>
    <row r="203" spans="1:15" ht="18" customHeight="1" x14ac:dyDescent="0.25">
      <c r="A203" s="40"/>
      <c r="B203" s="41" t="s">
        <v>64</v>
      </c>
      <c r="C203" s="98"/>
      <c r="D203" s="99"/>
      <c r="E203" s="44">
        <f t="shared" ref="E203:E256" si="1">ROUND((SUM(C203+D203)*28%),0)</f>
        <v>0</v>
      </c>
      <c r="F203" s="45">
        <v>7.5</v>
      </c>
      <c r="G203" s="228" t="s">
        <v>115</v>
      </c>
      <c r="H203" s="229"/>
      <c r="I203" s="46">
        <f>(C203+D203+E203)*F203</f>
        <v>0</v>
      </c>
      <c r="J203" s="44"/>
      <c r="K203" s="47"/>
      <c r="M203" s="55"/>
      <c r="O203" s="8"/>
    </row>
    <row r="204" spans="1:15" ht="18" customHeight="1" x14ac:dyDescent="0.25">
      <c r="A204" s="40"/>
      <c r="B204" s="41" t="s">
        <v>122</v>
      </c>
      <c r="C204" s="98"/>
      <c r="D204" s="99"/>
      <c r="E204" s="44">
        <f t="shared" si="1"/>
        <v>0</v>
      </c>
      <c r="F204" s="45">
        <v>7.5</v>
      </c>
      <c r="G204" s="228" t="s">
        <v>115</v>
      </c>
      <c r="H204" s="229"/>
      <c r="I204" s="46">
        <f>(C204+D204+E204)*F204</f>
        <v>0</v>
      </c>
      <c r="J204" s="44"/>
      <c r="K204" s="52"/>
      <c r="M204" s="55"/>
      <c r="O204" s="8"/>
    </row>
    <row r="205" spans="1:15" ht="18" customHeight="1" x14ac:dyDescent="0.25">
      <c r="A205" s="40"/>
      <c r="B205" s="41" t="s">
        <v>53</v>
      </c>
      <c r="C205" s="98"/>
      <c r="D205" s="99"/>
      <c r="E205" s="44">
        <f t="shared" si="1"/>
        <v>0</v>
      </c>
      <c r="F205" s="45">
        <v>7.5</v>
      </c>
      <c r="G205" s="228" t="s">
        <v>115</v>
      </c>
      <c r="H205" s="229"/>
      <c r="I205" s="46">
        <f>(C205+D205+E205)*F205</f>
        <v>0</v>
      </c>
      <c r="J205" s="44"/>
      <c r="K205" s="52"/>
      <c r="M205" s="55"/>
      <c r="O205" s="8"/>
    </row>
    <row r="206" spans="1:15" ht="18" customHeight="1" x14ac:dyDescent="0.25">
      <c r="A206" s="40"/>
      <c r="B206" s="41" t="s">
        <v>54</v>
      </c>
      <c r="C206" s="98"/>
      <c r="D206" s="99"/>
      <c r="E206" s="44">
        <f t="shared" si="1"/>
        <v>0</v>
      </c>
      <c r="F206" s="45">
        <v>7.5</v>
      </c>
      <c r="G206" s="228" t="s">
        <v>115</v>
      </c>
      <c r="H206" s="229"/>
      <c r="I206" s="46">
        <f>(C206+D206+E206)*F206</f>
        <v>0</v>
      </c>
      <c r="J206" s="44"/>
      <c r="K206" s="52"/>
      <c r="M206" s="55"/>
      <c r="O206" s="8"/>
    </row>
    <row r="207" spans="1:15" ht="18" customHeight="1" x14ac:dyDescent="0.25">
      <c r="A207" s="40"/>
      <c r="B207" s="41" t="s">
        <v>152</v>
      </c>
      <c r="C207" s="98"/>
      <c r="D207" s="99"/>
      <c r="E207" s="44">
        <f t="shared" si="1"/>
        <v>0</v>
      </c>
      <c r="F207" s="45">
        <v>7.5</v>
      </c>
      <c r="G207" s="228" t="s">
        <v>115</v>
      </c>
      <c r="H207" s="229"/>
      <c r="I207" s="46">
        <f>(C207+D207+E207)*F207</f>
        <v>0</v>
      </c>
      <c r="J207" s="44"/>
      <c r="K207" s="52"/>
      <c r="M207" s="55"/>
      <c r="O207" s="8"/>
    </row>
    <row r="208" spans="1:15" ht="18" customHeight="1" x14ac:dyDescent="0.25">
      <c r="A208" s="40"/>
      <c r="B208" s="41" t="s">
        <v>222</v>
      </c>
      <c r="C208" s="98"/>
      <c r="D208" s="99"/>
      <c r="E208" s="44">
        <f t="shared" si="1"/>
        <v>0</v>
      </c>
      <c r="F208" s="45">
        <v>5</v>
      </c>
      <c r="G208" s="228" t="s">
        <v>157</v>
      </c>
      <c r="H208" s="229"/>
      <c r="I208" s="46">
        <f>IF((C208+D208)&lt;21,((C208+D208+E208)*5),100)</f>
        <v>0</v>
      </c>
      <c r="J208" s="44"/>
      <c r="K208" s="52"/>
      <c r="M208" s="55"/>
      <c r="O208" s="8"/>
    </row>
    <row r="209" spans="1:16" ht="18" customHeight="1" x14ac:dyDescent="0.25">
      <c r="A209" s="40"/>
      <c r="B209" s="41" t="s">
        <v>255</v>
      </c>
      <c r="C209" s="98"/>
      <c r="D209" s="99"/>
      <c r="E209" s="44">
        <f t="shared" si="1"/>
        <v>0</v>
      </c>
      <c r="F209" s="45">
        <v>7.5</v>
      </c>
      <c r="G209" s="228" t="s">
        <v>115</v>
      </c>
      <c r="H209" s="229"/>
      <c r="I209" s="46">
        <f>(C209+D209+E209)*F209</f>
        <v>0</v>
      </c>
      <c r="J209" s="44"/>
      <c r="K209" s="52"/>
      <c r="M209" s="55"/>
      <c r="O209" s="8"/>
    </row>
    <row r="210" spans="1:16" ht="18" customHeight="1" x14ac:dyDescent="0.25">
      <c r="A210" s="40"/>
      <c r="B210" s="41" t="s">
        <v>142</v>
      </c>
      <c r="C210" s="42"/>
      <c r="D210" s="43"/>
      <c r="E210" s="43"/>
      <c r="F210" s="45">
        <v>30</v>
      </c>
      <c r="G210" s="228"/>
      <c r="H210" s="229"/>
      <c r="I210" s="46">
        <f>IF(C201=0,0,C201*F210)</f>
        <v>0</v>
      </c>
      <c r="J210" s="44"/>
      <c r="K210" s="47"/>
      <c r="M210" s="55"/>
      <c r="O210" s="8"/>
    </row>
    <row r="211" spans="1:16" s="22" customFormat="1" ht="18" customHeight="1" x14ac:dyDescent="0.25">
      <c r="A211" s="243" t="s">
        <v>263</v>
      </c>
      <c r="B211" s="244"/>
      <c r="C211" s="34"/>
      <c r="D211" s="35"/>
      <c r="E211" s="34"/>
      <c r="F211" s="36"/>
      <c r="G211" s="127"/>
      <c r="H211" s="127"/>
      <c r="I211" s="37">
        <f>SUM(I212:I213)</f>
        <v>0</v>
      </c>
      <c r="J211" s="38">
        <f>IF(K9&gt;=1,1,0)</f>
        <v>0</v>
      </c>
      <c r="K211" s="39">
        <f>IF(J211=1,(I211*J211),SUM(I214:I223))</f>
        <v>0</v>
      </c>
      <c r="L211" s="9"/>
      <c r="M211" s="29"/>
      <c r="N211" s="9"/>
      <c r="O211" s="9"/>
    </row>
    <row r="212" spans="1:16" ht="18" customHeight="1" x14ac:dyDescent="0.25">
      <c r="A212" s="40"/>
      <c r="B212" s="41" t="s">
        <v>78</v>
      </c>
      <c r="C212" s="42"/>
      <c r="D212" s="43"/>
      <c r="E212" s="44"/>
      <c r="F212" s="45">
        <v>15</v>
      </c>
      <c r="G212" s="228" t="s">
        <v>256</v>
      </c>
      <c r="H212" s="229"/>
      <c r="I212" s="46">
        <f>IF(K17&lt;17,(K17*F212),240)</f>
        <v>0</v>
      </c>
      <c r="J212" s="44"/>
      <c r="K212" s="52"/>
      <c r="M212" s="55"/>
      <c r="O212" s="8"/>
    </row>
    <row r="213" spans="1:16" ht="18" customHeight="1" x14ac:dyDescent="0.25">
      <c r="A213" s="40"/>
      <c r="B213" s="41" t="s">
        <v>55</v>
      </c>
      <c r="C213" s="42"/>
      <c r="D213" s="43"/>
      <c r="E213" s="44"/>
      <c r="F213" s="45">
        <v>7.5</v>
      </c>
      <c r="G213" s="228" t="s">
        <v>227</v>
      </c>
      <c r="H213" s="229"/>
      <c r="I213" s="46">
        <f>IF(K17&lt;17,(K17*F213),120)</f>
        <v>0</v>
      </c>
      <c r="J213" s="44"/>
      <c r="K213" s="52"/>
      <c r="M213" s="55"/>
      <c r="O213" s="8"/>
    </row>
    <row r="214" spans="1:16" s="22" customFormat="1" ht="18" customHeight="1" x14ac:dyDescent="0.25">
      <c r="A214" s="243" t="s">
        <v>164</v>
      </c>
      <c r="B214" s="244"/>
      <c r="C214" s="34">
        <f>SUM(C215:C222)</f>
        <v>0</v>
      </c>
      <c r="D214" s="35">
        <f>SUM(D215:D222)</f>
        <v>0</v>
      </c>
      <c r="E214" s="34">
        <f>SUM(E215:E222)</f>
        <v>0</v>
      </c>
      <c r="F214" s="36"/>
      <c r="G214" s="127"/>
      <c r="H214" s="127"/>
      <c r="I214" s="37">
        <f>IF(J214=1,SUM(I215:I221),SUM(I217:I221))</f>
        <v>0</v>
      </c>
      <c r="J214" s="38">
        <f>IF(K9&gt;=1,1,0)</f>
        <v>0</v>
      </c>
      <c r="K214" s="39">
        <f>IF(J214=1,(I214*J214),SUM(I217:I221))</f>
        <v>0</v>
      </c>
      <c r="L214" s="9"/>
      <c r="M214" s="29"/>
      <c r="N214" s="9"/>
      <c r="O214" s="9"/>
    </row>
    <row r="215" spans="1:16" s="61" customFormat="1" ht="18" customHeight="1" x14ac:dyDescent="0.25">
      <c r="A215" s="80"/>
      <c r="B215" s="41" t="s">
        <v>96</v>
      </c>
      <c r="C215" s="42">
        <f>IF(K9=1,1,0)</f>
        <v>0</v>
      </c>
      <c r="D215" s="50"/>
      <c r="E215" s="44"/>
      <c r="F215" s="45">
        <v>12.5</v>
      </c>
      <c r="G215" s="228"/>
      <c r="H215" s="229"/>
      <c r="I215" s="46">
        <f>C215*F215</f>
        <v>0</v>
      </c>
      <c r="J215" s="44"/>
      <c r="K215" s="51"/>
      <c r="L215" s="8"/>
      <c r="M215" s="55"/>
      <c r="N215" s="8"/>
      <c r="O215" s="8"/>
    </row>
    <row r="216" spans="1:16" ht="18" customHeight="1" x14ac:dyDescent="0.25">
      <c r="A216" s="49"/>
      <c r="B216" s="41" t="s">
        <v>113</v>
      </c>
      <c r="C216" s="42"/>
      <c r="D216" s="50"/>
      <c r="E216" s="44"/>
      <c r="F216" s="45">
        <v>12.5</v>
      </c>
      <c r="G216" s="228"/>
      <c r="H216" s="229"/>
      <c r="I216" s="46">
        <f>C215*F216</f>
        <v>0</v>
      </c>
      <c r="J216" s="44"/>
      <c r="K216" s="51"/>
      <c r="M216" s="55"/>
      <c r="O216" s="8"/>
      <c r="P216" s="10" t="s">
        <v>268</v>
      </c>
    </row>
    <row r="217" spans="1:16" ht="18" customHeight="1" x14ac:dyDescent="0.25">
      <c r="A217" s="40"/>
      <c r="B217" s="41" t="s">
        <v>56</v>
      </c>
      <c r="C217" s="98"/>
      <c r="D217" s="99"/>
      <c r="E217" s="44">
        <f t="shared" si="1"/>
        <v>0</v>
      </c>
      <c r="F217" s="45">
        <v>7.5</v>
      </c>
      <c r="G217" s="228" t="s">
        <v>115</v>
      </c>
      <c r="H217" s="229"/>
      <c r="I217" s="46">
        <f>(C217+D217+E217)*F217</f>
        <v>0</v>
      </c>
      <c r="J217" s="44"/>
      <c r="K217" s="52"/>
      <c r="M217" s="55"/>
      <c r="O217" s="8"/>
    </row>
    <row r="218" spans="1:16" ht="18" customHeight="1" x14ac:dyDescent="0.25">
      <c r="A218" s="40"/>
      <c r="B218" s="41" t="s">
        <v>58</v>
      </c>
      <c r="C218" s="98"/>
      <c r="D218" s="99"/>
      <c r="E218" s="44">
        <f t="shared" si="1"/>
        <v>0</v>
      </c>
      <c r="F218" s="45">
        <v>7.5</v>
      </c>
      <c r="G218" s="228" t="s">
        <v>115</v>
      </c>
      <c r="H218" s="229"/>
      <c r="I218" s="46">
        <f>(C218+D218+E218)*F218</f>
        <v>0</v>
      </c>
      <c r="J218" s="44"/>
      <c r="K218" s="52"/>
      <c r="M218" s="55"/>
      <c r="O218" s="8"/>
    </row>
    <row r="219" spans="1:16" ht="18" customHeight="1" x14ac:dyDescent="0.25">
      <c r="A219" s="40"/>
      <c r="B219" s="41" t="s">
        <v>57</v>
      </c>
      <c r="C219" s="98"/>
      <c r="D219" s="99"/>
      <c r="E219" s="44">
        <f t="shared" si="1"/>
        <v>0</v>
      </c>
      <c r="F219" s="45">
        <v>7.5</v>
      </c>
      <c r="G219" s="228" t="s">
        <v>115</v>
      </c>
      <c r="H219" s="229"/>
      <c r="I219" s="46">
        <f>(C219+D219+E219)*F219</f>
        <v>0</v>
      </c>
      <c r="J219" s="44"/>
      <c r="K219" s="52"/>
      <c r="M219" s="55"/>
      <c r="O219" s="8"/>
    </row>
    <row r="220" spans="1:16" ht="18" customHeight="1" x14ac:dyDescent="0.25">
      <c r="A220" s="40"/>
      <c r="B220" s="41" t="s">
        <v>59</v>
      </c>
      <c r="C220" s="98"/>
      <c r="D220" s="99"/>
      <c r="E220" s="44">
        <f t="shared" si="1"/>
        <v>0</v>
      </c>
      <c r="F220" s="45">
        <v>7.5</v>
      </c>
      <c r="G220" s="228" t="s">
        <v>115</v>
      </c>
      <c r="H220" s="229"/>
      <c r="I220" s="46">
        <f>(C220+D220+E220)*F220</f>
        <v>0</v>
      </c>
      <c r="J220" s="44"/>
      <c r="K220" s="52"/>
      <c r="M220" s="55"/>
      <c r="O220" s="8"/>
    </row>
    <row r="221" spans="1:16" ht="18" customHeight="1" x14ac:dyDescent="0.25">
      <c r="A221" s="40"/>
      <c r="B221" s="41" t="s">
        <v>60</v>
      </c>
      <c r="C221" s="98"/>
      <c r="D221" s="99"/>
      <c r="E221" s="44">
        <f t="shared" si="1"/>
        <v>0</v>
      </c>
      <c r="F221" s="45">
        <v>7.5</v>
      </c>
      <c r="G221" s="228" t="s">
        <v>115</v>
      </c>
      <c r="H221" s="229"/>
      <c r="I221" s="46">
        <f>(C221+D221+E221)*F221</f>
        <v>0</v>
      </c>
      <c r="J221" s="44"/>
      <c r="K221" s="52"/>
      <c r="M221" s="55"/>
      <c r="O221" s="8"/>
    </row>
    <row r="222" spans="1:16" ht="18" customHeight="1" x14ac:dyDescent="0.25">
      <c r="A222" s="40"/>
      <c r="B222" s="41" t="s">
        <v>142</v>
      </c>
      <c r="C222" s="42"/>
      <c r="D222" s="43"/>
      <c r="E222" s="43"/>
      <c r="F222" s="45">
        <v>30</v>
      </c>
      <c r="G222" s="228"/>
      <c r="H222" s="229"/>
      <c r="I222" s="46">
        <f>IF(C215=0,0,C215*F222)</f>
        <v>0</v>
      </c>
      <c r="J222" s="44"/>
      <c r="K222" s="47"/>
      <c r="M222" s="29"/>
      <c r="O222" s="8"/>
    </row>
    <row r="223" spans="1:16" ht="18" customHeight="1" x14ac:dyDescent="0.25">
      <c r="A223" s="243" t="s">
        <v>123</v>
      </c>
      <c r="B223" s="244"/>
      <c r="C223" s="34">
        <f>SUM(C224:C238)</f>
        <v>0</v>
      </c>
      <c r="D223" s="35">
        <f>SUM(D224:D238)</f>
        <v>0</v>
      </c>
      <c r="E223" s="34">
        <f>SUM(E224:E238)</f>
        <v>0</v>
      </c>
      <c r="F223" s="36"/>
      <c r="G223" s="127"/>
      <c r="H223" s="127"/>
      <c r="I223" s="37">
        <f>SUM(I224:I238)</f>
        <v>0</v>
      </c>
      <c r="J223" s="38">
        <f>IF(K9&gt;=1,1,0)</f>
        <v>0</v>
      </c>
      <c r="K223" s="39">
        <f>IF(AND(J223="",K17&lt;5),0,I223)</f>
        <v>0</v>
      </c>
      <c r="M223" s="29"/>
      <c r="O223" s="8"/>
    </row>
    <row r="224" spans="1:16" ht="30" customHeight="1" x14ac:dyDescent="0.25">
      <c r="A224" s="40"/>
      <c r="B224" s="41" t="s">
        <v>16</v>
      </c>
      <c r="C224" s="42"/>
      <c r="D224" s="43"/>
      <c r="E224" s="44"/>
      <c r="F224" s="45">
        <v>12.5</v>
      </c>
      <c r="G224" s="228" t="s">
        <v>225</v>
      </c>
      <c r="H224" s="229"/>
      <c r="I224" s="46">
        <f>IF(OR(J223=0,J223=""),0,IF(AND(J223=1,K17&lt;8),0,IF(AND(J223=1,AND(K17&gt;=8,K17&lt;17)),F224, IF(AND(J223=1,K17&lt;25),F224*2,IF(AND(J223=1,K17&gt;24),F224*3,0)))))</f>
        <v>0</v>
      </c>
      <c r="J224" s="44"/>
      <c r="K224" s="52"/>
      <c r="M224" s="73"/>
      <c r="O224" s="8"/>
    </row>
    <row r="225" spans="1:15" ht="30" customHeight="1" x14ac:dyDescent="0.25">
      <c r="A225" s="40"/>
      <c r="B225" s="41" t="s">
        <v>125</v>
      </c>
      <c r="C225" s="98"/>
      <c r="D225" s="99"/>
      <c r="E225" s="44">
        <f t="shared" si="1"/>
        <v>0</v>
      </c>
      <c r="F225" s="45">
        <v>12.5</v>
      </c>
      <c r="G225" s="228" t="s">
        <v>225</v>
      </c>
      <c r="H225" s="229"/>
      <c r="I225" s="46">
        <f>IF(OR(J223=0,J223=""),0,IF(AND(J223=1,K17&lt;8),0,IF(AND(J223=1,AND(K17&gt;=8,K17&lt;17)),F225, IF(AND(J223=1,K17&lt;25),F225*2,IF(AND(J223=1,K17&gt;24),F225*3,0)))))</f>
        <v>0</v>
      </c>
      <c r="J225" s="44"/>
      <c r="K225" s="52"/>
      <c r="M225" s="73"/>
      <c r="O225" s="8"/>
    </row>
    <row r="226" spans="1:15" ht="18" customHeight="1" x14ac:dyDescent="0.25">
      <c r="A226" s="40"/>
      <c r="B226" s="41" t="s">
        <v>126</v>
      </c>
      <c r="C226" s="98"/>
      <c r="D226" s="99"/>
      <c r="E226" s="44">
        <f t="shared" si="1"/>
        <v>0</v>
      </c>
      <c r="F226" s="45">
        <v>7.5</v>
      </c>
      <c r="G226" s="228" t="s">
        <v>158</v>
      </c>
      <c r="H226" s="229"/>
      <c r="I226" s="46">
        <f>IF(OR(J223=0,J223=""),0,IF(AND(J223=1,K17&lt;8),0,IF(AND(J223=1,K17&gt;7),F238,0)))</f>
        <v>0</v>
      </c>
      <c r="J226" s="44"/>
      <c r="K226" s="52"/>
      <c r="M226" s="73"/>
      <c r="O226" s="8"/>
    </row>
    <row r="227" spans="1:15" ht="30" customHeight="1" x14ac:dyDescent="0.25">
      <c r="A227" s="40"/>
      <c r="B227" s="41" t="s">
        <v>173</v>
      </c>
      <c r="C227" s="42"/>
      <c r="D227" s="43"/>
      <c r="E227" s="44"/>
      <c r="F227" s="45">
        <v>25</v>
      </c>
      <c r="G227" s="228" t="s">
        <v>272</v>
      </c>
      <c r="H227" s="229"/>
      <c r="I227" s="46">
        <f>IF(OR(J223=0,J223=""),0,IF(AND(J223=1,K17&lt;8),0,IF(AND(J223=1,AND(K17&gt;=8,K17&lt;13)),F227, IF(AND(J223=1,K17&lt;17),F227*2,IF(AND(J223=1,K17&lt;21),F227*3,F227*4)))))</f>
        <v>0</v>
      </c>
      <c r="J227" s="44"/>
      <c r="K227" s="52"/>
      <c r="M227" s="73"/>
      <c r="O227" s="8"/>
    </row>
    <row r="228" spans="1:15" ht="18" customHeight="1" x14ac:dyDescent="0.25">
      <c r="A228" s="40"/>
      <c r="B228" s="41" t="s">
        <v>63</v>
      </c>
      <c r="C228" s="42"/>
      <c r="D228" s="43"/>
      <c r="E228" s="44"/>
      <c r="F228" s="45">
        <v>20</v>
      </c>
      <c r="G228" s="228" t="s">
        <v>271</v>
      </c>
      <c r="H228" s="229"/>
      <c r="I228" s="46">
        <f>IF(OR(J223=0,J223=""),0,IF(AND(J223=1,K17&lt;8),0,IF(AND(J223=1,AND(K17&gt;=8,K17&lt;17)),F228,F228*2)))</f>
        <v>0</v>
      </c>
      <c r="J228" s="44"/>
      <c r="K228" s="52"/>
      <c r="M228" s="73"/>
      <c r="O228" s="8"/>
    </row>
    <row r="229" spans="1:15" ht="18" customHeight="1" x14ac:dyDescent="0.25">
      <c r="A229" s="40"/>
      <c r="B229" s="41" t="s">
        <v>129</v>
      </c>
      <c r="C229" s="42"/>
      <c r="D229" s="43"/>
      <c r="E229" s="44"/>
      <c r="F229" s="45">
        <v>25</v>
      </c>
      <c r="G229" s="228" t="s">
        <v>124</v>
      </c>
      <c r="H229" s="229"/>
      <c r="I229" s="46">
        <f>IF(OR(J223=0,J223=""),0,IF(AND(J223=1,K17&lt;8),0,IF(AND(J223=1,K17&gt;7),F229,0)))</f>
        <v>0</v>
      </c>
      <c r="J229" s="44"/>
      <c r="K229" s="52"/>
      <c r="M229" s="73"/>
      <c r="O229" s="8"/>
    </row>
    <row r="230" spans="1:15" ht="18" customHeight="1" x14ac:dyDescent="0.25">
      <c r="A230" s="40"/>
      <c r="B230" s="41" t="s">
        <v>131</v>
      </c>
      <c r="C230" s="42"/>
      <c r="D230" s="43"/>
      <c r="E230" s="44"/>
      <c r="F230" s="45">
        <v>10</v>
      </c>
      <c r="G230" s="228" t="s">
        <v>124</v>
      </c>
      <c r="H230" s="229"/>
      <c r="I230" s="46">
        <f>IF(OR(J223=0,J223=""),0,IF(AND(J223=1,K17&lt;8),0,IF(AND(J223=1,K17&gt;7),F230,0)))</f>
        <v>0</v>
      </c>
      <c r="J230" s="44"/>
      <c r="K230" s="52"/>
      <c r="M230" s="73"/>
      <c r="O230" s="8"/>
    </row>
    <row r="231" spans="1:15" ht="25.5" x14ac:dyDescent="0.25">
      <c r="A231" s="40"/>
      <c r="B231" s="41" t="s">
        <v>127</v>
      </c>
      <c r="C231" s="42"/>
      <c r="D231" s="43"/>
      <c r="E231" s="44"/>
      <c r="F231" s="45">
        <v>12.5</v>
      </c>
      <c r="G231" s="228" t="s">
        <v>124</v>
      </c>
      <c r="H231" s="229"/>
      <c r="I231" s="46">
        <f>IF(OR(J223=0,J223=""),0,IF(AND(J223=1,K17&lt;8),0,IF(AND(J223=1,K17&gt;7),F231,0)))</f>
        <v>0</v>
      </c>
      <c r="J231" s="44"/>
      <c r="K231" s="52"/>
      <c r="M231" s="73"/>
      <c r="O231" s="8"/>
    </row>
    <row r="232" spans="1:15" ht="30" customHeight="1" x14ac:dyDescent="0.25">
      <c r="A232" s="40"/>
      <c r="B232" s="41" t="s">
        <v>61</v>
      </c>
      <c r="C232" s="42"/>
      <c r="D232" s="43"/>
      <c r="E232" s="42"/>
      <c r="F232" s="45">
        <v>25</v>
      </c>
      <c r="G232" s="228" t="s">
        <v>280</v>
      </c>
      <c r="H232" s="229"/>
      <c r="I232" s="46">
        <f>IF(OR(J223=0,J223=""),0,IF(AND(J223=1,K17&lt;5),0,IF(AND(J223=1,AND(K17&gt;4,K17&lt;17)),F232,IF(AND(J223=1,K17&gt;16),(F232*1.5),0))))</f>
        <v>0</v>
      </c>
      <c r="J232" s="44"/>
      <c r="K232" s="52"/>
      <c r="M232" s="73"/>
      <c r="O232" s="8"/>
    </row>
    <row r="233" spans="1:15" ht="18" customHeight="1" x14ac:dyDescent="0.25">
      <c r="A233" s="40"/>
      <c r="B233" s="48" t="s">
        <v>269</v>
      </c>
      <c r="C233" s="42"/>
      <c r="D233" s="43"/>
      <c r="E233" s="42"/>
      <c r="F233" s="45">
        <v>6</v>
      </c>
      <c r="G233" s="228"/>
      <c r="H233" s="229"/>
      <c r="I233" s="46">
        <f>IF(I232=0,0,F233)</f>
        <v>0</v>
      </c>
      <c r="J233" s="44"/>
      <c r="K233" s="52"/>
      <c r="M233" s="73"/>
      <c r="O233" s="8"/>
    </row>
    <row r="234" spans="1:15" ht="18" customHeight="1" x14ac:dyDescent="0.25">
      <c r="A234" s="40"/>
      <c r="B234" s="41" t="s">
        <v>128</v>
      </c>
      <c r="C234" s="42"/>
      <c r="D234" s="43"/>
      <c r="E234" s="44"/>
      <c r="F234" s="45">
        <v>20</v>
      </c>
      <c r="G234" s="228" t="s">
        <v>281</v>
      </c>
      <c r="H234" s="229"/>
      <c r="I234" s="46">
        <f>IF(OR(J223=0,J223=""),0,IF(AND(J223=1,K17&lt;5),0,IF(AND(J223=1,AND(K17&gt;4,K17&lt;17)),F234,IF(AND(J223=1,K17&gt;16),(F234*1.5),0))))</f>
        <v>0</v>
      </c>
      <c r="J234" s="44"/>
      <c r="K234" s="52"/>
      <c r="M234" s="73"/>
      <c r="O234" s="8"/>
    </row>
    <row r="235" spans="1:15" ht="18" customHeight="1" x14ac:dyDescent="0.25">
      <c r="A235" s="40"/>
      <c r="B235" s="41" t="s">
        <v>62</v>
      </c>
      <c r="C235" s="42"/>
      <c r="D235" s="43"/>
      <c r="E235" s="44"/>
      <c r="F235" s="45">
        <v>5</v>
      </c>
      <c r="G235" s="228" t="s">
        <v>159</v>
      </c>
      <c r="H235" s="229"/>
      <c r="I235" s="46">
        <f>IF(OR(J223=0,J223=""),0,IF(AND(J223=1,K17&lt;8),0,IF(AND(J223=1,K17&gt;7),F235,0)))</f>
        <v>0</v>
      </c>
      <c r="J235" s="44"/>
      <c r="K235" s="52"/>
      <c r="M235" s="73"/>
      <c r="O235" s="8"/>
    </row>
    <row r="236" spans="1:15" ht="18" customHeight="1" x14ac:dyDescent="0.25">
      <c r="A236" s="40"/>
      <c r="B236" s="41" t="s">
        <v>130</v>
      </c>
      <c r="C236" s="42"/>
      <c r="D236" s="43"/>
      <c r="E236" s="44"/>
      <c r="F236" s="45">
        <v>5</v>
      </c>
      <c r="G236" s="228" t="s">
        <v>124</v>
      </c>
      <c r="H236" s="229"/>
      <c r="I236" s="46">
        <f>IF(OR(J223=0,J223=""),0,IF(AND(J223=1,K17&lt;8),0,IF(AND(J223=1,K17&gt;7),F236,0)))</f>
        <v>0</v>
      </c>
      <c r="J236" s="44"/>
      <c r="K236" s="52"/>
      <c r="M236" s="73"/>
      <c r="O236" s="8"/>
    </row>
    <row r="237" spans="1:15" ht="18" customHeight="1" x14ac:dyDescent="0.25">
      <c r="A237" s="40"/>
      <c r="B237" s="41" t="s">
        <v>142</v>
      </c>
      <c r="C237" s="42"/>
      <c r="D237" s="43"/>
      <c r="E237" s="43"/>
      <c r="F237" s="45">
        <v>30</v>
      </c>
      <c r="G237" s="228" t="s">
        <v>124</v>
      </c>
      <c r="H237" s="229"/>
      <c r="I237" s="46">
        <f>IF(OR(J223=0,J223=""),0,IF(AND(J223=1,K17&lt;8),0,IF(AND(J223=1,K17&gt;7),F237,0)))</f>
        <v>0</v>
      </c>
      <c r="J237" s="44"/>
      <c r="K237" s="47"/>
      <c r="M237" s="29"/>
      <c r="O237" s="8"/>
    </row>
    <row r="238" spans="1:15" ht="18" customHeight="1" x14ac:dyDescent="0.25">
      <c r="A238" s="40"/>
      <c r="B238" s="48" t="s">
        <v>117</v>
      </c>
      <c r="C238" s="42"/>
      <c r="D238" s="43"/>
      <c r="E238" s="44"/>
      <c r="F238" s="45">
        <v>12.5</v>
      </c>
      <c r="G238" s="228" t="s">
        <v>124</v>
      </c>
      <c r="H238" s="229"/>
      <c r="I238" s="46">
        <f>IF(OR(J223=0,J223=""),0,IF(AND(J223=1,K17&lt;8),0,IF(AND(J223=1,K17&gt;7),F238,0)))</f>
        <v>0</v>
      </c>
      <c r="J238" s="44"/>
      <c r="K238" s="47"/>
      <c r="M238" s="29"/>
      <c r="O238" s="8"/>
    </row>
    <row r="239" spans="1:15" s="22" customFormat="1" ht="18" customHeight="1" x14ac:dyDescent="0.25">
      <c r="A239" s="243" t="s">
        <v>132</v>
      </c>
      <c r="B239" s="244"/>
      <c r="C239" s="34">
        <f>SUM(C240:C246)</f>
        <v>0</v>
      </c>
      <c r="D239" s="35">
        <f>SUM(D240:D246)</f>
        <v>0</v>
      </c>
      <c r="E239" s="34">
        <f>SUM(E240:E246)</f>
        <v>0</v>
      </c>
      <c r="F239" s="36"/>
      <c r="G239" s="127"/>
      <c r="H239" s="127"/>
      <c r="I239" s="37">
        <f>SUM(I240:I246)</f>
        <v>0</v>
      </c>
      <c r="J239" s="38">
        <f>IF(K9&gt;=1,1,0)</f>
        <v>0</v>
      </c>
      <c r="K239" s="39">
        <f>IF(J239=1,(I239*J239),SUM(I242:I245))</f>
        <v>0</v>
      </c>
      <c r="L239" s="9"/>
      <c r="M239" s="29"/>
      <c r="N239" s="9"/>
      <c r="O239" s="9"/>
    </row>
    <row r="240" spans="1:15" s="61" customFormat="1" ht="18" customHeight="1" x14ac:dyDescent="0.25">
      <c r="A240" s="80"/>
      <c r="B240" s="41" t="s">
        <v>96</v>
      </c>
      <c r="C240" s="42">
        <f>IF(K9=1,1,0)</f>
        <v>0</v>
      </c>
      <c r="D240" s="50"/>
      <c r="E240" s="44"/>
      <c r="F240" s="45">
        <v>12.5</v>
      </c>
      <c r="G240" s="228"/>
      <c r="H240" s="229"/>
      <c r="I240" s="46">
        <f>IF(J239=1,(C240*F240),0)</f>
        <v>0</v>
      </c>
      <c r="J240" s="44"/>
      <c r="K240" s="51"/>
      <c r="L240" s="8"/>
      <c r="M240" s="55"/>
      <c r="N240" s="8"/>
      <c r="O240" s="8"/>
    </row>
    <row r="241" spans="1:15" ht="18" customHeight="1" x14ac:dyDescent="0.25">
      <c r="A241" s="49"/>
      <c r="B241" s="41" t="s">
        <v>113</v>
      </c>
      <c r="C241" s="42"/>
      <c r="D241" s="50"/>
      <c r="E241" s="44"/>
      <c r="F241" s="45">
        <v>12.5</v>
      </c>
      <c r="G241" s="228"/>
      <c r="H241" s="229"/>
      <c r="I241" s="46">
        <f>IF(J239=1,(C240*F241),0)</f>
        <v>0</v>
      </c>
      <c r="J241" s="44"/>
      <c r="K241" s="51"/>
      <c r="M241" s="55"/>
      <c r="O241" s="8"/>
    </row>
    <row r="242" spans="1:15" ht="18" customHeight="1" x14ac:dyDescent="0.25">
      <c r="A242" s="40"/>
      <c r="B242" s="41" t="s">
        <v>262</v>
      </c>
      <c r="C242" s="98"/>
      <c r="D242" s="99"/>
      <c r="E242" s="44">
        <f t="shared" si="1"/>
        <v>0</v>
      </c>
      <c r="F242" s="45">
        <v>7.5</v>
      </c>
      <c r="G242" s="228" t="s">
        <v>115</v>
      </c>
      <c r="H242" s="229"/>
      <c r="I242" s="46">
        <f>IF(J239="",0,((C242+D242+E242)*F242))</f>
        <v>0</v>
      </c>
      <c r="J242" s="44"/>
      <c r="K242" s="47"/>
      <c r="M242" s="55"/>
      <c r="O242" s="8"/>
    </row>
    <row r="243" spans="1:15" ht="18" customHeight="1" x14ac:dyDescent="0.25">
      <c r="A243" s="40"/>
      <c r="B243" s="41" t="s">
        <v>260</v>
      </c>
      <c r="C243" s="98"/>
      <c r="D243" s="99"/>
      <c r="E243" s="44" t="s">
        <v>248</v>
      </c>
      <c r="F243" s="45">
        <v>7.5</v>
      </c>
      <c r="G243" s="228" t="s">
        <v>261</v>
      </c>
      <c r="H243" s="229"/>
      <c r="I243" s="46">
        <f>IF(J239="",0,((C243+D243)*F243))</f>
        <v>0</v>
      </c>
      <c r="J243" s="44"/>
      <c r="K243" s="47"/>
      <c r="M243" s="55"/>
      <c r="O243" s="8"/>
    </row>
    <row r="244" spans="1:15" ht="18" customHeight="1" x14ac:dyDescent="0.25">
      <c r="A244" s="40"/>
      <c r="B244" s="41" t="s">
        <v>273</v>
      </c>
      <c r="C244" s="42"/>
      <c r="D244" s="43"/>
      <c r="E244" s="44"/>
      <c r="F244" s="45">
        <v>30</v>
      </c>
      <c r="G244" s="228" t="s">
        <v>282</v>
      </c>
      <c r="H244" s="229"/>
      <c r="I244" s="46">
        <f>IF(AND(J223=0,K17&lt;8),0,IF(AND(K17&gt;=8,K17&lt;17),F244,F244*1.5))</f>
        <v>0</v>
      </c>
      <c r="J244" s="44"/>
      <c r="K244" s="47"/>
      <c r="M244" s="55"/>
      <c r="O244" s="8"/>
    </row>
    <row r="245" spans="1:15" ht="30" customHeight="1" x14ac:dyDescent="0.25">
      <c r="A245" s="40"/>
      <c r="B245" s="41" t="s">
        <v>226</v>
      </c>
      <c r="C245" s="42"/>
      <c r="D245" s="43"/>
      <c r="E245" s="44"/>
      <c r="F245" s="45">
        <v>50</v>
      </c>
      <c r="G245" s="228" t="s">
        <v>274</v>
      </c>
      <c r="H245" s="229"/>
      <c r="I245" s="46">
        <f>IF(AND(K9="",K17&lt;5),0,IF(AND(K17&gt;4,K17&lt;9),F245,IF(K17&lt;13,F245+10,IF(K17&lt;17,F245+20,F245+30))))</f>
        <v>0</v>
      </c>
      <c r="J245" s="44"/>
      <c r="K245" s="47"/>
      <c r="M245" s="55"/>
      <c r="O245" s="8"/>
    </row>
    <row r="246" spans="1:15" ht="18" customHeight="1" x14ac:dyDescent="0.25">
      <c r="A246" s="40"/>
      <c r="B246" s="41" t="s">
        <v>142</v>
      </c>
      <c r="C246" s="42"/>
      <c r="D246" s="43"/>
      <c r="E246" s="43"/>
      <c r="F246" s="45">
        <v>30</v>
      </c>
      <c r="G246" s="228"/>
      <c r="H246" s="229"/>
      <c r="I246" s="46">
        <f>IF(C240=1,F246,0)</f>
        <v>0</v>
      </c>
      <c r="J246" s="44"/>
      <c r="K246" s="47"/>
      <c r="M246" s="29"/>
      <c r="O246" s="8"/>
    </row>
    <row r="247" spans="1:15" ht="18" customHeight="1" x14ac:dyDescent="0.25">
      <c r="A247" s="243" t="s">
        <v>199</v>
      </c>
      <c r="B247" s="244"/>
      <c r="C247" s="34">
        <f>SUM(C248:C260)</f>
        <v>0</v>
      </c>
      <c r="D247" s="35">
        <f>SUM(D248:D260)</f>
        <v>0</v>
      </c>
      <c r="E247" s="34">
        <f>SUM(E248:E260)</f>
        <v>0</v>
      </c>
      <c r="F247" s="36"/>
      <c r="G247" s="127"/>
      <c r="H247" s="127"/>
      <c r="I247" s="37">
        <f>SUM(I248:I260)</f>
        <v>0</v>
      </c>
      <c r="J247" s="38">
        <f>IF(K9&gt;=1,1,0)</f>
        <v>0</v>
      </c>
      <c r="K247" s="39">
        <f>IF(J247=1,(I247*J247),SUM(I250:I265))</f>
        <v>0</v>
      </c>
      <c r="M247" s="29"/>
      <c r="O247" s="8"/>
    </row>
    <row r="248" spans="1:15" ht="18" customHeight="1" x14ac:dyDescent="0.25">
      <c r="A248" s="40"/>
      <c r="B248" s="41" t="s">
        <v>96</v>
      </c>
      <c r="C248" s="42">
        <f>IF(K9=1,1,0)</f>
        <v>0</v>
      </c>
      <c r="D248" s="43"/>
      <c r="E248" s="44"/>
      <c r="F248" s="45">
        <v>12.5</v>
      </c>
      <c r="G248" s="228"/>
      <c r="H248" s="229"/>
      <c r="I248" s="46">
        <f>IF(C248=0,0,(C248*F248))</f>
        <v>0</v>
      </c>
      <c r="J248" s="44"/>
      <c r="K248" s="47"/>
      <c r="M248" s="55"/>
      <c r="O248" s="8"/>
    </row>
    <row r="249" spans="1:15" ht="18" customHeight="1" x14ac:dyDescent="0.25">
      <c r="A249" s="40"/>
      <c r="B249" s="41" t="s">
        <v>113</v>
      </c>
      <c r="C249" s="42"/>
      <c r="D249" s="43"/>
      <c r="E249" s="44"/>
      <c r="F249" s="45">
        <v>12.5</v>
      </c>
      <c r="G249" s="228"/>
      <c r="H249" s="229"/>
      <c r="I249" s="46">
        <f>IF(C248=0,0,(C248*F249))</f>
        <v>0</v>
      </c>
      <c r="J249" s="44"/>
      <c r="K249" s="47"/>
      <c r="M249" s="55"/>
      <c r="O249" s="8"/>
    </row>
    <row r="250" spans="1:15" ht="18" customHeight="1" x14ac:dyDescent="0.25">
      <c r="A250" s="40"/>
      <c r="B250" s="41" t="s">
        <v>114</v>
      </c>
      <c r="C250" s="98"/>
      <c r="D250" s="99"/>
      <c r="E250" s="44">
        <f t="shared" si="1"/>
        <v>0</v>
      </c>
      <c r="F250" s="45">
        <v>12.5</v>
      </c>
      <c r="G250" s="228" t="s">
        <v>115</v>
      </c>
      <c r="H250" s="229"/>
      <c r="I250" s="46">
        <f>IF(C248=0,0,(C250+D250+E250)*F250)</f>
        <v>0</v>
      </c>
      <c r="J250" s="44"/>
      <c r="K250" s="47"/>
      <c r="M250" s="55"/>
      <c r="O250" s="8"/>
    </row>
    <row r="251" spans="1:15" ht="18" customHeight="1" x14ac:dyDescent="0.25">
      <c r="A251" s="40"/>
      <c r="B251" s="41" t="s">
        <v>299</v>
      </c>
      <c r="C251" s="98"/>
      <c r="D251" s="124"/>
      <c r="E251" s="44">
        <f>ROUND((SUM(C251+D251)*28%),0)</f>
        <v>0</v>
      </c>
      <c r="F251" s="45">
        <v>7.5</v>
      </c>
      <c r="G251" s="228" t="s">
        <v>115</v>
      </c>
      <c r="H251" s="229"/>
      <c r="I251" s="46">
        <f>(C251+D251+E251)*F251</f>
        <v>0</v>
      </c>
      <c r="J251" s="44"/>
      <c r="K251" s="47"/>
      <c r="M251" s="55"/>
      <c r="O251" s="8"/>
    </row>
    <row r="252" spans="1:15" ht="18" customHeight="1" x14ac:dyDescent="0.25">
      <c r="A252" s="40"/>
      <c r="B252" s="41" t="s">
        <v>298</v>
      </c>
      <c r="C252" s="98"/>
      <c r="D252" s="124"/>
      <c r="E252" s="44">
        <f>ROUND((SUM(C252+D252)*28%),0)</f>
        <v>0</v>
      </c>
      <c r="F252" s="45">
        <v>7.5</v>
      </c>
      <c r="G252" s="228" t="s">
        <v>115</v>
      </c>
      <c r="H252" s="229"/>
      <c r="I252" s="46">
        <f t="shared" ref="I252:I258" si="2">(C252+D252+E252)*F252</f>
        <v>0</v>
      </c>
      <c r="J252" s="44"/>
      <c r="K252" s="47"/>
      <c r="M252" s="55"/>
      <c r="O252" s="8"/>
    </row>
    <row r="253" spans="1:15" ht="18" customHeight="1" x14ac:dyDescent="0.25">
      <c r="A253" s="40"/>
      <c r="B253" s="41" t="s">
        <v>65</v>
      </c>
      <c r="C253" s="98"/>
      <c r="D253" s="99"/>
      <c r="E253" s="44">
        <f t="shared" si="1"/>
        <v>0</v>
      </c>
      <c r="F253" s="45">
        <v>7.5</v>
      </c>
      <c r="G253" s="228" t="s">
        <v>115</v>
      </c>
      <c r="H253" s="229"/>
      <c r="I253" s="46">
        <f t="shared" si="2"/>
        <v>0</v>
      </c>
      <c r="J253" s="44"/>
      <c r="K253" s="47"/>
      <c r="M253" s="55"/>
      <c r="O253" s="8"/>
    </row>
    <row r="254" spans="1:15" ht="18" customHeight="1" x14ac:dyDescent="0.25">
      <c r="A254" s="40"/>
      <c r="B254" s="41" t="s">
        <v>66</v>
      </c>
      <c r="C254" s="98"/>
      <c r="D254" s="99"/>
      <c r="E254" s="44">
        <f t="shared" si="1"/>
        <v>0</v>
      </c>
      <c r="F254" s="45">
        <v>7.5</v>
      </c>
      <c r="G254" s="228" t="s">
        <v>115</v>
      </c>
      <c r="H254" s="229"/>
      <c r="I254" s="46">
        <f t="shared" si="2"/>
        <v>0</v>
      </c>
      <c r="J254" s="44"/>
      <c r="K254" s="47"/>
      <c r="M254" s="55"/>
      <c r="O254" s="8"/>
    </row>
    <row r="255" spans="1:15" ht="18" customHeight="1" x14ac:dyDescent="0.25">
      <c r="A255" s="40"/>
      <c r="B255" s="41" t="s">
        <v>67</v>
      </c>
      <c r="C255" s="98"/>
      <c r="D255" s="99"/>
      <c r="E255" s="44">
        <f t="shared" si="1"/>
        <v>0</v>
      </c>
      <c r="F255" s="45">
        <v>7.5</v>
      </c>
      <c r="G255" s="228" t="s">
        <v>115</v>
      </c>
      <c r="H255" s="229"/>
      <c r="I255" s="46">
        <f t="shared" si="2"/>
        <v>0</v>
      </c>
      <c r="J255" s="44"/>
      <c r="K255" s="47"/>
      <c r="M255" s="55"/>
      <c r="O255" s="8"/>
    </row>
    <row r="256" spans="1:15" ht="18" customHeight="1" x14ac:dyDescent="0.25">
      <c r="A256" s="40"/>
      <c r="B256" s="41" t="s">
        <v>68</v>
      </c>
      <c r="C256" s="98"/>
      <c r="D256" s="99"/>
      <c r="E256" s="44">
        <f t="shared" si="1"/>
        <v>0</v>
      </c>
      <c r="F256" s="45">
        <v>7.5</v>
      </c>
      <c r="G256" s="228" t="s">
        <v>115</v>
      </c>
      <c r="H256" s="229"/>
      <c r="I256" s="46">
        <f t="shared" si="2"/>
        <v>0</v>
      </c>
      <c r="J256" s="44"/>
      <c r="K256" s="47"/>
      <c r="M256" s="55"/>
      <c r="O256" s="8"/>
    </row>
    <row r="257" spans="1:15" s="61" customFormat="1" ht="18" customHeight="1" x14ac:dyDescent="0.25">
      <c r="A257" s="49"/>
      <c r="B257" s="41" t="s">
        <v>69</v>
      </c>
      <c r="C257" s="98"/>
      <c r="D257" s="99"/>
      <c r="E257" s="44">
        <f t="shared" ref="E257:E273" si="3">ROUND((SUM(C257+D257)*28%),0)</f>
        <v>0</v>
      </c>
      <c r="F257" s="45">
        <v>7.5</v>
      </c>
      <c r="G257" s="228" t="s">
        <v>115</v>
      </c>
      <c r="H257" s="229"/>
      <c r="I257" s="46">
        <f t="shared" si="2"/>
        <v>0</v>
      </c>
      <c r="J257" s="44"/>
      <c r="K257" s="51"/>
      <c r="L257" s="8"/>
      <c r="M257" s="55"/>
      <c r="N257" s="8"/>
      <c r="O257" s="8"/>
    </row>
    <row r="258" spans="1:15" s="61" customFormat="1" ht="18" customHeight="1" x14ac:dyDescent="0.25">
      <c r="A258" s="49"/>
      <c r="B258" s="41" t="s">
        <v>71</v>
      </c>
      <c r="C258" s="98"/>
      <c r="D258" s="99"/>
      <c r="E258" s="44">
        <f t="shared" si="3"/>
        <v>0</v>
      </c>
      <c r="F258" s="45">
        <v>7.5</v>
      </c>
      <c r="G258" s="228" t="s">
        <v>115</v>
      </c>
      <c r="H258" s="229"/>
      <c r="I258" s="46">
        <f t="shared" si="2"/>
        <v>0</v>
      </c>
      <c r="J258" s="44"/>
      <c r="K258" s="51"/>
      <c r="L258" s="8"/>
      <c r="M258" s="55"/>
      <c r="N258" s="8"/>
      <c r="O258" s="8"/>
    </row>
    <row r="259" spans="1:15" s="61" customFormat="1" ht="18" customHeight="1" x14ac:dyDescent="0.25">
      <c r="A259" s="49"/>
      <c r="B259" s="41" t="s">
        <v>267</v>
      </c>
      <c r="C259" s="98"/>
      <c r="D259" s="99"/>
      <c r="E259" s="44">
        <f>ROUND((SUM(C259+D259)*28%),0)</f>
        <v>0</v>
      </c>
      <c r="F259" s="45">
        <v>7.5</v>
      </c>
      <c r="G259" s="228" t="s">
        <v>115</v>
      </c>
      <c r="H259" s="229"/>
      <c r="I259" s="46">
        <f>(C259+D259+E259)*F259</f>
        <v>0</v>
      </c>
      <c r="J259" s="44"/>
      <c r="K259" s="51"/>
      <c r="L259" s="8"/>
      <c r="M259" s="55"/>
      <c r="N259" s="8"/>
      <c r="O259" s="8"/>
    </row>
    <row r="260" spans="1:15" s="61" customFormat="1" ht="18" customHeight="1" x14ac:dyDescent="0.25">
      <c r="A260" s="40"/>
      <c r="B260" s="41" t="s">
        <v>142</v>
      </c>
      <c r="C260" s="42"/>
      <c r="D260" s="43"/>
      <c r="E260" s="43"/>
      <c r="F260" s="45">
        <v>30</v>
      </c>
      <c r="G260" s="228"/>
      <c r="H260" s="229"/>
      <c r="I260" s="46">
        <f>IF(J247=1,F260,0)</f>
        <v>0</v>
      </c>
      <c r="J260" s="44"/>
      <c r="K260" s="47"/>
      <c r="L260" s="8"/>
      <c r="M260" s="29"/>
      <c r="N260" s="8"/>
      <c r="O260" s="8"/>
    </row>
    <row r="261" spans="1:15" s="61" customFormat="1" ht="18" customHeight="1" x14ac:dyDescent="0.25">
      <c r="A261" s="243" t="s">
        <v>264</v>
      </c>
      <c r="B261" s="244"/>
      <c r="C261" s="34"/>
      <c r="D261" s="35" t="s">
        <v>248</v>
      </c>
      <c r="E261" s="34" t="s">
        <v>248</v>
      </c>
      <c r="F261" s="36"/>
      <c r="G261" s="127"/>
      <c r="H261" s="127"/>
      <c r="I261" s="37">
        <f>SUM(I262:I265)</f>
        <v>0</v>
      </c>
      <c r="J261" s="38">
        <f>IF(K9&gt;=1,1,0)</f>
        <v>0</v>
      </c>
      <c r="K261" s="39">
        <f>I261</f>
        <v>0</v>
      </c>
      <c r="L261" s="8"/>
      <c r="M261" s="29"/>
      <c r="N261" s="8"/>
      <c r="O261" s="8"/>
    </row>
    <row r="262" spans="1:15" s="9" customFormat="1" ht="18" customHeight="1" x14ac:dyDescent="0.25">
      <c r="A262" s="49"/>
      <c r="B262" s="41" t="s">
        <v>75</v>
      </c>
      <c r="C262" s="42"/>
      <c r="D262" s="50"/>
      <c r="E262" s="44"/>
      <c r="F262" s="45">
        <v>15</v>
      </c>
      <c r="G262" s="228" t="s">
        <v>265</v>
      </c>
      <c r="H262" s="229"/>
      <c r="I262" s="46">
        <f>IF(K17&lt;17,(K17*F262),240)</f>
        <v>0</v>
      </c>
      <c r="J262" s="44"/>
      <c r="K262" s="51"/>
      <c r="M262" s="55"/>
    </row>
    <row r="263" spans="1:15" s="61" customFormat="1" ht="18" customHeight="1" x14ac:dyDescent="0.25">
      <c r="A263" s="49"/>
      <c r="B263" s="41" t="s">
        <v>70</v>
      </c>
      <c r="C263" s="42"/>
      <c r="D263" s="50"/>
      <c r="E263" s="44"/>
      <c r="F263" s="45">
        <v>20</v>
      </c>
      <c r="G263" s="228" t="s">
        <v>257</v>
      </c>
      <c r="H263" s="229"/>
      <c r="I263" s="46">
        <f>IF(K17&lt;27,(K17*F263),560)</f>
        <v>0</v>
      </c>
      <c r="J263" s="44"/>
      <c r="K263" s="51"/>
      <c r="L263" s="8"/>
      <c r="M263" s="55"/>
      <c r="N263" s="8"/>
      <c r="O263" s="8"/>
    </row>
    <row r="264" spans="1:15" s="61" customFormat="1" ht="18" customHeight="1" x14ac:dyDescent="0.25">
      <c r="A264" s="49"/>
      <c r="B264" s="41" t="s">
        <v>72</v>
      </c>
      <c r="C264" s="42"/>
      <c r="D264" s="50"/>
      <c r="E264" s="44"/>
      <c r="F264" s="45">
        <v>10</v>
      </c>
      <c r="G264" s="228" t="s">
        <v>258</v>
      </c>
      <c r="H264" s="229"/>
      <c r="I264" s="46">
        <f>IF(K17&lt;27,(K17*F264),260)</f>
        <v>0</v>
      </c>
      <c r="J264" s="44"/>
      <c r="K264" s="51"/>
      <c r="L264" s="8"/>
      <c r="M264" s="55"/>
      <c r="N264" s="8"/>
      <c r="O264" s="8"/>
    </row>
    <row r="265" spans="1:15" s="61" customFormat="1" ht="18" customHeight="1" x14ac:dyDescent="0.25">
      <c r="A265" s="49"/>
      <c r="B265" s="41" t="s">
        <v>79</v>
      </c>
      <c r="C265" s="42"/>
      <c r="D265" s="50"/>
      <c r="E265" s="44"/>
      <c r="F265" s="45">
        <v>7.5</v>
      </c>
      <c r="G265" s="228" t="s">
        <v>227</v>
      </c>
      <c r="H265" s="229"/>
      <c r="I265" s="46">
        <f>IF(K17&lt;17,(K17*F265),120)</f>
        <v>0</v>
      </c>
      <c r="J265" s="44"/>
      <c r="K265" s="51"/>
      <c r="L265" s="8"/>
      <c r="M265" s="55"/>
      <c r="N265" s="8"/>
      <c r="O265" s="8"/>
    </row>
    <row r="266" spans="1:15" s="9" customFormat="1" ht="18" customHeight="1" x14ac:dyDescent="0.25">
      <c r="A266" s="243" t="s">
        <v>9</v>
      </c>
      <c r="B266" s="244"/>
      <c r="C266" s="34">
        <f>SUM(C267:C278)</f>
        <v>0</v>
      </c>
      <c r="D266" s="35">
        <f>SUM(D267:D278)</f>
        <v>0</v>
      </c>
      <c r="E266" s="34">
        <f>SUM(E267:E278)</f>
        <v>0</v>
      </c>
      <c r="F266" s="36"/>
      <c r="G266" s="127"/>
      <c r="H266" s="127"/>
      <c r="I266" s="37">
        <f>SUM(I267:I277)</f>
        <v>0</v>
      </c>
      <c r="J266" s="38">
        <f>IF(K9&gt;=1,1,0)</f>
        <v>0</v>
      </c>
      <c r="K266" s="39">
        <f>IF(J266=1,(I266*J266),SUM(I269:I278))</f>
        <v>0</v>
      </c>
      <c r="M266" s="55"/>
    </row>
    <row r="267" spans="1:15" s="61" customFormat="1" ht="18" customHeight="1" x14ac:dyDescent="0.25">
      <c r="A267" s="80"/>
      <c r="B267" s="41" t="s">
        <v>96</v>
      </c>
      <c r="C267" s="42">
        <f>IF(K9=1,1,0)</f>
        <v>0</v>
      </c>
      <c r="D267" s="50"/>
      <c r="E267" s="44"/>
      <c r="F267" s="45">
        <v>12.5</v>
      </c>
      <c r="G267" s="228"/>
      <c r="H267" s="229"/>
      <c r="I267" s="46">
        <f>IF(J266=1,(C267*F267),0)</f>
        <v>0</v>
      </c>
      <c r="J267" s="44"/>
      <c r="K267" s="51"/>
      <c r="L267" s="8"/>
      <c r="M267" s="55"/>
      <c r="N267" s="8"/>
      <c r="O267" s="8"/>
    </row>
    <row r="268" spans="1:15" s="9" customFormat="1" ht="18" customHeight="1" x14ac:dyDescent="0.25">
      <c r="A268" s="49"/>
      <c r="B268" s="41" t="s">
        <v>113</v>
      </c>
      <c r="C268" s="42"/>
      <c r="D268" s="50"/>
      <c r="E268" s="44"/>
      <c r="F268" s="45">
        <v>12.5</v>
      </c>
      <c r="G268" s="228"/>
      <c r="H268" s="229"/>
      <c r="I268" s="46">
        <f>IF(J266=1,(C267*F268),0)</f>
        <v>0</v>
      </c>
      <c r="J268" s="44"/>
      <c r="K268" s="51"/>
      <c r="M268" s="55"/>
    </row>
    <row r="269" spans="1:15" s="9" customFormat="1" ht="18" customHeight="1" x14ac:dyDescent="0.25">
      <c r="A269" s="49"/>
      <c r="B269" s="41" t="s">
        <v>73</v>
      </c>
      <c r="C269" s="98"/>
      <c r="D269" s="99"/>
      <c r="E269" s="44">
        <f t="shared" si="3"/>
        <v>0</v>
      </c>
      <c r="F269" s="45">
        <v>7.5</v>
      </c>
      <c r="G269" s="228" t="s">
        <v>115</v>
      </c>
      <c r="H269" s="229"/>
      <c r="I269" s="46">
        <f>(C269+D269+E269)*F269</f>
        <v>0</v>
      </c>
      <c r="J269" s="44"/>
      <c r="K269" s="51"/>
      <c r="M269" s="55"/>
    </row>
    <row r="270" spans="1:15" s="9" customFormat="1" ht="18" customHeight="1" x14ac:dyDescent="0.25">
      <c r="A270" s="49"/>
      <c r="B270" s="41" t="s">
        <v>259</v>
      </c>
      <c r="C270" s="98"/>
      <c r="D270" s="99"/>
      <c r="E270" s="44">
        <f>ROUND((SUM(C270+D270)*28%),0)</f>
        <v>0</v>
      </c>
      <c r="F270" s="45">
        <v>7.5</v>
      </c>
      <c r="G270" s="228" t="s">
        <v>115</v>
      </c>
      <c r="H270" s="229"/>
      <c r="I270" s="46">
        <f t="shared" ref="I270:I273" si="4">(C270+D270+E270)*F270</f>
        <v>0</v>
      </c>
      <c r="J270" s="44"/>
      <c r="K270" s="51"/>
      <c r="M270" s="55"/>
    </row>
    <row r="271" spans="1:15" s="9" customFormat="1" ht="18" customHeight="1" x14ac:dyDescent="0.25">
      <c r="A271" s="49"/>
      <c r="B271" s="41" t="s">
        <v>193</v>
      </c>
      <c r="C271" s="98"/>
      <c r="D271" s="99"/>
      <c r="E271" s="44">
        <f t="shared" si="3"/>
        <v>0</v>
      </c>
      <c r="F271" s="45">
        <v>7.5</v>
      </c>
      <c r="G271" s="228" t="s">
        <v>300</v>
      </c>
      <c r="H271" s="229"/>
      <c r="I271" s="46">
        <f t="shared" si="4"/>
        <v>0</v>
      </c>
      <c r="J271" s="44"/>
      <c r="K271" s="51"/>
      <c r="M271" s="55"/>
    </row>
    <row r="272" spans="1:15" s="61" customFormat="1" ht="30" customHeight="1" x14ac:dyDescent="0.25">
      <c r="A272" s="49"/>
      <c r="B272" s="48" t="s">
        <v>94</v>
      </c>
      <c r="C272" s="42"/>
      <c r="D272" s="43"/>
      <c r="E272" s="44"/>
      <c r="F272" s="45">
        <v>20</v>
      </c>
      <c r="G272" s="228" t="s">
        <v>228</v>
      </c>
      <c r="H272" s="229"/>
      <c r="I272" s="46">
        <f>IF(K17&lt;5,0,IF(AND(K17&gt;4,K17&lt;9),F272,IF(K17&lt;17,F272+7.5,35)))</f>
        <v>0</v>
      </c>
      <c r="J272" s="44"/>
      <c r="K272" s="51"/>
      <c r="L272" s="8"/>
      <c r="M272" s="55"/>
      <c r="N272" s="8"/>
      <c r="O272" s="8"/>
    </row>
    <row r="273" spans="1:15" s="9" customFormat="1" ht="18" customHeight="1" x14ac:dyDescent="0.25">
      <c r="A273" s="49"/>
      <c r="B273" s="41" t="s">
        <v>266</v>
      </c>
      <c r="C273" s="98"/>
      <c r="D273" s="99"/>
      <c r="E273" s="44">
        <f t="shared" si="3"/>
        <v>0</v>
      </c>
      <c r="F273" s="45">
        <v>7.5</v>
      </c>
      <c r="G273" s="228" t="s">
        <v>115</v>
      </c>
      <c r="H273" s="229"/>
      <c r="I273" s="46">
        <f t="shared" si="4"/>
        <v>0</v>
      </c>
      <c r="J273" s="44"/>
      <c r="K273" s="51"/>
      <c r="M273" s="55"/>
    </row>
    <row r="274" spans="1:15" s="61" customFormat="1" ht="18" customHeight="1" x14ac:dyDescent="0.25">
      <c r="A274" s="49"/>
      <c r="B274" s="41" t="s">
        <v>74</v>
      </c>
      <c r="C274" s="42"/>
      <c r="D274" s="50"/>
      <c r="E274" s="44"/>
      <c r="F274" s="45">
        <v>15</v>
      </c>
      <c r="G274" s="228"/>
      <c r="H274" s="229"/>
      <c r="I274" s="46">
        <f>IF(J266=1,(C267*F274),0)</f>
        <v>0</v>
      </c>
      <c r="J274" s="44"/>
      <c r="K274" s="51"/>
      <c r="L274" s="8"/>
      <c r="M274" s="55"/>
      <c r="N274" s="8"/>
      <c r="O274" s="8"/>
    </row>
    <row r="275" spans="1:15" s="61" customFormat="1" ht="18" customHeight="1" x14ac:dyDescent="0.25">
      <c r="A275" s="49"/>
      <c r="B275" s="41" t="s">
        <v>145</v>
      </c>
      <c r="C275" s="42"/>
      <c r="D275" s="50"/>
      <c r="E275" s="44"/>
      <c r="F275" s="45">
        <v>30</v>
      </c>
      <c r="G275" s="228" t="s">
        <v>171</v>
      </c>
      <c r="H275" s="229"/>
      <c r="I275" s="46">
        <f>IF(K17&gt;=5,30,0)</f>
        <v>0</v>
      </c>
      <c r="J275" s="44"/>
      <c r="K275" s="51"/>
      <c r="L275" s="8"/>
      <c r="M275" s="55"/>
      <c r="N275" s="8"/>
      <c r="O275" s="8"/>
    </row>
    <row r="276" spans="1:15" s="61" customFormat="1" ht="30" customHeight="1" x14ac:dyDescent="0.25">
      <c r="A276" s="49"/>
      <c r="B276" s="41" t="s">
        <v>230</v>
      </c>
      <c r="C276" s="42"/>
      <c r="D276" s="50"/>
      <c r="E276" s="44"/>
      <c r="F276" s="45">
        <v>20</v>
      </c>
      <c r="G276" s="228" t="s">
        <v>231</v>
      </c>
      <c r="H276" s="229"/>
      <c r="I276" s="46">
        <f>IF(K17&lt;6,0,IF(K17&lt;9,F276,IF(K17&lt;17,(F276*2),IF(K17&lt;25,F276*3,60))))</f>
        <v>0</v>
      </c>
      <c r="J276" s="44"/>
      <c r="K276" s="51"/>
      <c r="L276" s="8"/>
      <c r="M276" s="55"/>
      <c r="N276" s="8"/>
      <c r="O276" s="8"/>
    </row>
    <row r="277" spans="1:15" s="61" customFormat="1" ht="30" customHeight="1" x14ac:dyDescent="0.25">
      <c r="A277" s="49"/>
      <c r="B277" s="41" t="s">
        <v>146</v>
      </c>
      <c r="C277" s="42"/>
      <c r="D277" s="50"/>
      <c r="E277" s="44"/>
      <c r="F277" s="45">
        <v>30</v>
      </c>
      <c r="G277" s="228" t="s">
        <v>229</v>
      </c>
      <c r="H277" s="229"/>
      <c r="I277" s="46">
        <f>IF(K17&lt;6,0,IF(K17&lt;9,F277,IF(K17&lt;17,(F277*2),IF(K17&lt;25,F277*3,120))))</f>
        <v>0</v>
      </c>
      <c r="J277" s="44"/>
      <c r="K277" s="51"/>
      <c r="L277" s="8"/>
      <c r="M277" s="55"/>
      <c r="N277" s="8"/>
      <c r="O277" s="8"/>
    </row>
    <row r="278" spans="1:15" s="61" customFormat="1" ht="30" customHeight="1" x14ac:dyDescent="0.25">
      <c r="A278" s="49"/>
      <c r="B278" s="41" t="s">
        <v>232</v>
      </c>
      <c r="C278" s="42"/>
      <c r="D278" s="50"/>
      <c r="E278" s="44"/>
      <c r="F278" s="45">
        <v>20</v>
      </c>
      <c r="G278" s="228" t="s">
        <v>231</v>
      </c>
      <c r="H278" s="229"/>
      <c r="I278" s="46">
        <f>IF(K17&lt;6,0,IF(K17&lt;9,F278,IF(K17&lt;17,(F278*2),IF(K17&lt;25,F278*3,60))))</f>
        <v>0</v>
      </c>
      <c r="J278" s="44"/>
      <c r="K278" s="51"/>
      <c r="L278" s="8"/>
      <c r="M278" s="55"/>
      <c r="N278" s="8"/>
      <c r="O278" s="8"/>
    </row>
    <row r="279" spans="1:15" s="61" customFormat="1" ht="18" customHeight="1" x14ac:dyDescent="0.25">
      <c r="A279" s="243" t="s">
        <v>107</v>
      </c>
      <c r="B279" s="244"/>
      <c r="C279" s="34">
        <f>C280</f>
        <v>0</v>
      </c>
      <c r="D279" s="35">
        <f>D280</f>
        <v>0</v>
      </c>
      <c r="E279" s="34" t="s">
        <v>248</v>
      </c>
      <c r="F279" s="36"/>
      <c r="G279" s="127"/>
      <c r="H279" s="127"/>
      <c r="I279" s="37">
        <f>SUM(I281:I283)</f>
        <v>0</v>
      </c>
      <c r="J279" s="38">
        <f>IF(K9&gt;=1,1,0)</f>
        <v>0</v>
      </c>
      <c r="K279" s="39">
        <f>I279</f>
        <v>0</v>
      </c>
      <c r="L279" s="8"/>
      <c r="M279" s="55"/>
      <c r="N279" s="8"/>
      <c r="O279" s="8"/>
    </row>
    <row r="280" spans="1:15" s="9" customFormat="1" ht="18" customHeight="1" x14ac:dyDescent="0.25">
      <c r="A280" s="74"/>
      <c r="B280" s="77" t="s">
        <v>322</v>
      </c>
      <c r="C280" s="98"/>
      <c r="D280" s="99"/>
      <c r="E280" s="42" t="s">
        <v>248</v>
      </c>
      <c r="F280" s="45"/>
      <c r="G280" s="228"/>
      <c r="H280" s="229"/>
      <c r="I280" s="75" t="s">
        <v>248</v>
      </c>
      <c r="J280" s="62"/>
      <c r="K280" s="75"/>
      <c r="M280" s="55"/>
    </row>
    <row r="281" spans="1:15" s="61" customFormat="1" ht="18" customHeight="1" x14ac:dyDescent="0.25">
      <c r="A281" s="49"/>
      <c r="B281" s="41" t="s">
        <v>305</v>
      </c>
      <c r="C281" s="42"/>
      <c r="D281" s="50"/>
      <c r="E281" s="44"/>
      <c r="F281" s="45">
        <v>3</v>
      </c>
      <c r="G281" s="228" t="s">
        <v>233</v>
      </c>
      <c r="H281" s="229"/>
      <c r="I281" s="46">
        <f>IF(K17=0,0,IF(K17&lt;7,18*2,IF(K17&gt;6,((K17*F281)*2),0)))</f>
        <v>0</v>
      </c>
      <c r="J281" s="44"/>
      <c r="K281" s="51"/>
      <c r="L281" s="8"/>
      <c r="M281" s="55"/>
      <c r="N281" s="8"/>
      <c r="O281" s="8"/>
    </row>
    <row r="282" spans="1:15" s="61" customFormat="1" ht="18" customHeight="1" x14ac:dyDescent="0.25">
      <c r="A282" s="49"/>
      <c r="B282" s="41" t="s">
        <v>108</v>
      </c>
      <c r="C282" s="42"/>
      <c r="D282" s="50"/>
      <c r="E282" s="44"/>
      <c r="F282" s="45">
        <v>4</v>
      </c>
      <c r="G282" s="228" t="s">
        <v>292</v>
      </c>
      <c r="H282" s="229"/>
      <c r="I282" s="46">
        <f>IF(K17=0,0,IF(K17&lt;7,(F282*6),IF(AND(K17&gt;6,K17&lt;21),(K17*F282),F282*20)))</f>
        <v>0</v>
      </c>
      <c r="J282" s="44"/>
      <c r="K282" s="51"/>
      <c r="L282" s="8"/>
      <c r="M282" s="55"/>
      <c r="N282" s="8"/>
      <c r="O282" s="8"/>
    </row>
    <row r="283" spans="1:15" s="61" customFormat="1" ht="18" customHeight="1" x14ac:dyDescent="0.25">
      <c r="A283" s="49"/>
      <c r="B283" s="41" t="s">
        <v>109</v>
      </c>
      <c r="C283" s="42"/>
      <c r="D283" s="50"/>
      <c r="E283" s="44"/>
      <c r="F283" s="45">
        <v>4</v>
      </c>
      <c r="G283" s="228" t="s">
        <v>292</v>
      </c>
      <c r="H283" s="229"/>
      <c r="I283" s="46">
        <f>IF(K17=0,0,IF(K17&lt;7,(F283*6),IF(AND(K17&gt;6,K17&lt;21),(K17*F283),F283*20)))</f>
        <v>0</v>
      </c>
      <c r="J283" s="44"/>
      <c r="K283" s="51"/>
      <c r="L283" s="8"/>
      <c r="M283" s="55"/>
      <c r="N283" s="8"/>
      <c r="O283" s="8"/>
    </row>
    <row r="284" spans="1:15" s="61" customFormat="1" ht="18" customHeight="1" x14ac:dyDescent="0.25">
      <c r="A284" s="243" t="s">
        <v>99</v>
      </c>
      <c r="B284" s="244"/>
      <c r="C284" s="34" t="s">
        <v>248</v>
      </c>
      <c r="D284" s="35" t="s">
        <v>248</v>
      </c>
      <c r="E284" s="34" t="s">
        <v>248</v>
      </c>
      <c r="F284" s="36"/>
      <c r="G284" s="127"/>
      <c r="H284" s="127"/>
      <c r="I284" s="37">
        <f>SUM(I285:I290)</f>
        <v>0</v>
      </c>
      <c r="J284" s="38">
        <f>IF(K9&gt;=1,1,0)</f>
        <v>0</v>
      </c>
      <c r="K284" s="39">
        <f>I284</f>
        <v>0</v>
      </c>
      <c r="L284" s="8"/>
      <c r="M284" s="55"/>
      <c r="N284" s="8"/>
    </row>
    <row r="285" spans="1:15" s="61" customFormat="1" ht="30" customHeight="1" x14ac:dyDescent="0.25">
      <c r="A285" s="74"/>
      <c r="B285" s="41" t="s">
        <v>188</v>
      </c>
      <c r="C285" s="42"/>
      <c r="D285" s="43"/>
      <c r="E285" s="44"/>
      <c r="F285" s="45">
        <v>50</v>
      </c>
      <c r="G285" s="228" t="s">
        <v>234</v>
      </c>
      <c r="H285" s="229"/>
      <c r="I285" s="46">
        <f>IF(OR(J284&lt;1,J284=""),0,IF(K17&lt;5,F285,IF(K17&lt;9,F285*2,F285*3)))</f>
        <v>0</v>
      </c>
      <c r="J285" s="42"/>
      <c r="K285" s="75"/>
      <c r="L285" s="8"/>
      <c r="M285" s="55"/>
      <c r="N285" s="8"/>
      <c r="O285" s="8"/>
    </row>
    <row r="286" spans="1:15" s="61" customFormat="1" ht="18" customHeight="1" x14ac:dyDescent="0.25">
      <c r="A286" s="49"/>
      <c r="B286" s="48" t="s">
        <v>174</v>
      </c>
      <c r="C286" s="42"/>
      <c r="D286" s="50"/>
      <c r="E286" s="44"/>
      <c r="F286" s="45">
        <v>3</v>
      </c>
      <c r="G286" s="228" t="s">
        <v>118</v>
      </c>
      <c r="H286" s="229"/>
      <c r="I286" s="46">
        <f>IF(OR(J284&lt;1,J284=""),0,IF(I285&gt;0,F286*2,0))</f>
        <v>0</v>
      </c>
      <c r="J286" s="44"/>
      <c r="K286" s="51"/>
      <c r="L286" s="8"/>
      <c r="M286" s="55"/>
      <c r="N286" s="8"/>
      <c r="O286" s="8"/>
    </row>
    <row r="287" spans="1:15" ht="18" customHeight="1" x14ac:dyDescent="0.25">
      <c r="A287" s="49"/>
      <c r="B287" s="48" t="s">
        <v>175</v>
      </c>
      <c r="C287" s="42"/>
      <c r="D287" s="50"/>
      <c r="E287" s="44"/>
      <c r="F287" s="45">
        <v>7.5</v>
      </c>
      <c r="G287" s="228"/>
      <c r="H287" s="229"/>
      <c r="I287" s="46">
        <f>IF(OR(J284&lt;1,J284=""),0,IF(I285&gt;0,F287,0))</f>
        <v>0</v>
      </c>
      <c r="J287" s="44"/>
      <c r="K287" s="51"/>
      <c r="M287" s="55"/>
    </row>
    <row r="288" spans="1:15" s="61" customFormat="1" ht="18" customHeight="1" x14ac:dyDescent="0.25">
      <c r="A288" s="49"/>
      <c r="B288" s="41" t="s">
        <v>97</v>
      </c>
      <c r="C288" s="42"/>
      <c r="D288" s="43"/>
      <c r="E288" s="44"/>
      <c r="F288" s="45">
        <v>20</v>
      </c>
      <c r="G288" s="228" t="s">
        <v>170</v>
      </c>
      <c r="H288" s="229"/>
      <c r="I288" s="46">
        <f>IF(OR(J284&lt;1,J284=""),0,IF(K17&lt;5,F288,IF(K17&lt;9,F288*2,IF(K17&lt;13,F288*3,F288*4))))</f>
        <v>0</v>
      </c>
      <c r="J288" s="44"/>
      <c r="K288" s="52"/>
      <c r="L288" s="8"/>
      <c r="M288" s="29"/>
      <c r="N288" s="8"/>
      <c r="O288" s="8"/>
    </row>
    <row r="289" spans="1:15" s="61" customFormat="1" ht="18" customHeight="1" x14ac:dyDescent="0.25">
      <c r="A289" s="49"/>
      <c r="B289" s="41" t="s">
        <v>76</v>
      </c>
      <c r="C289" s="42"/>
      <c r="D289" s="50"/>
      <c r="E289" s="44"/>
      <c r="F289" s="45">
        <v>15</v>
      </c>
      <c r="G289" s="228" t="s">
        <v>235</v>
      </c>
      <c r="H289" s="229"/>
      <c r="I289" s="46">
        <f>IF(J284&lt;1,0,IF(AND(J284=1,K17&lt;5),F289,IF(AND(J284=1,K17&lt;9),F289*2,F289*3)))</f>
        <v>0</v>
      </c>
      <c r="J289" s="44"/>
      <c r="K289" s="51"/>
      <c r="L289" s="8"/>
      <c r="M289" s="55"/>
      <c r="N289" s="8"/>
      <c r="O289" s="8"/>
    </row>
    <row r="290" spans="1:15" s="61" customFormat="1" ht="18" customHeight="1" x14ac:dyDescent="0.25">
      <c r="A290" s="49"/>
      <c r="B290" s="41" t="s">
        <v>236</v>
      </c>
      <c r="C290" s="42"/>
      <c r="D290" s="50"/>
      <c r="E290" s="44"/>
      <c r="F290" s="45">
        <v>12.5</v>
      </c>
      <c r="G290" s="228" t="s">
        <v>297</v>
      </c>
      <c r="H290" s="229"/>
      <c r="I290" s="46">
        <f>IF(J284=1,F290,0)</f>
        <v>0</v>
      </c>
      <c r="J290" s="44"/>
      <c r="K290" s="51"/>
      <c r="L290" s="8"/>
      <c r="M290" s="55"/>
      <c r="N290" s="8"/>
      <c r="O290" s="8"/>
    </row>
    <row r="291" spans="1:15" ht="18" customHeight="1" x14ac:dyDescent="0.25">
      <c r="A291" s="243" t="s">
        <v>102</v>
      </c>
      <c r="B291" s="244"/>
      <c r="C291" s="34" t="s">
        <v>248</v>
      </c>
      <c r="D291" s="35" t="s">
        <v>248</v>
      </c>
      <c r="E291" s="34" t="s">
        <v>248</v>
      </c>
      <c r="F291" s="36"/>
      <c r="G291" s="127"/>
      <c r="H291" s="127"/>
      <c r="I291" s="37">
        <f>SUM(I292:I305)</f>
        <v>0</v>
      </c>
      <c r="J291" s="38">
        <f>IF(K9&gt;=1,1,0)</f>
        <v>0</v>
      </c>
      <c r="K291" s="39">
        <f>I291</f>
        <v>0</v>
      </c>
      <c r="M291" s="29"/>
    </row>
    <row r="292" spans="1:15" ht="18" customHeight="1" x14ac:dyDescent="0.25">
      <c r="A292" s="49"/>
      <c r="B292" s="41" t="s">
        <v>2</v>
      </c>
      <c r="C292" s="42"/>
      <c r="D292" s="43"/>
      <c r="E292" s="44"/>
      <c r="F292" s="45">
        <v>15</v>
      </c>
      <c r="G292" s="228"/>
      <c r="H292" s="229"/>
      <c r="I292" s="46">
        <f>IF(OR(J291=0,J291=""),0,F292)</f>
        <v>0</v>
      </c>
      <c r="J292" s="44"/>
      <c r="K292" s="52"/>
      <c r="M292" s="55"/>
    </row>
    <row r="293" spans="1:15" ht="18" customHeight="1" x14ac:dyDescent="0.25">
      <c r="A293" s="49"/>
      <c r="B293" s="41" t="s">
        <v>141</v>
      </c>
      <c r="C293" s="42"/>
      <c r="D293" s="43"/>
      <c r="E293" s="44"/>
      <c r="F293" s="45">
        <v>15</v>
      </c>
      <c r="G293" s="228"/>
      <c r="H293" s="229"/>
      <c r="I293" s="46">
        <f>IF(OR(J291=0,J291=""),0,F293)</f>
        <v>0</v>
      </c>
      <c r="J293" s="44"/>
      <c r="K293" s="52"/>
      <c r="M293" s="55"/>
    </row>
    <row r="294" spans="1:15" ht="18" customHeight="1" x14ac:dyDescent="0.25">
      <c r="A294" s="49"/>
      <c r="B294" s="41" t="s">
        <v>161</v>
      </c>
      <c r="C294" s="42"/>
      <c r="D294" s="43"/>
      <c r="E294" s="44"/>
      <c r="F294" s="45">
        <v>7.5</v>
      </c>
      <c r="G294" s="228" t="s">
        <v>283</v>
      </c>
      <c r="H294" s="229"/>
      <c r="I294" s="46">
        <f>IF(K11+K12&lt;4,0,IF(EVEN(K11+K12),ROUNDDOWN((K11+K12)*0.5,0)*F294))</f>
        <v>0</v>
      </c>
      <c r="J294" s="44"/>
      <c r="K294" s="52"/>
      <c r="M294" s="55"/>
    </row>
    <row r="295" spans="1:15" ht="18" customHeight="1" x14ac:dyDescent="0.25">
      <c r="A295" s="49"/>
      <c r="B295" s="41" t="s">
        <v>19</v>
      </c>
      <c r="C295" s="42"/>
      <c r="D295" s="43"/>
      <c r="E295" s="44"/>
      <c r="F295" s="45">
        <v>15</v>
      </c>
      <c r="G295" s="228" t="s">
        <v>275</v>
      </c>
      <c r="H295" s="229"/>
      <c r="I295" s="46">
        <f>IF(OR(K11&gt;0,K12&gt;0),F295,0)</f>
        <v>0</v>
      </c>
      <c r="J295" s="44"/>
      <c r="K295" s="52"/>
      <c r="M295" s="55"/>
    </row>
    <row r="296" spans="1:15" ht="18" customHeight="1" x14ac:dyDescent="0.25">
      <c r="A296" s="49"/>
      <c r="B296" s="77" t="s">
        <v>277</v>
      </c>
      <c r="C296" s="42"/>
      <c r="D296" s="43"/>
      <c r="E296" s="42"/>
      <c r="F296" s="45"/>
      <c r="G296" s="228"/>
      <c r="H296" s="229"/>
      <c r="I296" s="46" t="s">
        <v>248</v>
      </c>
      <c r="J296" s="44"/>
      <c r="K296" s="52"/>
      <c r="M296" s="55"/>
      <c r="O296" s="8"/>
    </row>
    <row r="297" spans="1:15" ht="18" customHeight="1" x14ac:dyDescent="0.25">
      <c r="A297" s="40"/>
      <c r="B297" s="48" t="s">
        <v>137</v>
      </c>
      <c r="C297" s="42"/>
      <c r="D297" s="43"/>
      <c r="E297" s="44"/>
      <c r="F297" s="45">
        <v>30</v>
      </c>
      <c r="G297" s="228" t="s">
        <v>250</v>
      </c>
      <c r="H297" s="229"/>
      <c r="I297" s="46">
        <f>IF(K17&gt;3,F297,0)</f>
        <v>0</v>
      </c>
      <c r="J297" s="44"/>
      <c r="K297" s="47"/>
      <c r="M297" s="55"/>
      <c r="O297" s="8"/>
    </row>
    <row r="298" spans="1:15" ht="18" customHeight="1" x14ac:dyDescent="0.25">
      <c r="A298" s="40"/>
      <c r="B298" s="48" t="s">
        <v>136</v>
      </c>
      <c r="C298" s="42"/>
      <c r="D298" s="43"/>
      <c r="E298" s="44"/>
      <c r="F298" s="45">
        <v>3</v>
      </c>
      <c r="G298" s="228" t="s">
        <v>250</v>
      </c>
      <c r="H298" s="229"/>
      <c r="I298" s="46">
        <f>IF(I297=0,0,F298)</f>
        <v>0</v>
      </c>
      <c r="J298" s="44"/>
      <c r="K298" s="47"/>
      <c r="M298" s="55"/>
      <c r="O298" s="8"/>
    </row>
    <row r="299" spans="1:15" ht="18" customHeight="1" x14ac:dyDescent="0.25">
      <c r="A299" s="40"/>
      <c r="B299" s="48" t="s">
        <v>114</v>
      </c>
      <c r="C299" s="42"/>
      <c r="D299" s="43"/>
      <c r="E299" s="44"/>
      <c r="F299" s="45">
        <v>12.5</v>
      </c>
      <c r="G299" s="228" t="s">
        <v>250</v>
      </c>
      <c r="H299" s="229"/>
      <c r="I299" s="46">
        <f>IF(I297=0,0,F299)</f>
        <v>0</v>
      </c>
      <c r="J299" s="44"/>
      <c r="K299" s="47"/>
      <c r="M299" s="55"/>
      <c r="O299" s="8"/>
    </row>
    <row r="300" spans="1:15" ht="18" customHeight="1" x14ac:dyDescent="0.25">
      <c r="A300" s="40"/>
      <c r="B300" s="48" t="s">
        <v>140</v>
      </c>
      <c r="C300" s="42"/>
      <c r="D300" s="43"/>
      <c r="E300" s="44"/>
      <c r="F300" s="45">
        <v>15</v>
      </c>
      <c r="G300" s="228" t="s">
        <v>250</v>
      </c>
      <c r="H300" s="229"/>
      <c r="I300" s="46">
        <f>IF(I297=0,0,F300)</f>
        <v>0</v>
      </c>
      <c r="J300" s="44"/>
      <c r="K300" s="47"/>
      <c r="M300" s="55"/>
    </row>
    <row r="301" spans="1:15" ht="18" customHeight="1" x14ac:dyDescent="0.25">
      <c r="A301" s="49"/>
      <c r="B301" s="77" t="s">
        <v>276</v>
      </c>
      <c r="C301" s="42"/>
      <c r="D301" s="43"/>
      <c r="E301" s="42"/>
      <c r="F301" s="45"/>
      <c r="G301" s="228"/>
      <c r="H301" s="229"/>
      <c r="I301" s="46" t="s">
        <v>248</v>
      </c>
      <c r="J301" s="44"/>
      <c r="K301" s="52"/>
      <c r="M301" s="29"/>
      <c r="O301" s="8"/>
    </row>
    <row r="302" spans="1:15" ht="18" customHeight="1" x14ac:dyDescent="0.25">
      <c r="A302" s="40"/>
      <c r="B302" s="48" t="s">
        <v>138</v>
      </c>
      <c r="C302" s="42"/>
      <c r="D302" s="43"/>
      <c r="E302" s="44"/>
      <c r="F302" s="45">
        <v>30</v>
      </c>
      <c r="G302" s="228" t="s">
        <v>250</v>
      </c>
      <c r="H302" s="229"/>
      <c r="I302" s="46">
        <f>IF(K17&gt;3,F302,0)</f>
        <v>0</v>
      </c>
      <c r="J302" s="44"/>
      <c r="K302" s="47"/>
      <c r="M302" s="55"/>
      <c r="O302" s="8"/>
    </row>
    <row r="303" spans="1:15" ht="18" customHeight="1" x14ac:dyDescent="0.25">
      <c r="A303" s="40"/>
      <c r="B303" s="48" t="s">
        <v>139</v>
      </c>
      <c r="C303" s="42"/>
      <c r="D303" s="43"/>
      <c r="E303" s="44"/>
      <c r="F303" s="45">
        <v>3</v>
      </c>
      <c r="G303" s="228" t="s">
        <v>250</v>
      </c>
      <c r="H303" s="229"/>
      <c r="I303" s="46">
        <f>IF(I302=0,0,F303)</f>
        <v>0</v>
      </c>
      <c r="J303" s="44"/>
      <c r="K303" s="47"/>
      <c r="M303" s="55"/>
      <c r="O303" s="8"/>
    </row>
    <row r="304" spans="1:15" ht="18" customHeight="1" x14ac:dyDescent="0.25">
      <c r="A304" s="40"/>
      <c r="B304" s="48" t="s">
        <v>114</v>
      </c>
      <c r="C304" s="42"/>
      <c r="D304" s="43"/>
      <c r="E304" s="44"/>
      <c r="F304" s="45">
        <v>12.5</v>
      </c>
      <c r="G304" s="228" t="s">
        <v>250</v>
      </c>
      <c r="H304" s="229"/>
      <c r="I304" s="46">
        <f>IF(I302=0,0,F304)</f>
        <v>0</v>
      </c>
      <c r="J304" s="44"/>
      <c r="K304" s="47"/>
      <c r="M304" s="55"/>
      <c r="O304" s="8"/>
    </row>
    <row r="305" spans="1:15" ht="18" customHeight="1" x14ac:dyDescent="0.25">
      <c r="A305" s="40"/>
      <c r="B305" s="48" t="s">
        <v>140</v>
      </c>
      <c r="C305" s="42"/>
      <c r="D305" s="43"/>
      <c r="E305" s="44"/>
      <c r="F305" s="45">
        <v>15</v>
      </c>
      <c r="G305" s="228" t="s">
        <v>250</v>
      </c>
      <c r="H305" s="229"/>
      <c r="I305" s="46">
        <f>IF(I302=0,0,F305)</f>
        <v>0</v>
      </c>
      <c r="J305" s="44"/>
      <c r="K305" s="47"/>
      <c r="M305" s="55"/>
      <c r="O305" s="8"/>
    </row>
    <row r="306" spans="1:15" s="30" customFormat="1" ht="18" customHeight="1" x14ac:dyDescent="0.25">
      <c r="A306" s="78"/>
      <c r="B306" s="84"/>
      <c r="C306" s="6"/>
      <c r="D306" s="106"/>
      <c r="E306" s="6"/>
      <c r="F306" s="128"/>
      <c r="G306" s="256" t="s">
        <v>295</v>
      </c>
      <c r="H306" s="256"/>
      <c r="I306" s="256"/>
      <c r="J306" s="257"/>
      <c r="K306" s="63">
        <f>SUM(K182+K189+K194+K200+K211+K214+K223+K239+K247+K261+K266+K279+K284+K291)</f>
        <v>0</v>
      </c>
      <c r="L306" s="28"/>
      <c r="M306" s="29"/>
      <c r="N306" s="28"/>
    </row>
    <row r="307" spans="1:15" ht="18" customHeight="1" x14ac:dyDescent="0.25">
      <c r="A307" s="230" t="s">
        <v>220</v>
      </c>
      <c r="B307" s="231"/>
      <c r="C307" s="231"/>
      <c r="D307" s="231"/>
      <c r="E307" s="231"/>
      <c r="F307" s="231"/>
      <c r="G307" s="231"/>
      <c r="H307" s="231"/>
      <c r="I307" s="231"/>
      <c r="J307" s="231"/>
      <c r="K307" s="232"/>
      <c r="M307" s="9"/>
      <c r="O307" s="8"/>
    </row>
    <row r="308" spans="1:15" s="30" customFormat="1" ht="18" customHeight="1" x14ac:dyDescent="0.25">
      <c r="A308" s="134"/>
      <c r="B308" s="135"/>
      <c r="C308" s="236" t="s">
        <v>98</v>
      </c>
      <c r="D308" s="236"/>
      <c r="E308" s="236"/>
      <c r="F308" s="68"/>
      <c r="G308" s="69"/>
      <c r="H308" s="69"/>
      <c r="I308" s="235" t="s">
        <v>202</v>
      </c>
      <c r="J308" s="237" t="s">
        <v>329</v>
      </c>
      <c r="K308" s="235" t="s">
        <v>246</v>
      </c>
      <c r="L308" s="28"/>
      <c r="M308" s="29"/>
      <c r="N308" s="28"/>
      <c r="O308" s="28"/>
    </row>
    <row r="309" spans="1:15" ht="18" customHeight="1" x14ac:dyDescent="0.25">
      <c r="A309" s="233" t="s">
        <v>328</v>
      </c>
      <c r="B309" s="234"/>
      <c r="C309" s="31" t="s">
        <v>111</v>
      </c>
      <c r="D309" s="32" t="s">
        <v>112</v>
      </c>
      <c r="E309" s="131" t="s">
        <v>176</v>
      </c>
      <c r="F309" s="222" t="s">
        <v>203</v>
      </c>
      <c r="G309" s="223"/>
      <c r="H309" s="224"/>
      <c r="I309" s="235"/>
      <c r="J309" s="237"/>
      <c r="K309" s="235"/>
      <c r="M309" s="33"/>
      <c r="O309" s="8"/>
    </row>
    <row r="310" spans="1:15" s="61" customFormat="1" ht="18" customHeight="1" x14ac:dyDescent="0.25">
      <c r="A310" s="243" t="s">
        <v>100</v>
      </c>
      <c r="B310" s="244"/>
      <c r="C310" s="34">
        <f>C311</f>
        <v>0</v>
      </c>
      <c r="D310" s="35">
        <f>D311</f>
        <v>0</v>
      </c>
      <c r="E310" s="34">
        <f>E311</f>
        <v>0</v>
      </c>
      <c r="F310" s="36"/>
      <c r="G310" s="127"/>
      <c r="H310" s="127"/>
      <c r="I310" s="37">
        <f>SUM(I311:I312)</f>
        <v>0</v>
      </c>
      <c r="J310" s="104"/>
      <c r="K310" s="39">
        <f>IF(J310=1,SUM(I311:I312),0)</f>
        <v>0</v>
      </c>
      <c r="L310" s="8"/>
      <c r="M310" s="73"/>
      <c r="N310" s="8"/>
      <c r="O310" s="8"/>
    </row>
    <row r="311" spans="1:15" s="61" customFormat="1" ht="18" customHeight="1" x14ac:dyDescent="0.25">
      <c r="A311" s="49"/>
      <c r="B311" s="41" t="s">
        <v>110</v>
      </c>
      <c r="C311" s="98"/>
      <c r="D311" s="99"/>
      <c r="E311" s="44">
        <f>ROUND((SUM(C311+D311)*28%),0)</f>
        <v>0</v>
      </c>
      <c r="F311" s="45">
        <v>7.5</v>
      </c>
      <c r="G311" s="228" t="s">
        <v>287</v>
      </c>
      <c r="H311" s="229"/>
      <c r="I311" s="46">
        <f>IF(AND(J310=1,K17&gt;4),(C311+D311+E311)*F311,0)</f>
        <v>0</v>
      </c>
      <c r="J311" s="44"/>
      <c r="K311" s="51"/>
      <c r="L311" s="8"/>
      <c r="M311" s="73"/>
      <c r="N311" s="8"/>
      <c r="O311" s="8"/>
    </row>
    <row r="312" spans="1:15" s="9" customFormat="1" ht="25.5" x14ac:dyDescent="0.25">
      <c r="A312" s="49"/>
      <c r="B312" s="41" t="s">
        <v>160</v>
      </c>
      <c r="C312" s="42"/>
      <c r="D312" s="50"/>
      <c r="E312" s="44"/>
      <c r="F312" s="45">
        <v>15</v>
      </c>
      <c r="G312" s="228" t="s">
        <v>288</v>
      </c>
      <c r="H312" s="229"/>
      <c r="I312" s="46">
        <f>IF(OR(J310&lt;1,J310=""),0,IF(K17&lt;5,0,IF(AND(K17&gt;4,K17&lt;21),K17*F312,20*F312)))</f>
        <v>0</v>
      </c>
      <c r="J312" s="44"/>
      <c r="K312" s="51"/>
      <c r="M312" s="73"/>
    </row>
    <row r="313" spans="1:15" s="9" customFormat="1" ht="18" customHeight="1" x14ac:dyDescent="0.25">
      <c r="A313" s="243" t="s">
        <v>165</v>
      </c>
      <c r="B313" s="244"/>
      <c r="C313" s="34" t="s">
        <v>248</v>
      </c>
      <c r="D313" s="35" t="s">
        <v>248</v>
      </c>
      <c r="E313" s="34" t="s">
        <v>248</v>
      </c>
      <c r="F313" s="36"/>
      <c r="G313" s="127"/>
      <c r="H313" s="127"/>
      <c r="I313" s="37">
        <f>SUM(I314:I315)</f>
        <v>0</v>
      </c>
      <c r="J313" s="104"/>
      <c r="K313" s="39">
        <f>IF(J313=1,SUM(I314:I315),0)</f>
        <v>0</v>
      </c>
      <c r="M313" s="73"/>
    </row>
    <row r="314" spans="1:15" s="61" customFormat="1" ht="18" customHeight="1" x14ac:dyDescent="0.25">
      <c r="A314" s="80"/>
      <c r="B314" s="77" t="s">
        <v>166</v>
      </c>
      <c r="C314" s="42"/>
      <c r="D314" s="50"/>
      <c r="E314" s="42"/>
      <c r="F314" s="45">
        <v>40</v>
      </c>
      <c r="G314" s="228" t="s">
        <v>154</v>
      </c>
      <c r="H314" s="229"/>
      <c r="I314" s="37">
        <f>IF(OR(J313&lt;1,J313=""),0,IF(AND(J313=1,K17&lt;5),(K17*F314),IF(J313&gt;1,0,160)))</f>
        <v>0</v>
      </c>
      <c r="J314" s="42"/>
      <c r="K314" s="81"/>
      <c r="L314" s="8"/>
      <c r="M314" s="73"/>
      <c r="N314" s="8"/>
      <c r="O314" s="8"/>
    </row>
    <row r="315" spans="1:15" s="61" customFormat="1" ht="18" customHeight="1" x14ac:dyDescent="0.25">
      <c r="A315" s="80"/>
      <c r="B315" s="77" t="s">
        <v>323</v>
      </c>
      <c r="C315" s="42"/>
      <c r="D315" s="50"/>
      <c r="E315" s="42"/>
      <c r="F315" s="45"/>
      <c r="G315" s="228" t="s">
        <v>171</v>
      </c>
      <c r="H315" s="229"/>
      <c r="I315" s="37">
        <f>SUM(I316:I321)</f>
        <v>0</v>
      </c>
      <c r="J315" s="62"/>
      <c r="K315" s="75"/>
      <c r="L315" s="8"/>
      <c r="M315" s="73"/>
      <c r="N315" s="8"/>
      <c r="O315" s="8"/>
    </row>
    <row r="316" spans="1:15" s="61" customFormat="1" ht="30" customHeight="1" x14ac:dyDescent="0.25">
      <c r="A316" s="49"/>
      <c r="B316" s="48" t="s">
        <v>103</v>
      </c>
      <c r="C316" s="42"/>
      <c r="D316" s="50"/>
      <c r="E316" s="44"/>
      <c r="F316" s="45">
        <v>10</v>
      </c>
      <c r="G316" s="228" t="s">
        <v>162</v>
      </c>
      <c r="H316" s="229"/>
      <c r="I316" s="46">
        <f>IF(OR(J313&lt;1,J313=""),0,IF(J313&gt;1,0,IF(AND(J313=1,(AND(K17&gt;4,K17&lt;16))),(K17*F316),IF(AND(J313=1,K17&gt;15),150,0))))</f>
        <v>0</v>
      </c>
      <c r="J316" s="44"/>
      <c r="K316" s="51"/>
      <c r="L316" s="8"/>
      <c r="M316" s="73"/>
      <c r="N316" s="8"/>
      <c r="O316" s="8"/>
    </row>
    <row r="317" spans="1:15" s="61" customFormat="1" ht="39.950000000000003" customHeight="1" x14ac:dyDescent="0.25">
      <c r="A317" s="49"/>
      <c r="B317" s="48" t="s">
        <v>104</v>
      </c>
      <c r="C317" s="42"/>
      <c r="D317" s="50"/>
      <c r="E317" s="44"/>
      <c r="F317" s="45">
        <v>1.2</v>
      </c>
      <c r="G317" s="228" t="s">
        <v>238</v>
      </c>
      <c r="H317" s="229"/>
      <c r="I317" s="46">
        <f>IF(OR(J313&lt;1,J313=""),0,IF(J313&gt;1,0,IF(AND(J313=1,(AND(K17&gt;4,K17&lt;16))),(K17*(F317*20)),IF(AND(J313=1,K17&gt;15),(15*(F317*20)),0))))</f>
        <v>0</v>
      </c>
      <c r="J317" s="44"/>
      <c r="K317" s="51"/>
      <c r="L317" s="8"/>
      <c r="M317" s="73"/>
      <c r="N317" s="8"/>
      <c r="O317" s="8"/>
    </row>
    <row r="318" spans="1:15" s="61" customFormat="1" ht="39.950000000000003" customHeight="1" x14ac:dyDescent="0.25">
      <c r="A318" s="49"/>
      <c r="B318" s="48" t="s">
        <v>105</v>
      </c>
      <c r="C318" s="42"/>
      <c r="D318" s="50"/>
      <c r="E318" s="44"/>
      <c r="F318" s="45">
        <v>8</v>
      </c>
      <c r="G318" s="228" t="s">
        <v>239</v>
      </c>
      <c r="H318" s="229"/>
      <c r="I318" s="46">
        <f>IF(OR(J313&lt;1,J313=""),0,IF(J313&gt;1,0,IF(AND(J313=1,K17&lt;5),0,IF(AND(J313=1,AND(K17&gt;4,K17&lt;16)),(K17*F318),IF(AND(J313=1,K17&gt;15),(15*F318),0)))))</f>
        <v>0</v>
      </c>
      <c r="J318" s="44"/>
      <c r="K318" s="51"/>
      <c r="L318" s="8"/>
      <c r="M318" s="73"/>
      <c r="N318" s="8"/>
      <c r="O318" s="8"/>
    </row>
    <row r="319" spans="1:15" s="61" customFormat="1" ht="39.950000000000003" customHeight="1" x14ac:dyDescent="0.25">
      <c r="A319" s="49"/>
      <c r="B319" s="48" t="s">
        <v>290</v>
      </c>
      <c r="C319" s="42"/>
      <c r="D319" s="50"/>
      <c r="E319" s="44"/>
      <c r="F319" s="45">
        <v>8</v>
      </c>
      <c r="G319" s="228" t="s">
        <v>240</v>
      </c>
      <c r="H319" s="229"/>
      <c r="I319" s="46">
        <f>IF(OR(J313&lt;1,J313=""),0,IF(J313&gt;1,0,IF(AND(J313=1,K17&lt;5),0,IF(AND(J313=1,AND(K17&gt;4,K17&lt;16)),(K17*F319),IF(AND(J313=1,K17&gt;15),(12*F319),0)))))</f>
        <v>0</v>
      </c>
      <c r="J319" s="44"/>
      <c r="K319" s="51"/>
      <c r="L319" s="8"/>
      <c r="M319" s="73"/>
      <c r="N319" s="8"/>
      <c r="O319" s="8"/>
    </row>
    <row r="320" spans="1:15" s="61" customFormat="1" ht="18" customHeight="1" x14ac:dyDescent="0.25">
      <c r="A320" s="49"/>
      <c r="B320" s="48" t="s">
        <v>106</v>
      </c>
      <c r="C320" s="42"/>
      <c r="D320" s="50"/>
      <c r="E320" s="44"/>
      <c r="F320" s="45">
        <v>12.5</v>
      </c>
      <c r="G320" s="228" t="s">
        <v>171</v>
      </c>
      <c r="H320" s="229"/>
      <c r="I320" s="46">
        <f>IF(OR(J313&lt;1,J313=""),0,IF(AND(J313=1,K17&lt;5),0,IF(J313=1,F320,0)))</f>
        <v>0</v>
      </c>
      <c r="J320" s="44"/>
      <c r="K320" s="51"/>
      <c r="L320" s="8"/>
      <c r="M320" s="73"/>
      <c r="N320" s="8"/>
      <c r="O320" s="8"/>
    </row>
    <row r="321" spans="1:17" s="61" customFormat="1" ht="18" customHeight="1" x14ac:dyDescent="0.25">
      <c r="A321" s="49"/>
      <c r="B321" s="48" t="s">
        <v>291</v>
      </c>
      <c r="C321" s="42"/>
      <c r="D321" s="50"/>
      <c r="E321" s="44"/>
      <c r="F321" s="45">
        <v>7.5</v>
      </c>
      <c r="G321" s="228" t="s">
        <v>171</v>
      </c>
      <c r="H321" s="229"/>
      <c r="I321" s="46">
        <f>IF(OR(J313&lt;1,J313=""),0,IF(AND(J313=1,K17&lt;5),0,IF(J313=1,F321,0)))</f>
        <v>0</v>
      </c>
      <c r="J321" s="44"/>
      <c r="K321" s="51"/>
      <c r="L321" s="8"/>
      <c r="M321" s="73"/>
      <c r="N321" s="8"/>
      <c r="O321" s="8"/>
    </row>
    <row r="322" spans="1:17" ht="18" customHeight="1" x14ac:dyDescent="0.25">
      <c r="A322" s="243" t="s">
        <v>147</v>
      </c>
      <c r="B322" s="244"/>
      <c r="C322" s="34" t="s">
        <v>248</v>
      </c>
      <c r="D322" s="35" t="s">
        <v>248</v>
      </c>
      <c r="E322" s="34" t="s">
        <v>248</v>
      </c>
      <c r="F322" s="225"/>
      <c r="G322" s="226"/>
      <c r="H322" s="227"/>
      <c r="I322" s="37">
        <f>SUM(I323:I335)</f>
        <v>0</v>
      </c>
      <c r="J322" s="104"/>
      <c r="K322" s="39">
        <f>I322</f>
        <v>0</v>
      </c>
      <c r="M322" s="57"/>
      <c r="O322" s="8"/>
    </row>
    <row r="323" spans="1:17" ht="18" customHeight="1" x14ac:dyDescent="0.25">
      <c r="A323" s="40"/>
      <c r="B323" s="41" t="s">
        <v>148</v>
      </c>
      <c r="C323" s="42"/>
      <c r="D323" s="43"/>
      <c r="E323" s="44"/>
      <c r="F323" s="45">
        <v>30</v>
      </c>
      <c r="G323" s="228"/>
      <c r="H323" s="229"/>
      <c r="I323" s="46">
        <f>IF(OR(J322&lt;1,J322=""),0,IF(AND(J322=1,K17&gt;4),F323,0))</f>
        <v>0</v>
      </c>
      <c r="J323" s="44"/>
      <c r="K323" s="46"/>
      <c r="M323" s="57"/>
      <c r="O323" s="8"/>
    </row>
    <row r="324" spans="1:17" ht="18" customHeight="1" x14ac:dyDescent="0.25">
      <c r="A324" s="40"/>
      <c r="B324" s="41" t="s">
        <v>149</v>
      </c>
      <c r="C324" s="42"/>
      <c r="D324" s="43"/>
      <c r="E324" s="44"/>
      <c r="F324" s="45">
        <v>30</v>
      </c>
      <c r="G324" s="228"/>
      <c r="H324" s="229"/>
      <c r="I324" s="46">
        <f>IF(OR(J322&lt;1,J322=""),0,IF(AND(J322=1,K17&gt;4),F324,0))</f>
        <v>0</v>
      </c>
      <c r="J324" s="44"/>
      <c r="K324" s="47"/>
      <c r="M324" s="57"/>
      <c r="O324" s="8"/>
    </row>
    <row r="325" spans="1:17" ht="18" customHeight="1" x14ac:dyDescent="0.25">
      <c r="A325" s="40"/>
      <c r="B325" s="41" t="s">
        <v>45</v>
      </c>
      <c r="C325" s="42"/>
      <c r="D325" s="43"/>
      <c r="E325" s="44"/>
      <c r="F325" s="45">
        <v>30</v>
      </c>
      <c r="G325" s="228"/>
      <c r="H325" s="229"/>
      <c r="I325" s="46">
        <f>IF(OR(J322&lt;1,J322=""),0,IF(AND(J322=1,K17&gt;4),F325,0))</f>
        <v>0</v>
      </c>
      <c r="J325" s="44"/>
      <c r="K325" s="47"/>
      <c r="M325" s="57"/>
      <c r="O325" s="8"/>
    </row>
    <row r="326" spans="1:17" ht="18" customHeight="1" x14ac:dyDescent="0.25">
      <c r="A326" s="40"/>
      <c r="B326" s="48" t="s">
        <v>47</v>
      </c>
      <c r="C326" s="42"/>
      <c r="D326" s="43"/>
      <c r="E326" s="44"/>
      <c r="F326" s="45">
        <v>15</v>
      </c>
      <c r="G326" s="228"/>
      <c r="H326" s="229"/>
      <c r="I326" s="46">
        <f>IF(OR(J322&lt;1,J322=""),0,IF(AND(J322=1,K17&gt;4),F326,0))</f>
        <v>0</v>
      </c>
      <c r="J326" s="44"/>
      <c r="K326" s="47"/>
      <c r="M326" s="57"/>
      <c r="O326" s="8"/>
    </row>
    <row r="327" spans="1:17" ht="18" customHeight="1" x14ac:dyDescent="0.25">
      <c r="A327" s="40"/>
      <c r="B327" s="41" t="s">
        <v>46</v>
      </c>
      <c r="C327" s="42"/>
      <c r="D327" s="43"/>
      <c r="E327" s="44"/>
      <c r="F327" s="45">
        <v>30</v>
      </c>
      <c r="G327" s="228"/>
      <c r="H327" s="229"/>
      <c r="I327" s="46">
        <f>IF(OR(J322&lt;1,J322=""),0,IF(AND(J322=1,K17&gt;4),F327,0))</f>
        <v>0</v>
      </c>
      <c r="J327" s="44"/>
      <c r="K327" s="47"/>
      <c r="M327" s="57"/>
      <c r="O327" s="8"/>
    </row>
    <row r="328" spans="1:17" ht="18" customHeight="1" x14ac:dyDescent="0.25">
      <c r="A328" s="40"/>
      <c r="B328" s="48" t="s">
        <v>48</v>
      </c>
      <c r="C328" s="42"/>
      <c r="D328" s="43"/>
      <c r="E328" s="44"/>
      <c r="F328" s="45">
        <v>15</v>
      </c>
      <c r="G328" s="228"/>
      <c r="H328" s="229"/>
      <c r="I328" s="46">
        <f>IF(OR(J322&lt;1,J322=""),0,IF(AND(J322=1,K17&gt;4),F328,0))</f>
        <v>0</v>
      </c>
      <c r="J328" s="44"/>
      <c r="K328" s="47"/>
      <c r="M328" s="57"/>
      <c r="O328" s="8"/>
    </row>
    <row r="329" spans="1:17" ht="18" customHeight="1" x14ac:dyDescent="0.25">
      <c r="A329" s="40"/>
      <c r="B329" s="41" t="s">
        <v>49</v>
      </c>
      <c r="C329" s="42"/>
      <c r="D329" s="43"/>
      <c r="E329" s="44"/>
      <c r="F329" s="45">
        <v>30</v>
      </c>
      <c r="G329" s="228"/>
      <c r="H329" s="229"/>
      <c r="I329" s="46">
        <f>IF(OR(J322&lt;1,J322=""),0,IF(AND(J322=1,K17&gt;4),F329,0))</f>
        <v>0</v>
      </c>
      <c r="J329" s="44"/>
      <c r="K329" s="47"/>
      <c r="M329" s="57"/>
      <c r="O329" s="8"/>
    </row>
    <row r="330" spans="1:17" ht="18" customHeight="1" x14ac:dyDescent="0.25">
      <c r="A330" s="40"/>
      <c r="B330" s="48" t="s">
        <v>51</v>
      </c>
      <c r="C330" s="42"/>
      <c r="D330" s="43"/>
      <c r="E330" s="44"/>
      <c r="F330" s="45">
        <v>3</v>
      </c>
      <c r="G330" s="228"/>
      <c r="H330" s="229"/>
      <c r="I330" s="46">
        <f>IF(OR(J322&lt;1,J322=""),0,IF(AND(J322=1,K17&gt;4),F330,0))</f>
        <v>0</v>
      </c>
      <c r="J330" s="44"/>
      <c r="K330" s="47"/>
      <c r="M330" s="57"/>
      <c r="O330" s="8"/>
    </row>
    <row r="331" spans="1:17" ht="18" customHeight="1" x14ac:dyDescent="0.25">
      <c r="A331" s="40"/>
      <c r="B331" s="41" t="s">
        <v>50</v>
      </c>
      <c r="C331" s="42"/>
      <c r="D331" s="43"/>
      <c r="E331" s="44"/>
      <c r="F331" s="45">
        <v>30</v>
      </c>
      <c r="G331" s="228"/>
      <c r="H331" s="229"/>
      <c r="I331" s="46">
        <f>IF(OR(J322&lt;1,J322=""),0,IF(AND(J322=1,K17&gt;4),F331,0))</f>
        <v>0</v>
      </c>
      <c r="J331" s="44"/>
      <c r="K331" s="47"/>
      <c r="M331" s="57"/>
      <c r="O331" s="8"/>
    </row>
    <row r="332" spans="1:17" ht="18" customHeight="1" x14ac:dyDescent="0.25">
      <c r="A332" s="40"/>
      <c r="B332" s="48" t="s">
        <v>52</v>
      </c>
      <c r="C332" s="42"/>
      <c r="D332" s="43"/>
      <c r="E332" s="44"/>
      <c r="F332" s="45">
        <v>3</v>
      </c>
      <c r="G332" s="228"/>
      <c r="H332" s="229"/>
      <c r="I332" s="46">
        <f>IF(OR(J322&lt;1,J322=""),0,IF(AND(J322=1,K17&gt;4),F332,0))</f>
        <v>0</v>
      </c>
      <c r="J332" s="44"/>
      <c r="K332" s="47"/>
      <c r="M332" s="57"/>
      <c r="O332" s="8"/>
      <c r="Q332" s="22"/>
    </row>
    <row r="333" spans="1:17" ht="18" customHeight="1" x14ac:dyDescent="0.25">
      <c r="A333" s="40"/>
      <c r="B333" s="41" t="s">
        <v>150</v>
      </c>
      <c r="C333" s="42"/>
      <c r="D333" s="43"/>
      <c r="E333" s="44"/>
      <c r="F333" s="45">
        <v>30</v>
      </c>
      <c r="G333" s="228"/>
      <c r="H333" s="229"/>
      <c r="I333" s="46">
        <f>IF(OR(J322&lt;1,J322=""),0,IF(AND(J322=1,LK17&gt;4),F333,0))</f>
        <v>0</v>
      </c>
      <c r="J333" s="44"/>
      <c r="K333" s="47"/>
      <c r="M333" s="57"/>
      <c r="O333" s="8"/>
    </row>
    <row r="334" spans="1:17" ht="18" customHeight="1" x14ac:dyDescent="0.25">
      <c r="A334" s="40"/>
      <c r="B334" s="48" t="s">
        <v>172</v>
      </c>
      <c r="C334" s="42"/>
      <c r="D334" s="43"/>
      <c r="E334" s="44"/>
      <c r="F334" s="45">
        <v>3</v>
      </c>
      <c r="G334" s="228"/>
      <c r="H334" s="229"/>
      <c r="I334" s="46">
        <f>IF(OR(J322&lt;1,J322=""),0,IF(AND(J322=1,K17&gt;4),F334,0))</f>
        <v>0</v>
      </c>
      <c r="J334" s="44"/>
      <c r="K334" s="52"/>
      <c r="M334" s="57"/>
      <c r="O334" s="8"/>
    </row>
    <row r="335" spans="1:17" ht="18" customHeight="1" x14ac:dyDescent="0.25">
      <c r="A335" s="40"/>
      <c r="B335" s="41" t="s">
        <v>11</v>
      </c>
      <c r="C335" s="42"/>
      <c r="D335" s="43"/>
      <c r="E335" s="44"/>
      <c r="F335" s="45">
        <v>30</v>
      </c>
      <c r="G335" s="228"/>
      <c r="H335" s="229"/>
      <c r="I335" s="46">
        <f>IF(OR(J322&lt;1,J322=""),0,IF(AND(J322=1,K17&gt;4),F335,0))</f>
        <v>0</v>
      </c>
      <c r="J335" s="44"/>
      <c r="K335" s="47"/>
      <c r="M335" s="57"/>
      <c r="O335" s="8"/>
    </row>
    <row r="336" spans="1:17" ht="18" customHeight="1" x14ac:dyDescent="0.25">
      <c r="A336" s="243" t="s">
        <v>102</v>
      </c>
      <c r="B336" s="244"/>
      <c r="C336" s="34" t="s">
        <v>248</v>
      </c>
      <c r="D336" s="35" t="s">
        <v>248</v>
      </c>
      <c r="E336" s="34" t="s">
        <v>248</v>
      </c>
      <c r="F336" s="36"/>
      <c r="G336" s="127"/>
      <c r="H336" s="127"/>
      <c r="I336" s="37">
        <f>SUM(I337:I338)</f>
        <v>0</v>
      </c>
      <c r="J336" s="104"/>
      <c r="K336" s="39">
        <f>I336</f>
        <v>0</v>
      </c>
      <c r="M336" s="57"/>
    </row>
    <row r="337" spans="1:16" ht="18" customHeight="1" x14ac:dyDescent="0.25">
      <c r="A337" s="49"/>
      <c r="B337" s="41" t="s">
        <v>285</v>
      </c>
      <c r="C337" s="42"/>
      <c r="D337" s="43"/>
      <c r="E337" s="44"/>
      <c r="F337" s="45">
        <v>15</v>
      </c>
      <c r="G337" s="228" t="s">
        <v>241</v>
      </c>
      <c r="H337" s="229"/>
      <c r="I337" s="46">
        <f>IF(OR(J336=0,J336=""),0,IF(AND(J336=1,K17&lt;=3),F337,0))</f>
        <v>0</v>
      </c>
      <c r="J337" s="44"/>
      <c r="K337" s="52"/>
      <c r="M337" s="73"/>
      <c r="O337" s="8"/>
    </row>
    <row r="338" spans="1:16" ht="18" customHeight="1" x14ac:dyDescent="0.25">
      <c r="A338" s="49"/>
      <c r="B338" s="41" t="s">
        <v>286</v>
      </c>
      <c r="C338" s="42"/>
      <c r="D338" s="43"/>
      <c r="E338" s="44"/>
      <c r="F338" s="45">
        <v>15</v>
      </c>
      <c r="G338" s="228" t="s">
        <v>242</v>
      </c>
      <c r="H338" s="229"/>
      <c r="I338" s="46">
        <f>IF(AND(J336=1,K17&lt;=3),F338,0)</f>
        <v>0</v>
      </c>
      <c r="J338" s="44"/>
      <c r="K338" s="52"/>
      <c r="M338" s="57"/>
      <c r="O338" s="8"/>
    </row>
    <row r="339" spans="1:16" s="61" customFormat="1" ht="18" customHeight="1" x14ac:dyDescent="0.25">
      <c r="A339" s="243" t="s">
        <v>101</v>
      </c>
      <c r="B339" s="244"/>
      <c r="C339" s="34" t="s">
        <v>248</v>
      </c>
      <c r="D339" s="35" t="s">
        <v>248</v>
      </c>
      <c r="E339" s="34" t="s">
        <v>248</v>
      </c>
      <c r="F339" s="36"/>
      <c r="G339" s="127"/>
      <c r="H339" s="127"/>
      <c r="I339" s="37">
        <f>SUM(I340:I341)</f>
        <v>0</v>
      </c>
      <c r="J339" s="104"/>
      <c r="K339" s="39">
        <f>SUM(I340:I341)</f>
        <v>0</v>
      </c>
      <c r="L339" s="8"/>
      <c r="M339" s="73"/>
      <c r="N339" s="8"/>
      <c r="O339" s="8"/>
    </row>
    <row r="340" spans="1:16" s="61" customFormat="1" ht="30" customHeight="1" x14ac:dyDescent="0.25">
      <c r="A340" s="49"/>
      <c r="B340" s="41" t="s">
        <v>77</v>
      </c>
      <c r="C340" s="42"/>
      <c r="D340" s="50"/>
      <c r="E340" s="44"/>
      <c r="F340" s="45">
        <v>25</v>
      </c>
      <c r="G340" s="228" t="s">
        <v>284</v>
      </c>
      <c r="H340" s="229"/>
      <c r="I340" s="37">
        <f>IF(J339=0,0,IF(AND(J339=1,K17&lt;5),F340,IF(AND(J339=1,AND(K17&gt;4,K17&lt;9)),F340*2,IF(AND(J339=1,K17&gt;8),F340*3,0))))</f>
        <v>0</v>
      </c>
      <c r="J340" s="44"/>
      <c r="K340" s="51"/>
      <c r="L340" s="8"/>
      <c r="M340" s="73"/>
      <c r="N340" s="8"/>
      <c r="O340" s="8"/>
    </row>
    <row r="341" spans="1:16" s="61" customFormat="1" ht="18" customHeight="1" x14ac:dyDescent="0.25">
      <c r="A341" s="80"/>
      <c r="B341" s="77" t="s">
        <v>167</v>
      </c>
      <c r="C341" s="42"/>
      <c r="D341" s="50"/>
      <c r="E341" s="42"/>
      <c r="F341" s="45"/>
      <c r="G341" s="228"/>
      <c r="H341" s="229"/>
      <c r="I341" s="37">
        <f>SUM(I342:I345)</f>
        <v>0</v>
      </c>
      <c r="J341" s="42"/>
      <c r="K341" s="81"/>
      <c r="L341" s="8"/>
      <c r="M341" s="73"/>
      <c r="N341" s="8"/>
      <c r="O341" s="8"/>
    </row>
    <row r="342" spans="1:16" s="61" customFormat="1" ht="30" customHeight="1" x14ac:dyDescent="0.25">
      <c r="A342" s="49"/>
      <c r="B342" s="48" t="s">
        <v>108</v>
      </c>
      <c r="C342" s="42"/>
      <c r="D342" s="50"/>
      <c r="E342" s="44"/>
      <c r="F342" s="45"/>
      <c r="G342" s="228" t="s">
        <v>289</v>
      </c>
      <c r="H342" s="229"/>
      <c r="I342" s="46">
        <f>IF(AND(J339=1,K17&lt;5),0,IF(AND(J339=1,K17&gt;=5),(0.3*'QUADRO GERAL DE ÁREAS'!E44),0))</f>
        <v>0</v>
      </c>
      <c r="J342" s="44"/>
      <c r="K342" s="51"/>
      <c r="L342" s="8"/>
      <c r="M342" s="73"/>
      <c r="N342" s="8"/>
      <c r="O342" s="8"/>
    </row>
    <row r="343" spans="1:16" s="61" customFormat="1" ht="30" customHeight="1" x14ac:dyDescent="0.25">
      <c r="A343" s="49"/>
      <c r="B343" s="48" t="s">
        <v>192</v>
      </c>
      <c r="C343" s="42"/>
      <c r="D343" s="50"/>
      <c r="E343" s="44"/>
      <c r="F343" s="45"/>
      <c r="G343" s="228" t="s">
        <v>243</v>
      </c>
      <c r="H343" s="229"/>
      <c r="I343" s="46">
        <f>IF(AND(J339=1,K17&lt;5),0,IF(AND(J339=1,K17&gt;=5),(0.4*I342),0))</f>
        <v>0</v>
      </c>
      <c r="J343" s="44"/>
      <c r="K343" s="51"/>
      <c r="L343" s="8"/>
      <c r="M343" s="73"/>
      <c r="N343" s="8"/>
      <c r="O343" s="8"/>
      <c r="P343" s="76"/>
    </row>
    <row r="344" spans="1:16" s="61" customFormat="1" ht="30" customHeight="1" x14ac:dyDescent="0.25">
      <c r="A344" s="49"/>
      <c r="B344" s="48" t="s">
        <v>190</v>
      </c>
      <c r="C344" s="42"/>
      <c r="D344" s="50"/>
      <c r="E344" s="44"/>
      <c r="F344" s="45"/>
      <c r="G344" s="228" t="s">
        <v>243</v>
      </c>
      <c r="H344" s="229"/>
      <c r="I344" s="46">
        <f>IF(AND(J339=1,K17&lt;5),0,IF(AND(J339=1,K17&gt;=5),(0.4*I342),0))</f>
        <v>0</v>
      </c>
      <c r="J344" s="44"/>
      <c r="K344" s="51"/>
      <c r="L344" s="8"/>
      <c r="M344" s="73"/>
      <c r="N344" s="8"/>
      <c r="O344" s="8"/>
    </row>
    <row r="345" spans="1:16" ht="30" customHeight="1" x14ac:dyDescent="0.25">
      <c r="A345" s="49"/>
      <c r="B345" s="48" t="s">
        <v>191</v>
      </c>
      <c r="C345" s="42"/>
      <c r="D345" s="50"/>
      <c r="E345" s="44"/>
      <c r="F345" s="45"/>
      <c r="G345" s="228" t="s">
        <v>245</v>
      </c>
      <c r="H345" s="229"/>
      <c r="I345" s="46">
        <f>IF(AND(J339=1,K17&lt;5),0,IF(AND(J339=1,K17&gt;=5),(0.2*I342),0))</f>
        <v>0</v>
      </c>
      <c r="J345" s="44"/>
      <c r="K345" s="51"/>
      <c r="M345" s="73"/>
    </row>
    <row r="346" spans="1:16" ht="18" customHeight="1" x14ac:dyDescent="0.25">
      <c r="A346" s="49"/>
      <c r="B346" s="84"/>
      <c r="C346" s="6"/>
      <c r="D346" s="106"/>
      <c r="E346" s="6"/>
      <c r="F346" s="45"/>
      <c r="G346" s="256" t="s">
        <v>296</v>
      </c>
      <c r="H346" s="256"/>
      <c r="I346" s="256"/>
      <c r="J346" s="256"/>
      <c r="K346" s="63">
        <f>SUM(K310+K313+K322+K336+K339)</f>
        <v>0</v>
      </c>
      <c r="M346" s="73"/>
    </row>
    <row r="347" spans="1:16" ht="18" customHeight="1" x14ac:dyDescent="0.25">
      <c r="A347" s="64"/>
      <c r="B347" s="79"/>
      <c r="C347" s="65"/>
      <c r="D347" s="66"/>
      <c r="E347" s="67"/>
      <c r="F347" s="68"/>
      <c r="G347" s="69"/>
      <c r="H347" s="69"/>
      <c r="I347" s="70"/>
      <c r="J347" s="67"/>
      <c r="K347" s="71"/>
      <c r="L347" s="61"/>
      <c r="M347" s="55"/>
      <c r="P347" s="114"/>
    </row>
    <row r="348" spans="1:16" s="61" customFormat="1" ht="15" customHeight="1" x14ac:dyDescent="0.25">
      <c r="A348" s="265" t="s">
        <v>311</v>
      </c>
      <c r="B348" s="265"/>
      <c r="C348" s="265"/>
      <c r="D348" s="107"/>
      <c r="E348" s="108"/>
      <c r="F348" s="82"/>
      <c r="G348" s="83"/>
      <c r="H348" s="83"/>
      <c r="I348" s="109"/>
      <c r="J348" s="108"/>
      <c r="K348" s="116"/>
      <c r="M348" s="55"/>
      <c r="N348" s="8"/>
      <c r="P348" s="117"/>
    </row>
    <row r="349" spans="1:16" s="61" customFormat="1" ht="15" customHeight="1" x14ac:dyDescent="0.25">
      <c r="A349" s="264" t="s">
        <v>313</v>
      </c>
      <c r="B349" s="264"/>
      <c r="C349" s="264"/>
      <c r="D349" s="88"/>
      <c r="E349" s="89"/>
      <c r="F349" s="90"/>
      <c r="G349" s="118"/>
      <c r="H349" s="118"/>
      <c r="I349" s="85"/>
      <c r="J349" s="89"/>
      <c r="K349" s="91"/>
      <c r="L349" s="8"/>
      <c r="M349" s="85"/>
      <c r="N349" s="8"/>
    </row>
    <row r="350" spans="1:16" s="61" customFormat="1" ht="15" customHeight="1" x14ac:dyDescent="0.25">
      <c r="A350" s="264" t="s">
        <v>310</v>
      </c>
      <c r="B350" s="264"/>
      <c r="C350" s="264"/>
      <c r="D350" s="88"/>
      <c r="E350" s="89"/>
      <c r="F350" s="90"/>
      <c r="G350" s="118"/>
      <c r="H350" s="118"/>
      <c r="I350" s="85"/>
      <c r="J350" s="89"/>
      <c r="K350" s="91"/>
      <c r="L350" s="8"/>
      <c r="M350" s="85"/>
      <c r="N350" s="8"/>
    </row>
    <row r="351" spans="1:16" s="61" customFormat="1" ht="18" customHeight="1" x14ac:dyDescent="0.25">
      <c r="A351" s="86"/>
      <c r="C351" s="87"/>
      <c r="D351" s="88"/>
      <c r="E351" s="89"/>
      <c r="F351" s="90"/>
      <c r="G351" s="118"/>
      <c r="H351" s="118"/>
      <c r="I351" s="85"/>
      <c r="J351" s="89"/>
      <c r="K351" s="91"/>
      <c r="L351" s="8"/>
      <c r="M351" s="85"/>
      <c r="N351" s="8"/>
    </row>
    <row r="352" spans="1:16" s="61" customFormat="1" ht="18" customHeight="1" x14ac:dyDescent="0.25">
      <c r="A352" s="86"/>
      <c r="C352" s="87"/>
      <c r="D352" s="88"/>
      <c r="E352" s="89"/>
      <c r="F352" s="90"/>
      <c r="G352" s="118"/>
      <c r="H352" s="118"/>
      <c r="I352" s="85"/>
      <c r="J352" s="89"/>
      <c r="K352" s="91"/>
      <c r="L352" s="8"/>
      <c r="M352" s="85"/>
      <c r="N352" s="8"/>
    </row>
    <row r="353" spans="1:14" s="61" customFormat="1" ht="18" customHeight="1" x14ac:dyDescent="0.25">
      <c r="A353" s="86"/>
      <c r="C353" s="87"/>
      <c r="D353" s="88"/>
      <c r="E353" s="89"/>
      <c r="F353" s="90"/>
      <c r="G353" s="118"/>
      <c r="H353" s="118"/>
      <c r="I353" s="85"/>
      <c r="J353" s="89"/>
      <c r="K353" s="91"/>
      <c r="L353" s="8"/>
      <c r="M353" s="85"/>
      <c r="N353" s="8"/>
    </row>
    <row r="354" spans="1:14" s="61" customFormat="1" ht="18" customHeight="1" x14ac:dyDescent="0.25">
      <c r="A354" s="86"/>
      <c r="C354" s="87"/>
      <c r="D354" s="88"/>
      <c r="E354" s="89"/>
      <c r="F354" s="90"/>
      <c r="G354" s="118"/>
      <c r="H354" s="118"/>
      <c r="I354" s="85"/>
      <c r="J354" s="89"/>
      <c r="K354" s="91"/>
      <c r="L354" s="8"/>
      <c r="M354" s="85"/>
      <c r="N354" s="8"/>
    </row>
    <row r="355" spans="1:14" s="61" customFormat="1" ht="18" customHeight="1" x14ac:dyDescent="0.25">
      <c r="A355" s="86"/>
      <c r="C355" s="87"/>
      <c r="D355" s="88"/>
      <c r="E355" s="89"/>
      <c r="F355" s="90"/>
      <c r="G355" s="118"/>
      <c r="H355" s="118"/>
      <c r="I355" s="85"/>
      <c r="J355" s="89"/>
      <c r="K355" s="91"/>
      <c r="L355" s="8"/>
      <c r="M355" s="85"/>
      <c r="N355" s="8"/>
    </row>
    <row r="356" spans="1:14" s="61" customFormat="1" ht="18" customHeight="1" x14ac:dyDescent="0.25">
      <c r="A356" s="86"/>
      <c r="C356" s="87"/>
      <c r="D356" s="88"/>
      <c r="E356" s="89"/>
      <c r="F356" s="90"/>
      <c r="G356" s="118"/>
      <c r="H356" s="118"/>
      <c r="I356" s="85"/>
      <c r="J356" s="89"/>
      <c r="K356" s="91"/>
      <c r="L356" s="8"/>
      <c r="M356" s="85"/>
      <c r="N356" s="8"/>
    </row>
    <row r="357" spans="1:14" s="61" customFormat="1" ht="18" customHeight="1" x14ac:dyDescent="0.25">
      <c r="A357" s="86"/>
      <c r="C357" s="87"/>
      <c r="D357" s="88"/>
      <c r="E357" s="89"/>
      <c r="F357" s="90"/>
      <c r="G357" s="118"/>
      <c r="H357" s="118"/>
      <c r="I357" s="85"/>
      <c r="J357" s="89"/>
      <c r="K357" s="91"/>
      <c r="L357" s="8"/>
      <c r="M357" s="85"/>
      <c r="N357" s="8"/>
    </row>
    <row r="358" spans="1:14" s="61" customFormat="1" ht="18" customHeight="1" x14ac:dyDescent="0.25">
      <c r="A358" s="86"/>
      <c r="C358" s="87"/>
      <c r="D358" s="88"/>
      <c r="E358" s="89"/>
      <c r="F358" s="90"/>
      <c r="G358" s="118"/>
      <c r="H358" s="118"/>
      <c r="I358" s="85"/>
      <c r="J358" s="89"/>
      <c r="K358" s="91"/>
      <c r="L358" s="8"/>
      <c r="M358" s="85"/>
      <c r="N358" s="8"/>
    </row>
    <row r="359" spans="1:14" s="61" customFormat="1" ht="18" customHeight="1" x14ac:dyDescent="0.25">
      <c r="A359" s="86"/>
      <c r="C359" s="87"/>
      <c r="D359" s="88"/>
      <c r="E359" s="89"/>
      <c r="F359" s="90"/>
      <c r="G359" s="118"/>
      <c r="H359" s="118"/>
      <c r="I359" s="85"/>
      <c r="J359" s="89"/>
      <c r="K359" s="91"/>
      <c r="L359" s="8"/>
      <c r="M359" s="85"/>
      <c r="N359" s="8"/>
    </row>
    <row r="360" spans="1:14" s="61" customFormat="1" ht="18" customHeight="1" x14ac:dyDescent="0.25">
      <c r="A360" s="86"/>
      <c r="B360" s="115"/>
      <c r="C360" s="87"/>
      <c r="D360" s="88"/>
      <c r="E360" s="89"/>
      <c r="F360" s="90"/>
      <c r="G360" s="118"/>
      <c r="H360" s="118"/>
      <c r="I360" s="85"/>
      <c r="J360" s="89"/>
      <c r="K360" s="91"/>
      <c r="L360" s="8"/>
      <c r="M360" s="85"/>
      <c r="N360" s="8"/>
    </row>
    <row r="361" spans="1:14" s="61" customFormat="1" ht="18" customHeight="1" x14ac:dyDescent="0.25">
      <c r="A361" s="86"/>
      <c r="C361" s="87"/>
      <c r="D361" s="88"/>
      <c r="E361" s="89"/>
      <c r="F361" s="90"/>
      <c r="G361" s="118"/>
      <c r="H361" s="118"/>
      <c r="I361" s="85"/>
      <c r="J361" s="89"/>
      <c r="K361" s="91"/>
      <c r="L361" s="8"/>
      <c r="M361" s="85"/>
      <c r="N361" s="8"/>
    </row>
    <row r="362" spans="1:14" s="61" customFormat="1" ht="18" customHeight="1" x14ac:dyDescent="0.25">
      <c r="A362" s="86"/>
      <c r="C362" s="87"/>
      <c r="D362" s="88"/>
      <c r="E362" s="89"/>
      <c r="F362" s="90"/>
      <c r="G362" s="118"/>
      <c r="H362" s="118"/>
      <c r="I362" s="85"/>
      <c r="J362" s="89"/>
      <c r="K362" s="91"/>
      <c r="L362" s="8"/>
      <c r="M362" s="85"/>
      <c r="N362" s="8"/>
    </row>
    <row r="363" spans="1:14" s="61" customFormat="1" ht="18" customHeight="1" x14ac:dyDescent="0.25">
      <c r="A363" s="86"/>
      <c r="C363" s="87"/>
      <c r="D363" s="88"/>
      <c r="E363" s="89"/>
      <c r="F363" s="90"/>
      <c r="G363" s="118"/>
      <c r="H363" s="118"/>
      <c r="I363" s="85"/>
      <c r="J363" s="89"/>
      <c r="K363" s="91"/>
      <c r="L363" s="8"/>
      <c r="M363" s="85"/>
      <c r="N363" s="8"/>
    </row>
    <row r="364" spans="1:14" s="61" customFormat="1" ht="18" customHeight="1" x14ac:dyDescent="0.25">
      <c r="A364" s="86"/>
      <c r="C364" s="87"/>
      <c r="D364" s="88"/>
      <c r="E364" s="89"/>
      <c r="F364" s="90"/>
      <c r="G364" s="118"/>
      <c r="H364" s="118"/>
      <c r="I364" s="85"/>
      <c r="J364" s="89"/>
      <c r="K364" s="91"/>
      <c r="L364" s="8"/>
      <c r="M364" s="85"/>
      <c r="N364" s="8"/>
    </row>
    <row r="365" spans="1:14" s="61" customFormat="1" ht="18" customHeight="1" x14ac:dyDescent="0.25">
      <c r="A365" s="86"/>
      <c r="C365" s="87"/>
      <c r="D365" s="88"/>
      <c r="E365" s="89"/>
      <c r="F365" s="90"/>
      <c r="G365" s="118"/>
      <c r="H365" s="118"/>
      <c r="I365" s="85"/>
      <c r="J365" s="89"/>
      <c r="K365" s="91"/>
      <c r="L365" s="8"/>
      <c r="M365" s="85"/>
      <c r="N365" s="8"/>
    </row>
    <row r="366" spans="1:14" s="61" customFormat="1" ht="18" customHeight="1" x14ac:dyDescent="0.25">
      <c r="A366" s="86"/>
      <c r="C366" s="87"/>
      <c r="D366" s="88"/>
      <c r="E366" s="89"/>
      <c r="F366" s="90"/>
      <c r="G366" s="118"/>
      <c r="H366" s="118"/>
      <c r="I366" s="85"/>
      <c r="J366" s="89"/>
      <c r="K366" s="91"/>
      <c r="L366" s="8"/>
      <c r="M366" s="85"/>
      <c r="N366" s="8"/>
    </row>
    <row r="367" spans="1:14" s="61" customFormat="1" ht="18" customHeight="1" x14ac:dyDescent="0.25">
      <c r="A367" s="86"/>
      <c r="C367" s="87"/>
      <c r="D367" s="88"/>
      <c r="E367" s="89"/>
      <c r="F367" s="90"/>
      <c r="G367" s="118"/>
      <c r="H367" s="118"/>
      <c r="I367" s="85"/>
      <c r="J367" s="89"/>
      <c r="K367" s="91"/>
      <c r="L367" s="8"/>
      <c r="M367" s="85"/>
      <c r="N367" s="8"/>
    </row>
    <row r="368" spans="1:14" s="61" customFormat="1" ht="18" customHeight="1" x14ac:dyDescent="0.25">
      <c r="A368" s="86"/>
      <c r="C368" s="87"/>
      <c r="D368" s="88"/>
      <c r="E368" s="89"/>
      <c r="F368" s="90"/>
      <c r="G368" s="118"/>
      <c r="H368" s="118"/>
      <c r="I368" s="85"/>
      <c r="J368" s="89"/>
      <c r="K368" s="91"/>
      <c r="L368" s="8"/>
      <c r="M368" s="85"/>
      <c r="N368" s="8"/>
    </row>
    <row r="369" spans="1:14" s="61" customFormat="1" ht="18" customHeight="1" x14ac:dyDescent="0.25">
      <c r="A369" s="86"/>
      <c r="C369" s="87"/>
      <c r="D369" s="88"/>
      <c r="E369" s="89"/>
      <c r="F369" s="90"/>
      <c r="G369" s="118"/>
      <c r="H369" s="118"/>
      <c r="I369" s="85"/>
      <c r="J369" s="89"/>
      <c r="K369" s="91"/>
      <c r="L369" s="8"/>
      <c r="M369" s="85"/>
      <c r="N369" s="8"/>
    </row>
    <row r="370" spans="1:14" s="61" customFormat="1" ht="18" customHeight="1" x14ac:dyDescent="0.25">
      <c r="A370" s="86"/>
      <c r="C370" s="87"/>
      <c r="D370" s="88"/>
      <c r="E370" s="89"/>
      <c r="F370" s="90"/>
      <c r="G370" s="118"/>
      <c r="H370" s="118"/>
      <c r="I370" s="85"/>
      <c r="J370" s="89"/>
      <c r="K370" s="91"/>
      <c r="L370" s="8"/>
      <c r="M370" s="85"/>
      <c r="N370" s="8"/>
    </row>
    <row r="371" spans="1:14" s="61" customFormat="1" ht="18" customHeight="1" x14ac:dyDescent="0.25">
      <c r="A371" s="86"/>
      <c r="C371" s="87"/>
      <c r="D371" s="88"/>
      <c r="E371" s="89"/>
      <c r="F371" s="90"/>
      <c r="G371" s="118"/>
      <c r="H371" s="118"/>
      <c r="I371" s="85"/>
      <c r="J371" s="89"/>
      <c r="K371" s="91"/>
      <c r="L371" s="8"/>
      <c r="M371" s="85"/>
      <c r="N371" s="8"/>
    </row>
    <row r="372" spans="1:14" s="61" customFormat="1" ht="18" customHeight="1" x14ac:dyDescent="0.25">
      <c r="A372" s="86"/>
      <c r="C372" s="87"/>
      <c r="D372" s="88"/>
      <c r="E372" s="89"/>
      <c r="F372" s="90"/>
      <c r="G372" s="118"/>
      <c r="H372" s="118"/>
      <c r="I372" s="85"/>
      <c r="J372" s="89"/>
      <c r="K372" s="91"/>
      <c r="L372" s="8"/>
      <c r="M372" s="85"/>
      <c r="N372" s="8"/>
    </row>
    <row r="373" spans="1:14" s="61" customFormat="1" ht="18" customHeight="1" x14ac:dyDescent="0.25">
      <c r="A373" s="86"/>
      <c r="C373" s="87"/>
      <c r="D373" s="88"/>
      <c r="E373" s="89"/>
      <c r="F373" s="90"/>
      <c r="G373" s="118"/>
      <c r="H373" s="118"/>
      <c r="I373" s="85"/>
      <c r="J373" s="89"/>
      <c r="K373" s="91"/>
      <c r="L373" s="8"/>
      <c r="M373" s="85"/>
      <c r="N373" s="8"/>
    </row>
    <row r="374" spans="1:14" s="61" customFormat="1" ht="18" customHeight="1" x14ac:dyDescent="0.25">
      <c r="A374" s="86"/>
      <c r="C374" s="87"/>
      <c r="D374" s="88"/>
      <c r="E374" s="89"/>
      <c r="F374" s="90"/>
      <c r="G374" s="118"/>
      <c r="H374" s="118"/>
      <c r="I374" s="85"/>
      <c r="J374" s="89"/>
      <c r="K374" s="91"/>
      <c r="L374" s="8"/>
      <c r="M374" s="85"/>
      <c r="N374" s="8"/>
    </row>
    <row r="375" spans="1:14" s="61" customFormat="1" ht="18" customHeight="1" x14ac:dyDescent="0.25">
      <c r="A375" s="86"/>
      <c r="C375" s="87"/>
      <c r="D375" s="88"/>
      <c r="E375" s="89"/>
      <c r="F375" s="90"/>
      <c r="G375" s="118"/>
      <c r="H375" s="118"/>
      <c r="I375" s="85"/>
      <c r="J375" s="89"/>
      <c r="K375" s="91"/>
      <c r="L375" s="8"/>
      <c r="M375" s="85"/>
      <c r="N375" s="8"/>
    </row>
    <row r="376" spans="1:14" s="61" customFormat="1" ht="18" customHeight="1" x14ac:dyDescent="0.25">
      <c r="A376" s="86"/>
      <c r="C376" s="87"/>
      <c r="D376" s="88"/>
      <c r="E376" s="89"/>
      <c r="F376" s="90"/>
      <c r="G376" s="118"/>
      <c r="H376" s="118"/>
      <c r="I376" s="85"/>
      <c r="J376" s="89"/>
      <c r="K376" s="91"/>
      <c r="L376" s="8"/>
      <c r="M376" s="85"/>
      <c r="N376" s="8"/>
    </row>
    <row r="377" spans="1:14" s="61" customFormat="1" ht="18" customHeight="1" x14ac:dyDescent="0.25">
      <c r="A377" s="86"/>
      <c r="C377" s="87"/>
      <c r="D377" s="88"/>
      <c r="E377" s="89"/>
      <c r="F377" s="90"/>
      <c r="G377" s="118"/>
      <c r="H377" s="118"/>
      <c r="I377" s="85"/>
      <c r="J377" s="89"/>
      <c r="K377" s="91"/>
      <c r="L377" s="8"/>
      <c r="M377" s="85"/>
      <c r="N377" s="8"/>
    </row>
    <row r="378" spans="1:14" s="61" customFormat="1" ht="18" customHeight="1" x14ac:dyDescent="0.25">
      <c r="A378" s="86"/>
      <c r="C378" s="87"/>
      <c r="D378" s="88"/>
      <c r="E378" s="89"/>
      <c r="F378" s="90"/>
      <c r="G378" s="118"/>
      <c r="H378" s="118"/>
      <c r="I378" s="85"/>
      <c r="J378" s="89"/>
      <c r="K378" s="91"/>
      <c r="L378" s="8"/>
      <c r="M378" s="85"/>
      <c r="N378" s="8"/>
    </row>
    <row r="379" spans="1:14" s="61" customFormat="1" ht="18" customHeight="1" x14ac:dyDescent="0.25">
      <c r="A379" s="86"/>
      <c r="C379" s="87"/>
      <c r="D379" s="88"/>
      <c r="E379" s="89"/>
      <c r="F379" s="90"/>
      <c r="G379" s="118"/>
      <c r="H379" s="118"/>
      <c r="I379" s="85"/>
      <c r="J379" s="89"/>
      <c r="K379" s="91"/>
      <c r="L379" s="8"/>
      <c r="M379" s="85"/>
      <c r="N379" s="8"/>
    </row>
    <row r="380" spans="1:14" s="61" customFormat="1" ht="18" customHeight="1" x14ac:dyDescent="0.25">
      <c r="A380" s="86"/>
      <c r="C380" s="87"/>
      <c r="D380" s="88"/>
      <c r="E380" s="89"/>
      <c r="F380" s="90"/>
      <c r="G380" s="118"/>
      <c r="H380" s="118"/>
      <c r="I380" s="85"/>
      <c r="J380" s="89"/>
      <c r="K380" s="91"/>
      <c r="L380" s="8"/>
      <c r="M380" s="85"/>
      <c r="N380" s="8"/>
    </row>
    <row r="381" spans="1:14" s="61" customFormat="1" ht="18" customHeight="1" x14ac:dyDescent="0.25">
      <c r="A381" s="86"/>
      <c r="C381" s="87"/>
      <c r="D381" s="88"/>
      <c r="E381" s="89"/>
      <c r="F381" s="90"/>
      <c r="G381" s="118"/>
      <c r="H381" s="118"/>
      <c r="I381" s="85"/>
      <c r="J381" s="89"/>
      <c r="K381" s="91"/>
      <c r="L381" s="8"/>
      <c r="M381" s="85"/>
      <c r="N381" s="8"/>
    </row>
    <row r="382" spans="1:14" s="61" customFormat="1" ht="18" customHeight="1" x14ac:dyDescent="0.25">
      <c r="A382" s="86"/>
      <c r="C382" s="87"/>
      <c r="D382" s="88"/>
      <c r="E382" s="89"/>
      <c r="F382" s="90"/>
      <c r="G382" s="118"/>
      <c r="H382" s="118"/>
      <c r="I382" s="85"/>
      <c r="J382" s="89"/>
      <c r="K382" s="91"/>
      <c r="L382" s="8"/>
      <c r="M382" s="85"/>
      <c r="N382" s="8"/>
    </row>
    <row r="383" spans="1:14" s="61" customFormat="1" ht="18" customHeight="1" x14ac:dyDescent="0.25">
      <c r="A383" s="86"/>
      <c r="C383" s="87"/>
      <c r="D383" s="88"/>
      <c r="E383" s="89"/>
      <c r="F383" s="90"/>
      <c r="G383" s="118"/>
      <c r="H383" s="118"/>
      <c r="I383" s="85"/>
      <c r="J383" s="89"/>
      <c r="K383" s="91"/>
      <c r="L383" s="8"/>
      <c r="M383" s="85"/>
      <c r="N383" s="8"/>
    </row>
    <row r="384" spans="1:14" s="61" customFormat="1" ht="18" customHeight="1" x14ac:dyDescent="0.25">
      <c r="A384" s="86"/>
      <c r="C384" s="87"/>
      <c r="D384" s="88"/>
      <c r="E384" s="89"/>
      <c r="F384" s="90"/>
      <c r="G384" s="118"/>
      <c r="H384" s="118"/>
      <c r="I384" s="85"/>
      <c r="J384" s="89"/>
      <c r="K384" s="91"/>
      <c r="L384" s="8"/>
      <c r="M384" s="85"/>
      <c r="N384" s="8"/>
    </row>
    <row r="385" spans="1:14" s="61" customFormat="1" ht="18" customHeight="1" x14ac:dyDescent="0.25">
      <c r="A385" s="86"/>
      <c r="C385" s="87"/>
      <c r="D385" s="88"/>
      <c r="E385" s="89"/>
      <c r="F385" s="90"/>
      <c r="G385" s="118"/>
      <c r="H385" s="118"/>
      <c r="I385" s="85"/>
      <c r="J385" s="89"/>
      <c r="K385" s="91"/>
      <c r="L385" s="8"/>
      <c r="M385" s="85"/>
      <c r="N385" s="8"/>
    </row>
    <row r="386" spans="1:14" s="61" customFormat="1" ht="18" customHeight="1" x14ac:dyDescent="0.25">
      <c r="A386" s="86"/>
      <c r="C386" s="87"/>
      <c r="D386" s="88"/>
      <c r="E386" s="89"/>
      <c r="F386" s="90"/>
      <c r="G386" s="118"/>
      <c r="H386" s="118"/>
      <c r="I386" s="85"/>
      <c r="J386" s="89"/>
      <c r="K386" s="91"/>
      <c r="L386" s="8"/>
      <c r="M386" s="85"/>
      <c r="N386" s="8"/>
    </row>
    <row r="387" spans="1:14" s="61" customFormat="1" ht="18" customHeight="1" x14ac:dyDescent="0.25">
      <c r="A387" s="86"/>
      <c r="C387" s="87"/>
      <c r="D387" s="88"/>
      <c r="E387" s="89"/>
      <c r="F387" s="90"/>
      <c r="G387" s="118"/>
      <c r="H387" s="118"/>
      <c r="I387" s="85"/>
      <c r="J387" s="89"/>
      <c r="K387" s="91"/>
      <c r="L387" s="8"/>
      <c r="M387" s="85"/>
      <c r="N387" s="8"/>
    </row>
    <row r="388" spans="1:14" s="61" customFormat="1" ht="18" customHeight="1" x14ac:dyDescent="0.25">
      <c r="A388" s="86"/>
      <c r="C388" s="87"/>
      <c r="D388" s="88"/>
      <c r="E388" s="89"/>
      <c r="F388" s="90"/>
      <c r="G388" s="118"/>
      <c r="H388" s="118"/>
      <c r="I388" s="85"/>
      <c r="J388" s="89"/>
      <c r="K388" s="91"/>
      <c r="L388" s="8"/>
      <c r="M388" s="85"/>
      <c r="N388" s="8"/>
    </row>
    <row r="389" spans="1:14" s="61" customFormat="1" ht="18" customHeight="1" x14ac:dyDescent="0.25">
      <c r="A389" s="86"/>
      <c r="C389" s="87"/>
      <c r="D389" s="88"/>
      <c r="E389" s="89"/>
      <c r="F389" s="90"/>
      <c r="G389" s="118"/>
      <c r="H389" s="118"/>
      <c r="I389" s="85"/>
      <c r="J389" s="89"/>
      <c r="K389" s="91"/>
      <c r="L389" s="8"/>
      <c r="M389" s="85"/>
      <c r="N389" s="8"/>
    </row>
    <row r="390" spans="1:14" s="61" customFormat="1" ht="18" customHeight="1" x14ac:dyDescent="0.25">
      <c r="A390" s="86"/>
      <c r="C390" s="87"/>
      <c r="D390" s="88"/>
      <c r="E390" s="89"/>
      <c r="F390" s="90"/>
      <c r="G390" s="118"/>
      <c r="H390" s="118"/>
      <c r="I390" s="85"/>
      <c r="J390" s="89"/>
      <c r="K390" s="91"/>
      <c r="L390" s="8"/>
      <c r="M390" s="85"/>
      <c r="N390" s="8"/>
    </row>
    <row r="391" spans="1:14" s="61" customFormat="1" ht="18" customHeight="1" x14ac:dyDescent="0.25">
      <c r="A391" s="86"/>
      <c r="C391" s="87"/>
      <c r="D391" s="88"/>
      <c r="E391" s="89"/>
      <c r="F391" s="90"/>
      <c r="G391" s="118"/>
      <c r="H391" s="118"/>
      <c r="I391" s="85"/>
      <c r="J391" s="89"/>
      <c r="K391" s="91"/>
      <c r="L391" s="8"/>
      <c r="M391" s="85"/>
      <c r="N391" s="8"/>
    </row>
    <row r="392" spans="1:14" s="61" customFormat="1" ht="18" customHeight="1" x14ac:dyDescent="0.25">
      <c r="A392" s="86"/>
      <c r="C392" s="87"/>
      <c r="D392" s="88"/>
      <c r="E392" s="89"/>
      <c r="F392" s="90"/>
      <c r="G392" s="118"/>
      <c r="H392" s="118"/>
      <c r="I392" s="85"/>
      <c r="J392" s="89"/>
      <c r="K392" s="91"/>
      <c r="L392" s="8"/>
      <c r="M392" s="85"/>
      <c r="N392" s="8"/>
    </row>
    <row r="393" spans="1:14" s="61" customFormat="1" ht="18" customHeight="1" x14ac:dyDescent="0.25">
      <c r="A393" s="86"/>
      <c r="C393" s="87"/>
      <c r="D393" s="88"/>
      <c r="E393" s="89"/>
      <c r="F393" s="90"/>
      <c r="G393" s="118"/>
      <c r="H393" s="118"/>
      <c r="I393" s="85"/>
      <c r="J393" s="89"/>
      <c r="K393" s="91"/>
      <c r="L393" s="8"/>
      <c r="M393" s="85"/>
      <c r="N393" s="8"/>
    </row>
    <row r="394" spans="1:14" s="61" customFormat="1" ht="18" customHeight="1" x14ac:dyDescent="0.25">
      <c r="A394" s="86"/>
      <c r="C394" s="87"/>
      <c r="D394" s="88"/>
      <c r="E394" s="89"/>
      <c r="F394" s="90"/>
      <c r="G394" s="118"/>
      <c r="H394" s="118"/>
      <c r="I394" s="85"/>
      <c r="J394" s="89"/>
      <c r="K394" s="91"/>
      <c r="L394" s="8"/>
      <c r="M394" s="85"/>
      <c r="N394" s="8"/>
    </row>
    <row r="395" spans="1:14" s="61" customFormat="1" ht="18" customHeight="1" x14ac:dyDescent="0.25">
      <c r="A395" s="86"/>
      <c r="C395" s="87"/>
      <c r="D395" s="88"/>
      <c r="E395" s="89"/>
      <c r="F395" s="90"/>
      <c r="G395" s="118"/>
      <c r="H395" s="118"/>
      <c r="I395" s="85"/>
      <c r="J395" s="89"/>
      <c r="K395" s="91"/>
      <c r="L395" s="8"/>
      <c r="M395" s="85"/>
      <c r="N395" s="8"/>
    </row>
    <row r="396" spans="1:14" s="61" customFormat="1" ht="18" customHeight="1" x14ac:dyDescent="0.25">
      <c r="A396" s="86"/>
      <c r="C396" s="87"/>
      <c r="D396" s="88"/>
      <c r="E396" s="89"/>
      <c r="F396" s="90"/>
      <c r="G396" s="118"/>
      <c r="H396" s="118"/>
      <c r="I396" s="85"/>
      <c r="J396" s="89"/>
      <c r="K396" s="91"/>
      <c r="L396" s="8"/>
      <c r="M396" s="85"/>
      <c r="N396" s="8"/>
    </row>
    <row r="397" spans="1:14" s="61" customFormat="1" ht="18" customHeight="1" x14ac:dyDescent="0.25">
      <c r="A397" s="86"/>
      <c r="C397" s="87"/>
      <c r="D397" s="88"/>
      <c r="E397" s="89"/>
      <c r="F397" s="90"/>
      <c r="G397" s="118"/>
      <c r="H397" s="118"/>
      <c r="I397" s="85"/>
      <c r="J397" s="89"/>
      <c r="K397" s="91"/>
      <c r="L397" s="8"/>
      <c r="M397" s="85"/>
      <c r="N397" s="8"/>
    </row>
    <row r="398" spans="1:14" s="61" customFormat="1" ht="18" customHeight="1" x14ac:dyDescent="0.25">
      <c r="A398" s="86"/>
      <c r="C398" s="87"/>
      <c r="D398" s="88"/>
      <c r="E398" s="89"/>
      <c r="F398" s="90"/>
      <c r="G398" s="118"/>
      <c r="H398" s="118"/>
      <c r="I398" s="85"/>
      <c r="J398" s="89"/>
      <c r="K398" s="91"/>
      <c r="L398" s="8"/>
      <c r="M398" s="85"/>
      <c r="N398" s="8"/>
    </row>
    <row r="399" spans="1:14" s="61" customFormat="1" ht="18" customHeight="1" x14ac:dyDescent="0.25">
      <c r="A399" s="86"/>
      <c r="C399" s="87"/>
      <c r="D399" s="88"/>
      <c r="E399" s="89"/>
      <c r="F399" s="90"/>
      <c r="G399" s="118"/>
      <c r="H399" s="118"/>
      <c r="I399" s="85"/>
      <c r="J399" s="89"/>
      <c r="K399" s="91"/>
      <c r="L399" s="8"/>
      <c r="M399" s="85"/>
      <c r="N399" s="8"/>
    </row>
    <row r="400" spans="1:14" s="61" customFormat="1" ht="18" customHeight="1" x14ac:dyDescent="0.25">
      <c r="A400" s="86"/>
      <c r="C400" s="87"/>
      <c r="D400" s="88"/>
      <c r="E400" s="89"/>
      <c r="F400" s="90"/>
      <c r="G400" s="118"/>
      <c r="H400" s="118"/>
      <c r="I400" s="85"/>
      <c r="J400" s="89"/>
      <c r="K400" s="91"/>
      <c r="L400" s="8"/>
      <c r="M400" s="85"/>
      <c r="N400" s="8"/>
    </row>
    <row r="401" spans="1:14" s="61" customFormat="1" ht="18" customHeight="1" x14ac:dyDescent="0.25">
      <c r="A401" s="86"/>
      <c r="C401" s="87"/>
      <c r="D401" s="88"/>
      <c r="E401" s="89"/>
      <c r="F401" s="90"/>
      <c r="G401" s="118"/>
      <c r="H401" s="118"/>
      <c r="I401" s="85"/>
      <c r="J401" s="89"/>
      <c r="K401" s="91"/>
      <c r="L401" s="8"/>
      <c r="M401" s="85"/>
      <c r="N401" s="8"/>
    </row>
    <row r="402" spans="1:14" s="61" customFormat="1" ht="18" customHeight="1" x14ac:dyDescent="0.25">
      <c r="A402" s="86"/>
      <c r="C402" s="87"/>
      <c r="D402" s="88"/>
      <c r="E402" s="89"/>
      <c r="F402" s="90"/>
      <c r="G402" s="118"/>
      <c r="H402" s="118"/>
      <c r="I402" s="85"/>
      <c r="J402" s="89"/>
      <c r="K402" s="91"/>
      <c r="L402" s="8"/>
      <c r="M402" s="85"/>
      <c r="N402" s="8"/>
    </row>
    <row r="403" spans="1:14" s="61" customFormat="1" ht="18" customHeight="1" x14ac:dyDescent="0.25">
      <c r="A403" s="86"/>
      <c r="C403" s="87"/>
      <c r="D403" s="88"/>
      <c r="E403" s="89"/>
      <c r="F403" s="90"/>
      <c r="G403" s="118"/>
      <c r="H403" s="118"/>
      <c r="I403" s="85"/>
      <c r="J403" s="89"/>
      <c r="K403" s="91"/>
      <c r="L403" s="8"/>
      <c r="M403" s="85"/>
      <c r="N403" s="8"/>
    </row>
    <row r="404" spans="1:14" s="61" customFormat="1" ht="18" customHeight="1" x14ac:dyDescent="0.25">
      <c r="A404" s="86"/>
      <c r="C404" s="87"/>
      <c r="D404" s="88"/>
      <c r="E404" s="89"/>
      <c r="F404" s="90"/>
      <c r="G404" s="118"/>
      <c r="H404" s="118"/>
      <c r="I404" s="85"/>
      <c r="J404" s="89"/>
      <c r="K404" s="91"/>
      <c r="L404" s="8"/>
      <c r="M404" s="85"/>
      <c r="N404" s="8"/>
    </row>
    <row r="405" spans="1:14" s="61" customFormat="1" ht="18" customHeight="1" x14ac:dyDescent="0.25">
      <c r="A405" s="86"/>
      <c r="C405" s="87"/>
      <c r="D405" s="88"/>
      <c r="E405" s="89"/>
      <c r="F405" s="90"/>
      <c r="G405" s="118"/>
      <c r="H405" s="118"/>
      <c r="I405" s="85"/>
      <c r="J405" s="89"/>
      <c r="K405" s="91"/>
      <c r="L405" s="8"/>
      <c r="M405" s="85"/>
      <c r="N405" s="8"/>
    </row>
    <row r="406" spans="1:14" s="61" customFormat="1" ht="18" customHeight="1" x14ac:dyDescent="0.25">
      <c r="A406" s="86"/>
      <c r="C406" s="87"/>
      <c r="D406" s="88"/>
      <c r="E406" s="89"/>
      <c r="F406" s="90"/>
      <c r="G406" s="118"/>
      <c r="H406" s="118"/>
      <c r="I406" s="85"/>
      <c r="J406" s="89"/>
      <c r="K406" s="91"/>
      <c r="L406" s="8"/>
      <c r="M406" s="85"/>
      <c r="N406" s="8"/>
    </row>
    <row r="407" spans="1:14" s="61" customFormat="1" ht="18" customHeight="1" x14ac:dyDescent="0.25">
      <c r="A407" s="86"/>
      <c r="C407" s="87"/>
      <c r="D407" s="88"/>
      <c r="E407" s="89"/>
      <c r="F407" s="90"/>
      <c r="G407" s="118"/>
      <c r="H407" s="118"/>
      <c r="I407" s="85"/>
      <c r="J407" s="89"/>
      <c r="K407" s="91"/>
      <c r="L407" s="8"/>
      <c r="M407" s="85"/>
      <c r="N407" s="8"/>
    </row>
    <row r="408" spans="1:14" s="61" customFormat="1" ht="18" customHeight="1" x14ac:dyDescent="0.25">
      <c r="A408" s="86"/>
      <c r="C408" s="87"/>
      <c r="D408" s="88"/>
      <c r="E408" s="89"/>
      <c r="F408" s="90"/>
      <c r="G408" s="118"/>
      <c r="H408" s="118"/>
      <c r="I408" s="85"/>
      <c r="J408" s="89"/>
      <c r="K408" s="91"/>
      <c r="L408" s="8"/>
      <c r="M408" s="85"/>
      <c r="N408" s="8"/>
    </row>
    <row r="409" spans="1:14" s="61" customFormat="1" ht="18" customHeight="1" x14ac:dyDescent="0.25">
      <c r="A409" s="86"/>
      <c r="C409" s="87"/>
      <c r="D409" s="88"/>
      <c r="E409" s="89"/>
      <c r="F409" s="90"/>
      <c r="G409" s="118"/>
      <c r="H409" s="118"/>
      <c r="I409" s="85"/>
      <c r="J409" s="89"/>
      <c r="K409" s="91"/>
      <c r="L409" s="8"/>
      <c r="M409" s="85"/>
      <c r="N409" s="8"/>
    </row>
    <row r="410" spans="1:14" s="61" customFormat="1" ht="18" customHeight="1" x14ac:dyDescent="0.25">
      <c r="A410" s="86"/>
      <c r="C410" s="87"/>
      <c r="D410" s="88"/>
      <c r="E410" s="89"/>
      <c r="F410" s="90"/>
      <c r="G410" s="118"/>
      <c r="H410" s="118"/>
      <c r="I410" s="85"/>
      <c r="J410" s="89"/>
      <c r="K410" s="91"/>
      <c r="L410" s="8"/>
      <c r="M410" s="85"/>
      <c r="N410" s="8"/>
    </row>
    <row r="411" spans="1:14" s="61" customFormat="1" ht="18" customHeight="1" x14ac:dyDescent="0.25">
      <c r="A411" s="86"/>
      <c r="C411" s="87"/>
      <c r="D411" s="88"/>
      <c r="E411" s="89"/>
      <c r="F411" s="90"/>
      <c r="G411" s="118"/>
      <c r="H411" s="118"/>
      <c r="I411" s="85"/>
      <c r="J411" s="89"/>
      <c r="K411" s="91"/>
      <c r="L411" s="8"/>
      <c r="M411" s="85"/>
      <c r="N411" s="8"/>
    </row>
    <row r="412" spans="1:14" s="61" customFormat="1" ht="18" customHeight="1" x14ac:dyDescent="0.25">
      <c r="A412" s="86"/>
      <c r="C412" s="87"/>
      <c r="D412" s="88"/>
      <c r="E412" s="89"/>
      <c r="F412" s="90"/>
      <c r="G412" s="118"/>
      <c r="H412" s="118"/>
      <c r="I412" s="85"/>
      <c r="J412" s="89"/>
      <c r="K412" s="91"/>
      <c r="L412" s="8"/>
      <c r="M412" s="85"/>
      <c r="N412" s="8"/>
    </row>
    <row r="413" spans="1:14" s="61" customFormat="1" ht="18" customHeight="1" x14ac:dyDescent="0.25">
      <c r="A413" s="86"/>
      <c r="C413" s="87"/>
      <c r="D413" s="88"/>
      <c r="E413" s="89"/>
      <c r="F413" s="90"/>
      <c r="G413" s="118"/>
      <c r="H413" s="118"/>
      <c r="I413" s="85"/>
      <c r="J413" s="89"/>
      <c r="K413" s="91"/>
      <c r="L413" s="8"/>
      <c r="M413" s="85"/>
      <c r="N413" s="8"/>
    </row>
    <row r="414" spans="1:14" s="61" customFormat="1" ht="18" customHeight="1" x14ac:dyDescent="0.25">
      <c r="A414" s="86"/>
      <c r="C414" s="87"/>
      <c r="D414" s="88"/>
      <c r="E414" s="89"/>
      <c r="F414" s="90"/>
      <c r="G414" s="118"/>
      <c r="H414" s="118"/>
      <c r="I414" s="85"/>
      <c r="J414" s="89"/>
      <c r="K414" s="91"/>
      <c r="L414" s="8"/>
      <c r="M414" s="85"/>
      <c r="N414" s="8"/>
    </row>
    <row r="415" spans="1:14" s="61" customFormat="1" ht="18" customHeight="1" x14ac:dyDescent="0.25">
      <c r="A415" s="86"/>
      <c r="C415" s="87"/>
      <c r="D415" s="88"/>
      <c r="E415" s="89"/>
      <c r="F415" s="90"/>
      <c r="G415" s="118"/>
      <c r="H415" s="118"/>
      <c r="I415" s="85"/>
      <c r="J415" s="89"/>
      <c r="K415" s="91"/>
      <c r="L415" s="8"/>
      <c r="M415" s="85"/>
      <c r="N415" s="8"/>
    </row>
    <row r="416" spans="1:14" s="61" customFormat="1" ht="18" customHeight="1" x14ac:dyDescent="0.25">
      <c r="A416" s="86"/>
      <c r="C416" s="87"/>
      <c r="D416" s="88"/>
      <c r="E416" s="89"/>
      <c r="F416" s="90"/>
      <c r="G416" s="118"/>
      <c r="H416" s="118"/>
      <c r="I416" s="85"/>
      <c r="J416" s="89"/>
      <c r="K416" s="91"/>
      <c r="L416" s="8"/>
      <c r="M416" s="85"/>
      <c r="N416" s="8"/>
    </row>
    <row r="417" spans="1:14" s="61" customFormat="1" ht="18" customHeight="1" x14ac:dyDescent="0.25">
      <c r="A417" s="86"/>
      <c r="C417" s="87"/>
      <c r="D417" s="88"/>
      <c r="E417" s="89"/>
      <c r="F417" s="90"/>
      <c r="G417" s="118"/>
      <c r="H417" s="118"/>
      <c r="I417" s="85"/>
      <c r="J417" s="89"/>
      <c r="K417" s="91"/>
      <c r="L417" s="8"/>
      <c r="M417" s="85"/>
      <c r="N417" s="8"/>
    </row>
    <row r="418" spans="1:14" s="61" customFormat="1" ht="18" customHeight="1" x14ac:dyDescent="0.25">
      <c r="A418" s="86"/>
      <c r="C418" s="87"/>
      <c r="D418" s="88"/>
      <c r="E418" s="89"/>
      <c r="F418" s="90"/>
      <c r="G418" s="118"/>
      <c r="H418" s="118"/>
      <c r="I418" s="85"/>
      <c r="J418" s="89"/>
      <c r="K418" s="91"/>
      <c r="L418" s="8"/>
      <c r="M418" s="85"/>
      <c r="N418" s="8"/>
    </row>
    <row r="419" spans="1:14" s="61" customFormat="1" ht="18" customHeight="1" x14ac:dyDescent="0.25">
      <c r="A419" s="86"/>
      <c r="C419" s="87"/>
      <c r="D419" s="88"/>
      <c r="E419" s="89"/>
      <c r="F419" s="90"/>
      <c r="G419" s="118"/>
      <c r="H419" s="118"/>
      <c r="I419" s="85"/>
      <c r="J419" s="89"/>
      <c r="K419" s="91"/>
      <c r="L419" s="8"/>
      <c r="M419" s="85"/>
      <c r="N419" s="8"/>
    </row>
    <row r="420" spans="1:14" s="61" customFormat="1" ht="18" customHeight="1" x14ac:dyDescent="0.25">
      <c r="A420" s="86"/>
      <c r="C420" s="87"/>
      <c r="D420" s="88"/>
      <c r="E420" s="89"/>
      <c r="F420" s="90"/>
      <c r="G420" s="118"/>
      <c r="H420" s="118"/>
      <c r="I420" s="85"/>
      <c r="J420" s="89"/>
      <c r="K420" s="91"/>
      <c r="L420" s="8"/>
      <c r="M420" s="85"/>
      <c r="N420" s="8"/>
    </row>
    <row r="421" spans="1:14" s="61" customFormat="1" ht="18" customHeight="1" x14ac:dyDescent="0.25">
      <c r="A421" s="86"/>
      <c r="C421" s="87"/>
      <c r="D421" s="88"/>
      <c r="E421" s="89"/>
      <c r="F421" s="90"/>
      <c r="G421" s="118"/>
      <c r="H421" s="118"/>
      <c r="I421" s="85"/>
      <c r="J421" s="89"/>
      <c r="K421" s="91"/>
      <c r="L421" s="8"/>
      <c r="M421" s="85"/>
      <c r="N421" s="8"/>
    </row>
    <row r="422" spans="1:14" s="61" customFormat="1" ht="18" customHeight="1" x14ac:dyDescent="0.25">
      <c r="A422" s="86"/>
      <c r="C422" s="87"/>
      <c r="D422" s="88"/>
      <c r="E422" s="89"/>
      <c r="F422" s="90"/>
      <c r="G422" s="118"/>
      <c r="H422" s="118"/>
      <c r="I422" s="85"/>
      <c r="J422" s="89"/>
      <c r="K422" s="91"/>
      <c r="L422" s="8"/>
      <c r="M422" s="85"/>
      <c r="N422" s="8"/>
    </row>
    <row r="423" spans="1:14" s="61" customFormat="1" ht="18" customHeight="1" x14ac:dyDescent="0.25">
      <c r="A423" s="86"/>
      <c r="C423" s="87"/>
      <c r="D423" s="88"/>
      <c r="E423" s="89"/>
      <c r="F423" s="90"/>
      <c r="G423" s="118"/>
      <c r="H423" s="118"/>
      <c r="I423" s="85"/>
      <c r="J423" s="89"/>
      <c r="K423" s="91"/>
      <c r="L423" s="8"/>
      <c r="M423" s="85"/>
      <c r="N423" s="8"/>
    </row>
    <row r="424" spans="1:14" s="61" customFormat="1" ht="18" customHeight="1" x14ac:dyDescent="0.25">
      <c r="A424" s="86"/>
      <c r="C424" s="87"/>
      <c r="D424" s="88"/>
      <c r="E424" s="89"/>
      <c r="F424" s="90"/>
      <c r="G424" s="118"/>
      <c r="H424" s="118"/>
      <c r="I424" s="85"/>
      <c r="J424" s="89"/>
      <c r="K424" s="91"/>
      <c r="L424" s="8"/>
      <c r="M424" s="85"/>
      <c r="N424" s="8"/>
    </row>
    <row r="425" spans="1:14" s="61" customFormat="1" ht="18" customHeight="1" x14ac:dyDescent="0.25">
      <c r="A425" s="86"/>
      <c r="C425" s="87"/>
      <c r="D425" s="88"/>
      <c r="E425" s="89"/>
      <c r="F425" s="90"/>
      <c r="G425" s="118"/>
      <c r="H425" s="118"/>
      <c r="I425" s="85"/>
      <c r="J425" s="89"/>
      <c r="K425" s="91"/>
      <c r="L425" s="8"/>
      <c r="M425" s="85"/>
      <c r="N425" s="8"/>
    </row>
    <row r="426" spans="1:14" s="61" customFormat="1" ht="18" customHeight="1" x14ac:dyDescent="0.25">
      <c r="A426" s="86"/>
      <c r="C426" s="87"/>
      <c r="D426" s="88"/>
      <c r="E426" s="89"/>
      <c r="F426" s="90"/>
      <c r="G426" s="118"/>
      <c r="H426" s="118"/>
      <c r="I426" s="85"/>
      <c r="J426" s="89"/>
      <c r="K426" s="91"/>
      <c r="L426" s="8"/>
      <c r="M426" s="85"/>
      <c r="N426" s="8"/>
    </row>
    <row r="427" spans="1:14" s="61" customFormat="1" ht="18" customHeight="1" x14ac:dyDescent="0.25">
      <c r="A427" s="86"/>
      <c r="C427" s="87"/>
      <c r="D427" s="88"/>
      <c r="E427" s="89"/>
      <c r="F427" s="90"/>
      <c r="G427" s="118"/>
      <c r="H427" s="118"/>
      <c r="I427" s="85"/>
      <c r="J427" s="89"/>
      <c r="K427" s="91"/>
      <c r="L427" s="8"/>
      <c r="M427" s="85"/>
      <c r="N427" s="8"/>
    </row>
    <row r="428" spans="1:14" s="61" customFormat="1" ht="18" customHeight="1" x14ac:dyDescent="0.25">
      <c r="A428" s="86"/>
      <c r="C428" s="87"/>
      <c r="D428" s="88"/>
      <c r="E428" s="89"/>
      <c r="F428" s="90"/>
      <c r="G428" s="118"/>
      <c r="H428" s="118"/>
      <c r="I428" s="85"/>
      <c r="J428" s="89"/>
      <c r="K428" s="91"/>
      <c r="L428" s="8"/>
      <c r="M428" s="85"/>
      <c r="N428" s="8"/>
    </row>
    <row r="429" spans="1:14" s="61" customFormat="1" ht="18" customHeight="1" x14ac:dyDescent="0.25">
      <c r="A429" s="86"/>
      <c r="C429" s="87"/>
      <c r="D429" s="88"/>
      <c r="E429" s="89"/>
      <c r="F429" s="90"/>
      <c r="G429" s="118"/>
      <c r="H429" s="118"/>
      <c r="I429" s="85"/>
      <c r="J429" s="89"/>
      <c r="K429" s="91"/>
      <c r="L429" s="8"/>
      <c r="M429" s="85"/>
      <c r="N429" s="8"/>
    </row>
    <row r="430" spans="1:14" s="61" customFormat="1" ht="18" customHeight="1" x14ac:dyDescent="0.25">
      <c r="A430" s="86"/>
      <c r="C430" s="87"/>
      <c r="D430" s="88"/>
      <c r="E430" s="89"/>
      <c r="F430" s="90"/>
      <c r="G430" s="118"/>
      <c r="H430" s="118"/>
      <c r="I430" s="85"/>
      <c r="J430" s="89"/>
      <c r="K430" s="91"/>
      <c r="L430" s="8"/>
      <c r="M430" s="85"/>
      <c r="N430" s="8"/>
    </row>
    <row r="431" spans="1:14" s="61" customFormat="1" ht="18" customHeight="1" x14ac:dyDescent="0.25">
      <c r="A431" s="86"/>
      <c r="C431" s="87"/>
      <c r="D431" s="88"/>
      <c r="E431" s="89"/>
      <c r="F431" s="90"/>
      <c r="G431" s="118"/>
      <c r="H431" s="118"/>
      <c r="I431" s="85"/>
      <c r="J431" s="89"/>
      <c r="K431" s="91"/>
      <c r="L431" s="8"/>
      <c r="M431" s="85"/>
      <c r="N431" s="8"/>
    </row>
    <row r="432" spans="1:14" s="61" customFormat="1" ht="18" customHeight="1" x14ac:dyDescent="0.25">
      <c r="A432" s="86"/>
      <c r="C432" s="87"/>
      <c r="D432" s="88"/>
      <c r="E432" s="89"/>
      <c r="F432" s="90"/>
      <c r="G432" s="118"/>
      <c r="H432" s="118"/>
      <c r="I432" s="85"/>
      <c r="J432" s="89"/>
      <c r="K432" s="91"/>
      <c r="L432" s="8"/>
      <c r="M432" s="85"/>
      <c r="N432" s="8"/>
    </row>
    <row r="433" spans="1:14" s="61" customFormat="1" ht="18" customHeight="1" x14ac:dyDescent="0.25">
      <c r="A433" s="86"/>
      <c r="C433" s="87"/>
      <c r="D433" s="88"/>
      <c r="E433" s="89"/>
      <c r="F433" s="90"/>
      <c r="G433" s="118"/>
      <c r="H433" s="118"/>
      <c r="I433" s="85"/>
      <c r="J433" s="89"/>
      <c r="K433" s="91"/>
      <c r="L433" s="8"/>
      <c r="M433" s="85"/>
      <c r="N433" s="8"/>
    </row>
    <row r="434" spans="1:14" s="61" customFormat="1" ht="18" customHeight="1" x14ac:dyDescent="0.25">
      <c r="A434" s="86"/>
      <c r="C434" s="87"/>
      <c r="D434" s="88"/>
      <c r="E434" s="89"/>
      <c r="F434" s="90"/>
      <c r="G434" s="118"/>
      <c r="H434" s="118"/>
      <c r="I434" s="85"/>
      <c r="J434" s="89"/>
      <c r="K434" s="91"/>
      <c r="L434" s="8"/>
      <c r="M434" s="85"/>
      <c r="N434" s="8"/>
    </row>
    <row r="435" spans="1:14" s="61" customFormat="1" ht="18" customHeight="1" x14ac:dyDescent="0.25">
      <c r="A435" s="86"/>
      <c r="C435" s="87"/>
      <c r="D435" s="88"/>
      <c r="E435" s="89"/>
      <c r="F435" s="90"/>
      <c r="G435" s="118"/>
      <c r="H435" s="118"/>
      <c r="I435" s="85"/>
      <c r="J435" s="89"/>
      <c r="K435" s="91"/>
      <c r="L435" s="8"/>
      <c r="M435" s="85"/>
      <c r="N435" s="8"/>
    </row>
    <row r="436" spans="1:14" s="61" customFormat="1" ht="18" customHeight="1" x14ac:dyDescent="0.25">
      <c r="A436" s="86"/>
      <c r="C436" s="87"/>
      <c r="D436" s="88"/>
      <c r="E436" s="89"/>
      <c r="F436" s="90"/>
      <c r="G436" s="118"/>
      <c r="H436" s="118"/>
      <c r="I436" s="85"/>
      <c r="J436" s="89"/>
      <c r="K436" s="91"/>
      <c r="L436" s="8"/>
      <c r="M436" s="85"/>
      <c r="N436" s="8"/>
    </row>
    <row r="437" spans="1:14" s="61" customFormat="1" ht="18" customHeight="1" x14ac:dyDescent="0.25">
      <c r="A437" s="86"/>
      <c r="C437" s="87"/>
      <c r="D437" s="88"/>
      <c r="E437" s="89"/>
      <c r="F437" s="90"/>
      <c r="G437" s="118"/>
      <c r="H437" s="118"/>
      <c r="I437" s="85"/>
      <c r="J437" s="89"/>
      <c r="K437" s="91"/>
      <c r="L437" s="8"/>
      <c r="M437" s="85"/>
      <c r="N437" s="8"/>
    </row>
    <row r="438" spans="1:14" s="61" customFormat="1" ht="18" customHeight="1" x14ac:dyDescent="0.25">
      <c r="A438" s="86"/>
      <c r="C438" s="87"/>
      <c r="D438" s="88"/>
      <c r="E438" s="89"/>
      <c r="F438" s="90"/>
      <c r="G438" s="118"/>
      <c r="H438" s="118"/>
      <c r="I438" s="85"/>
      <c r="J438" s="89"/>
      <c r="K438" s="91"/>
      <c r="L438" s="8"/>
      <c r="M438" s="85"/>
      <c r="N438" s="8"/>
    </row>
    <row r="439" spans="1:14" s="61" customFormat="1" ht="18" customHeight="1" x14ac:dyDescent="0.25">
      <c r="A439" s="86"/>
      <c r="C439" s="87"/>
      <c r="D439" s="88"/>
      <c r="E439" s="89"/>
      <c r="F439" s="90"/>
      <c r="G439" s="118"/>
      <c r="H439" s="118"/>
      <c r="I439" s="85"/>
      <c r="J439" s="89"/>
      <c r="K439" s="91"/>
      <c r="L439" s="8"/>
      <c r="M439" s="85"/>
      <c r="N439" s="8"/>
    </row>
    <row r="440" spans="1:14" s="61" customFormat="1" ht="18" customHeight="1" x14ac:dyDescent="0.25">
      <c r="A440" s="86"/>
      <c r="C440" s="87"/>
      <c r="D440" s="88"/>
      <c r="E440" s="89"/>
      <c r="F440" s="90"/>
      <c r="G440" s="118"/>
      <c r="H440" s="118"/>
      <c r="I440" s="85"/>
      <c r="J440" s="89"/>
      <c r="K440" s="91"/>
      <c r="L440" s="8"/>
      <c r="M440" s="85"/>
      <c r="N440" s="8"/>
    </row>
    <row r="441" spans="1:14" s="61" customFormat="1" ht="18" customHeight="1" x14ac:dyDescent="0.25">
      <c r="A441" s="86"/>
      <c r="C441" s="87"/>
      <c r="D441" s="88"/>
      <c r="E441" s="89"/>
      <c r="F441" s="90"/>
      <c r="G441" s="118"/>
      <c r="H441" s="118"/>
      <c r="I441" s="85"/>
      <c r="J441" s="89"/>
      <c r="K441" s="91"/>
      <c r="L441" s="8"/>
      <c r="M441" s="85"/>
      <c r="N441" s="8"/>
    </row>
    <row r="442" spans="1:14" s="61" customFormat="1" ht="18" customHeight="1" x14ac:dyDescent="0.25">
      <c r="A442" s="86"/>
      <c r="C442" s="87"/>
      <c r="D442" s="88"/>
      <c r="E442" s="89"/>
      <c r="F442" s="90"/>
      <c r="G442" s="118"/>
      <c r="H442" s="118"/>
      <c r="I442" s="85"/>
      <c r="J442" s="89"/>
      <c r="K442" s="91"/>
      <c r="L442" s="8"/>
      <c r="M442" s="85"/>
      <c r="N442" s="8"/>
    </row>
    <row r="443" spans="1:14" s="61" customFormat="1" ht="18" customHeight="1" x14ac:dyDescent="0.25">
      <c r="A443" s="86"/>
      <c r="C443" s="87"/>
      <c r="D443" s="88"/>
      <c r="E443" s="89"/>
      <c r="F443" s="90"/>
      <c r="G443" s="118"/>
      <c r="H443" s="118"/>
      <c r="I443" s="85"/>
      <c r="J443" s="89"/>
      <c r="K443" s="91"/>
      <c r="L443" s="8"/>
      <c r="M443" s="85"/>
      <c r="N443" s="8"/>
    </row>
    <row r="444" spans="1:14" s="61" customFormat="1" ht="18" customHeight="1" x14ac:dyDescent="0.25">
      <c r="A444" s="86"/>
      <c r="C444" s="87"/>
      <c r="D444" s="88"/>
      <c r="E444" s="89"/>
      <c r="F444" s="90"/>
      <c r="G444" s="118"/>
      <c r="H444" s="118"/>
      <c r="I444" s="85"/>
      <c r="J444" s="89"/>
      <c r="K444" s="91"/>
      <c r="L444" s="8"/>
      <c r="M444" s="85"/>
      <c r="N444" s="8"/>
    </row>
    <row r="445" spans="1:14" s="61" customFormat="1" ht="18" customHeight="1" x14ac:dyDescent="0.25">
      <c r="A445" s="86"/>
      <c r="C445" s="87"/>
      <c r="D445" s="88"/>
      <c r="E445" s="89"/>
      <c r="F445" s="90"/>
      <c r="G445" s="118"/>
      <c r="H445" s="118"/>
      <c r="I445" s="85"/>
      <c r="J445" s="89"/>
      <c r="K445" s="91"/>
      <c r="L445" s="8"/>
      <c r="M445" s="85"/>
      <c r="N445" s="8"/>
    </row>
    <row r="446" spans="1:14" s="61" customFormat="1" ht="18" customHeight="1" x14ac:dyDescent="0.25">
      <c r="A446" s="86"/>
      <c r="C446" s="87"/>
      <c r="D446" s="88"/>
      <c r="E446" s="89"/>
      <c r="F446" s="90"/>
      <c r="G446" s="118"/>
      <c r="H446" s="118"/>
      <c r="I446" s="85"/>
      <c r="J446" s="89"/>
      <c r="K446" s="91"/>
      <c r="L446" s="8"/>
      <c r="M446" s="85"/>
      <c r="N446" s="8"/>
    </row>
    <row r="447" spans="1:14" s="61" customFormat="1" ht="18" customHeight="1" x14ac:dyDescent="0.25">
      <c r="A447" s="86"/>
      <c r="C447" s="87"/>
      <c r="D447" s="88"/>
      <c r="E447" s="89"/>
      <c r="F447" s="90"/>
      <c r="G447" s="118"/>
      <c r="H447" s="118"/>
      <c r="I447" s="85"/>
      <c r="J447" s="89"/>
      <c r="K447" s="91"/>
      <c r="L447" s="8"/>
      <c r="M447" s="85"/>
      <c r="N447" s="8"/>
    </row>
    <row r="448" spans="1:14" s="61" customFormat="1" ht="18" customHeight="1" x14ac:dyDescent="0.25">
      <c r="A448" s="86"/>
      <c r="C448" s="87"/>
      <c r="D448" s="88"/>
      <c r="E448" s="89"/>
      <c r="F448" s="90"/>
      <c r="G448" s="118"/>
      <c r="H448" s="118"/>
      <c r="I448" s="85"/>
      <c r="J448" s="89"/>
      <c r="K448" s="91"/>
      <c r="L448" s="8"/>
      <c r="M448" s="85"/>
      <c r="N448" s="8"/>
    </row>
    <row r="449" spans="1:14" s="61" customFormat="1" ht="18" customHeight="1" x14ac:dyDescent="0.25">
      <c r="A449" s="86"/>
      <c r="C449" s="87"/>
      <c r="D449" s="88"/>
      <c r="E449" s="89"/>
      <c r="F449" s="90"/>
      <c r="G449" s="118"/>
      <c r="H449" s="118"/>
      <c r="I449" s="85"/>
      <c r="J449" s="89"/>
      <c r="K449" s="91"/>
      <c r="L449" s="8"/>
      <c r="M449" s="85"/>
      <c r="N449" s="8"/>
    </row>
    <row r="450" spans="1:14" s="61" customFormat="1" ht="18" customHeight="1" x14ac:dyDescent="0.25">
      <c r="A450" s="86"/>
      <c r="C450" s="87"/>
      <c r="D450" s="88"/>
      <c r="E450" s="89"/>
      <c r="F450" s="90"/>
      <c r="G450" s="118"/>
      <c r="H450" s="118"/>
      <c r="I450" s="85"/>
      <c r="J450" s="89"/>
      <c r="K450" s="91"/>
      <c r="L450" s="8"/>
      <c r="M450" s="85"/>
      <c r="N450" s="8"/>
    </row>
    <row r="451" spans="1:14" s="61" customFormat="1" ht="18" customHeight="1" x14ac:dyDescent="0.25">
      <c r="A451" s="86"/>
      <c r="C451" s="87"/>
      <c r="D451" s="88"/>
      <c r="E451" s="89"/>
      <c r="F451" s="90"/>
      <c r="G451" s="118"/>
      <c r="H451" s="118"/>
      <c r="I451" s="85"/>
      <c r="J451" s="89"/>
      <c r="K451" s="91"/>
      <c r="L451" s="8"/>
      <c r="M451" s="85"/>
      <c r="N451" s="8"/>
    </row>
    <row r="452" spans="1:14" s="61" customFormat="1" ht="18" customHeight="1" x14ac:dyDescent="0.25">
      <c r="A452" s="86"/>
      <c r="C452" s="87"/>
      <c r="D452" s="88"/>
      <c r="E452" s="89"/>
      <c r="F452" s="90"/>
      <c r="G452" s="118"/>
      <c r="H452" s="118"/>
      <c r="I452" s="85"/>
      <c r="J452" s="89"/>
      <c r="K452" s="91"/>
      <c r="L452" s="8"/>
      <c r="M452" s="85"/>
      <c r="N452" s="8"/>
    </row>
    <row r="453" spans="1:14" s="61" customFormat="1" ht="18" customHeight="1" x14ac:dyDescent="0.25">
      <c r="A453" s="86"/>
      <c r="C453" s="87"/>
      <c r="D453" s="88"/>
      <c r="E453" s="89"/>
      <c r="F453" s="90"/>
      <c r="G453" s="118"/>
      <c r="H453" s="118"/>
      <c r="I453" s="85"/>
      <c r="J453" s="89"/>
      <c r="K453" s="91"/>
      <c r="L453" s="8"/>
      <c r="M453" s="85"/>
      <c r="N453" s="8"/>
    </row>
    <row r="454" spans="1:14" s="61" customFormat="1" ht="18" customHeight="1" x14ac:dyDescent="0.25">
      <c r="A454" s="86"/>
      <c r="C454" s="87"/>
      <c r="D454" s="88"/>
      <c r="E454" s="89"/>
      <c r="F454" s="90"/>
      <c r="G454" s="118"/>
      <c r="H454" s="118"/>
      <c r="I454" s="85"/>
      <c r="J454" s="89"/>
      <c r="K454" s="91"/>
      <c r="L454" s="8"/>
      <c r="M454" s="85"/>
      <c r="N454" s="8"/>
    </row>
    <row r="455" spans="1:14" s="61" customFormat="1" ht="18" customHeight="1" x14ac:dyDescent="0.25">
      <c r="A455" s="86"/>
      <c r="C455" s="87"/>
      <c r="D455" s="88"/>
      <c r="E455" s="89"/>
      <c r="F455" s="90"/>
      <c r="G455" s="118"/>
      <c r="H455" s="118"/>
      <c r="I455" s="85"/>
      <c r="J455" s="89"/>
      <c r="K455" s="91"/>
      <c r="L455" s="8"/>
      <c r="M455" s="85"/>
      <c r="N455" s="8"/>
    </row>
    <row r="456" spans="1:14" s="61" customFormat="1" ht="18" customHeight="1" x14ac:dyDescent="0.25">
      <c r="A456" s="86"/>
      <c r="C456" s="87"/>
      <c r="D456" s="88"/>
      <c r="E456" s="89"/>
      <c r="F456" s="90"/>
      <c r="G456" s="118"/>
      <c r="H456" s="118"/>
      <c r="I456" s="85"/>
      <c r="J456" s="89"/>
      <c r="K456" s="91"/>
      <c r="L456" s="8"/>
      <c r="M456" s="85"/>
      <c r="N456" s="8"/>
    </row>
    <row r="457" spans="1:14" s="61" customFormat="1" ht="18" customHeight="1" x14ac:dyDescent="0.25">
      <c r="A457" s="86"/>
      <c r="C457" s="87"/>
      <c r="D457" s="88"/>
      <c r="E457" s="89"/>
      <c r="F457" s="90"/>
      <c r="G457" s="118"/>
      <c r="H457" s="118"/>
      <c r="I457" s="85"/>
      <c r="J457" s="89"/>
      <c r="K457" s="91"/>
      <c r="L457" s="8"/>
      <c r="M457" s="85"/>
      <c r="N457" s="8"/>
    </row>
    <row r="458" spans="1:14" s="61" customFormat="1" ht="18" customHeight="1" x14ac:dyDescent="0.25">
      <c r="A458" s="86"/>
      <c r="C458" s="87"/>
      <c r="D458" s="88"/>
      <c r="E458" s="89"/>
      <c r="F458" s="90"/>
      <c r="G458" s="118"/>
      <c r="H458" s="118"/>
      <c r="I458" s="85"/>
      <c r="J458" s="89"/>
      <c r="K458" s="91"/>
      <c r="L458" s="8"/>
      <c r="M458" s="85"/>
      <c r="N458" s="8"/>
    </row>
    <row r="459" spans="1:14" s="61" customFormat="1" ht="18" customHeight="1" x14ac:dyDescent="0.25">
      <c r="A459" s="86"/>
      <c r="C459" s="87"/>
      <c r="D459" s="88"/>
      <c r="E459" s="89"/>
      <c r="F459" s="90"/>
      <c r="G459" s="118"/>
      <c r="H459" s="118"/>
      <c r="I459" s="85"/>
      <c r="J459" s="89"/>
      <c r="K459" s="91"/>
      <c r="L459" s="8"/>
      <c r="M459" s="85"/>
      <c r="N459" s="8"/>
    </row>
    <row r="460" spans="1:14" s="61" customFormat="1" ht="18" customHeight="1" x14ac:dyDescent="0.25">
      <c r="A460" s="86"/>
      <c r="C460" s="87"/>
      <c r="D460" s="88"/>
      <c r="E460" s="89"/>
      <c r="F460" s="90"/>
      <c r="G460" s="118"/>
      <c r="H460" s="118"/>
      <c r="I460" s="85"/>
      <c r="J460" s="89"/>
      <c r="K460" s="91"/>
      <c r="L460" s="8"/>
      <c r="M460" s="85"/>
      <c r="N460" s="8"/>
    </row>
    <row r="461" spans="1:14" s="61" customFormat="1" ht="18" customHeight="1" x14ac:dyDescent="0.25">
      <c r="A461" s="86"/>
      <c r="C461" s="87"/>
      <c r="D461" s="88"/>
      <c r="E461" s="89"/>
      <c r="F461" s="90"/>
      <c r="G461" s="118"/>
      <c r="H461" s="118"/>
      <c r="I461" s="85"/>
      <c r="J461" s="89"/>
      <c r="K461" s="91"/>
      <c r="L461" s="8"/>
      <c r="M461" s="85"/>
      <c r="N461" s="8"/>
    </row>
    <row r="462" spans="1:14" s="61" customFormat="1" ht="18" customHeight="1" x14ac:dyDescent="0.25">
      <c r="A462" s="86"/>
      <c r="C462" s="87"/>
      <c r="D462" s="88"/>
      <c r="E462" s="89"/>
      <c r="F462" s="90"/>
      <c r="G462" s="118"/>
      <c r="H462" s="118"/>
      <c r="I462" s="85"/>
      <c r="J462" s="89"/>
      <c r="K462" s="91"/>
      <c r="L462" s="8"/>
      <c r="M462" s="85"/>
      <c r="N462" s="8"/>
    </row>
    <row r="463" spans="1:14" s="61" customFormat="1" ht="18" customHeight="1" x14ac:dyDescent="0.25">
      <c r="A463" s="86"/>
      <c r="C463" s="87"/>
      <c r="D463" s="88"/>
      <c r="E463" s="89"/>
      <c r="F463" s="90"/>
      <c r="G463" s="118"/>
      <c r="H463" s="118"/>
      <c r="I463" s="85"/>
      <c r="J463" s="89"/>
      <c r="K463" s="91"/>
      <c r="L463" s="8"/>
      <c r="M463" s="85"/>
      <c r="N463" s="8"/>
    </row>
    <row r="464" spans="1:14" s="61" customFormat="1" ht="18" customHeight="1" x14ac:dyDescent="0.25">
      <c r="A464" s="86"/>
      <c r="C464" s="87"/>
      <c r="D464" s="88"/>
      <c r="E464" s="89"/>
      <c r="F464" s="90"/>
      <c r="G464" s="118"/>
      <c r="H464" s="118"/>
      <c r="I464" s="85"/>
      <c r="J464" s="89"/>
      <c r="K464" s="91"/>
      <c r="L464" s="8"/>
      <c r="M464" s="85"/>
      <c r="N464" s="8"/>
    </row>
    <row r="465" spans="1:14" s="61" customFormat="1" ht="18" customHeight="1" x14ac:dyDescent="0.25">
      <c r="A465" s="86"/>
      <c r="C465" s="87"/>
      <c r="D465" s="88"/>
      <c r="E465" s="89"/>
      <c r="F465" s="90"/>
      <c r="G465" s="118"/>
      <c r="H465" s="118"/>
      <c r="I465" s="85"/>
      <c r="J465" s="89"/>
      <c r="K465" s="91"/>
      <c r="L465" s="8"/>
      <c r="M465" s="85"/>
      <c r="N465" s="8"/>
    </row>
    <row r="466" spans="1:14" s="61" customFormat="1" ht="18" customHeight="1" x14ac:dyDescent="0.25">
      <c r="A466" s="86"/>
      <c r="C466" s="87"/>
      <c r="D466" s="88"/>
      <c r="E466" s="89"/>
      <c r="F466" s="90"/>
      <c r="G466" s="118"/>
      <c r="H466" s="118"/>
      <c r="I466" s="85"/>
      <c r="J466" s="89"/>
      <c r="K466" s="91"/>
      <c r="L466" s="8"/>
      <c r="M466" s="85"/>
      <c r="N466" s="8"/>
    </row>
    <row r="467" spans="1:14" s="61" customFormat="1" ht="18" customHeight="1" x14ac:dyDescent="0.25">
      <c r="A467" s="86"/>
      <c r="C467" s="87"/>
      <c r="D467" s="88"/>
      <c r="E467" s="89"/>
      <c r="F467" s="90"/>
      <c r="G467" s="118"/>
      <c r="H467" s="118"/>
      <c r="I467" s="85"/>
      <c r="J467" s="89"/>
      <c r="K467" s="91"/>
      <c r="L467" s="8"/>
      <c r="M467" s="85"/>
      <c r="N467" s="8"/>
    </row>
    <row r="468" spans="1:14" s="61" customFormat="1" ht="18" customHeight="1" x14ac:dyDescent="0.25">
      <c r="A468" s="86"/>
      <c r="C468" s="87"/>
      <c r="D468" s="88"/>
      <c r="E468" s="89"/>
      <c r="F468" s="90"/>
      <c r="G468" s="118"/>
      <c r="H468" s="118"/>
      <c r="I468" s="85"/>
      <c r="J468" s="89"/>
      <c r="K468" s="91"/>
      <c r="L468" s="8"/>
      <c r="M468" s="85"/>
      <c r="N468" s="8"/>
    </row>
    <row r="469" spans="1:14" s="61" customFormat="1" ht="18" customHeight="1" x14ac:dyDescent="0.25">
      <c r="A469" s="86"/>
      <c r="C469" s="87"/>
      <c r="D469" s="88"/>
      <c r="E469" s="89"/>
      <c r="F469" s="90"/>
      <c r="G469" s="118"/>
      <c r="H469" s="118"/>
      <c r="I469" s="85"/>
      <c r="J469" s="89"/>
      <c r="K469" s="91"/>
      <c r="L469" s="8"/>
      <c r="M469" s="85"/>
      <c r="N469" s="8"/>
    </row>
    <row r="470" spans="1:14" s="61" customFormat="1" ht="18" customHeight="1" x14ac:dyDescent="0.25">
      <c r="A470" s="86"/>
      <c r="C470" s="87"/>
      <c r="D470" s="88"/>
      <c r="E470" s="89"/>
      <c r="F470" s="90"/>
      <c r="G470" s="118"/>
      <c r="H470" s="118"/>
      <c r="I470" s="85"/>
      <c r="J470" s="89"/>
      <c r="K470" s="91"/>
      <c r="L470" s="8"/>
      <c r="M470" s="85"/>
      <c r="N470" s="8"/>
    </row>
    <row r="471" spans="1:14" s="61" customFormat="1" ht="18" customHeight="1" x14ac:dyDescent="0.25">
      <c r="A471" s="86"/>
      <c r="C471" s="87"/>
      <c r="D471" s="88"/>
      <c r="E471" s="89"/>
      <c r="F471" s="90"/>
      <c r="G471" s="118"/>
      <c r="H471" s="118"/>
      <c r="I471" s="85"/>
      <c r="J471" s="89"/>
      <c r="K471" s="91"/>
      <c r="L471" s="8"/>
      <c r="M471" s="85"/>
      <c r="N471" s="8"/>
    </row>
    <row r="472" spans="1:14" s="61" customFormat="1" ht="18" customHeight="1" x14ac:dyDescent="0.25">
      <c r="A472" s="86"/>
      <c r="C472" s="87"/>
      <c r="D472" s="88"/>
      <c r="E472" s="89"/>
      <c r="F472" s="90"/>
      <c r="G472" s="118"/>
      <c r="H472" s="118"/>
      <c r="I472" s="85"/>
      <c r="J472" s="89"/>
      <c r="K472" s="91"/>
      <c r="L472" s="8"/>
      <c r="M472" s="85"/>
      <c r="N472" s="8"/>
    </row>
    <row r="473" spans="1:14" s="61" customFormat="1" ht="18" customHeight="1" x14ac:dyDescent="0.25">
      <c r="A473" s="86"/>
      <c r="C473" s="87"/>
      <c r="D473" s="88"/>
      <c r="E473" s="89"/>
      <c r="F473" s="90"/>
      <c r="G473" s="118"/>
      <c r="H473" s="118"/>
      <c r="I473" s="85"/>
      <c r="J473" s="89"/>
      <c r="K473" s="91"/>
      <c r="L473" s="8"/>
      <c r="M473" s="85"/>
      <c r="N473" s="8"/>
    </row>
    <row r="474" spans="1:14" s="61" customFormat="1" ht="18" customHeight="1" x14ac:dyDescent="0.25">
      <c r="A474" s="86"/>
      <c r="C474" s="87"/>
      <c r="D474" s="88"/>
      <c r="E474" s="89"/>
      <c r="F474" s="90"/>
      <c r="G474" s="118"/>
      <c r="H474" s="118"/>
      <c r="I474" s="85"/>
      <c r="J474" s="89"/>
      <c r="K474" s="91"/>
      <c r="L474" s="8"/>
      <c r="M474" s="85"/>
      <c r="N474" s="8"/>
    </row>
    <row r="475" spans="1:14" s="61" customFormat="1" ht="18" customHeight="1" x14ac:dyDescent="0.25">
      <c r="A475" s="86"/>
      <c r="C475" s="87"/>
      <c r="D475" s="88"/>
      <c r="E475" s="89"/>
      <c r="F475" s="90"/>
      <c r="G475" s="118"/>
      <c r="H475" s="118"/>
      <c r="I475" s="85"/>
      <c r="J475" s="89"/>
      <c r="K475" s="91"/>
      <c r="L475" s="8"/>
      <c r="M475" s="85"/>
      <c r="N475" s="8"/>
    </row>
    <row r="476" spans="1:14" s="61" customFormat="1" ht="18" customHeight="1" x14ac:dyDescent="0.25">
      <c r="A476" s="86"/>
      <c r="C476" s="87"/>
      <c r="D476" s="88"/>
      <c r="E476" s="89"/>
      <c r="F476" s="90"/>
      <c r="G476" s="118"/>
      <c r="H476" s="118"/>
      <c r="I476" s="85"/>
      <c r="J476" s="89"/>
      <c r="K476" s="91"/>
      <c r="L476" s="8"/>
      <c r="M476" s="85"/>
      <c r="N476" s="8"/>
    </row>
    <row r="477" spans="1:14" s="61" customFormat="1" ht="18" customHeight="1" x14ac:dyDescent="0.25">
      <c r="A477" s="86"/>
      <c r="C477" s="87"/>
      <c r="D477" s="88"/>
      <c r="E477" s="89"/>
      <c r="F477" s="90"/>
      <c r="G477" s="118"/>
      <c r="H477" s="118"/>
      <c r="I477" s="85"/>
      <c r="J477" s="89"/>
      <c r="K477" s="91"/>
      <c r="L477" s="8"/>
      <c r="M477" s="85"/>
      <c r="N477" s="8"/>
    </row>
  </sheetData>
  <sheetProtection password="99AD" sheet="1" objects="1" scenarios="1"/>
  <mergeCells count="362">
    <mergeCell ref="A2:K3"/>
    <mergeCell ref="A4:K4"/>
    <mergeCell ref="A349:C349"/>
    <mergeCell ref="A350:C350"/>
    <mergeCell ref="A348:C348"/>
    <mergeCell ref="A200:B200"/>
    <mergeCell ref="A211:B211"/>
    <mergeCell ref="A214:B214"/>
    <mergeCell ref="A223:B223"/>
    <mergeCell ref="A239:B239"/>
    <mergeCell ref="A247:B247"/>
    <mergeCell ref="A261:B261"/>
    <mergeCell ref="A266:B266"/>
    <mergeCell ref="A279:B279"/>
    <mergeCell ref="A284:B284"/>
    <mergeCell ref="A291:B291"/>
    <mergeCell ref="G25:H25"/>
    <mergeCell ref="G26:H26"/>
    <mergeCell ref="B10:G10"/>
    <mergeCell ref="C20:E20"/>
    <mergeCell ref="I20:I21"/>
    <mergeCell ref="J20:J21"/>
    <mergeCell ref="K20:K21"/>
    <mergeCell ref="B5:I5"/>
    <mergeCell ref="C6:D6"/>
    <mergeCell ref="E6:I6"/>
    <mergeCell ref="I7:K7"/>
    <mergeCell ref="B7:G7"/>
    <mergeCell ref="G346:J346"/>
    <mergeCell ref="A182:B182"/>
    <mergeCell ref="A189:B189"/>
    <mergeCell ref="A194:B194"/>
    <mergeCell ref="A57:B57"/>
    <mergeCell ref="A156:B156"/>
    <mergeCell ref="G178:J178"/>
    <mergeCell ref="C180:E180"/>
    <mergeCell ref="I180:I181"/>
    <mergeCell ref="J180:J181"/>
    <mergeCell ref="A310:B310"/>
    <mergeCell ref="A313:B313"/>
    <mergeCell ref="A322:B322"/>
    <mergeCell ref="A336:B336"/>
    <mergeCell ref="A339:B339"/>
    <mergeCell ref="G306:J306"/>
    <mergeCell ref="A151:B151"/>
    <mergeCell ref="A61:B61"/>
    <mergeCell ref="A72:B72"/>
    <mergeCell ref="B16:H16"/>
    <mergeCell ref="G32:H32"/>
    <mergeCell ref="G34:H34"/>
    <mergeCell ref="G35:H35"/>
    <mergeCell ref="G36:H36"/>
    <mergeCell ref="G27:H27"/>
    <mergeCell ref="G28:H28"/>
    <mergeCell ref="G29:H29"/>
    <mergeCell ref="G30:H30"/>
    <mergeCell ref="G31:H31"/>
    <mergeCell ref="A8:K8"/>
    <mergeCell ref="A19:K19"/>
    <mergeCell ref="A21:B21"/>
    <mergeCell ref="A179:K179"/>
    <mergeCell ref="A181:B181"/>
    <mergeCell ref="B11:H11"/>
    <mergeCell ref="B12:H12"/>
    <mergeCell ref="B13:H13"/>
    <mergeCell ref="B14:H14"/>
    <mergeCell ref="B15:H15"/>
    <mergeCell ref="K180:K181"/>
    <mergeCell ref="A22:B22"/>
    <mergeCell ref="A39:B39"/>
    <mergeCell ref="A90:B90"/>
    <mergeCell ref="A107:B107"/>
    <mergeCell ref="A126:B126"/>
    <mergeCell ref="A133:B133"/>
    <mergeCell ref="A172:B172"/>
    <mergeCell ref="G23:H23"/>
    <mergeCell ref="G24:H24"/>
    <mergeCell ref="G37:H37"/>
    <mergeCell ref="B17:H17"/>
    <mergeCell ref="F20:H20"/>
    <mergeCell ref="F21:H21"/>
    <mergeCell ref="G38:H38"/>
    <mergeCell ref="G40:H40"/>
    <mergeCell ref="G41:H41"/>
    <mergeCell ref="G50:H50"/>
    <mergeCell ref="G51:H51"/>
    <mergeCell ref="G42:H42"/>
    <mergeCell ref="G43:H43"/>
    <mergeCell ref="G44:H44"/>
    <mergeCell ref="G45:H45"/>
    <mergeCell ref="G46:H46"/>
    <mergeCell ref="G47:H47"/>
    <mergeCell ref="G48:H48"/>
    <mergeCell ref="G49:H49"/>
    <mergeCell ref="G58:H58"/>
    <mergeCell ref="G59:H59"/>
    <mergeCell ref="G60:H60"/>
    <mergeCell ref="G62:H62"/>
    <mergeCell ref="G63:H63"/>
    <mergeCell ref="G52:H52"/>
    <mergeCell ref="G53:H53"/>
    <mergeCell ref="G54:H54"/>
    <mergeCell ref="G55:H55"/>
    <mergeCell ref="G56:H56"/>
    <mergeCell ref="G69:H69"/>
    <mergeCell ref="G70:H70"/>
    <mergeCell ref="G71:H71"/>
    <mergeCell ref="G73:H73"/>
    <mergeCell ref="G74:H74"/>
    <mergeCell ref="G64:H64"/>
    <mergeCell ref="G65:H65"/>
    <mergeCell ref="G67:H67"/>
    <mergeCell ref="G66:H66"/>
    <mergeCell ref="G68:H68"/>
    <mergeCell ref="G80:H80"/>
    <mergeCell ref="G81:H81"/>
    <mergeCell ref="G82:H82"/>
    <mergeCell ref="G83:H83"/>
    <mergeCell ref="G84:H84"/>
    <mergeCell ref="G75:H75"/>
    <mergeCell ref="G76:H76"/>
    <mergeCell ref="G77:H77"/>
    <mergeCell ref="G78:H78"/>
    <mergeCell ref="G79:H79"/>
    <mergeCell ref="G91:H91"/>
    <mergeCell ref="G92:H92"/>
    <mergeCell ref="G93:H93"/>
    <mergeCell ref="G94:H94"/>
    <mergeCell ref="G95:H95"/>
    <mergeCell ref="G85:H85"/>
    <mergeCell ref="G86:H86"/>
    <mergeCell ref="G87:H87"/>
    <mergeCell ref="G88:H88"/>
    <mergeCell ref="G89:H89"/>
    <mergeCell ref="G101:H101"/>
    <mergeCell ref="G102:H102"/>
    <mergeCell ref="G103:H103"/>
    <mergeCell ref="G104:H104"/>
    <mergeCell ref="G105:H105"/>
    <mergeCell ref="G96:H96"/>
    <mergeCell ref="G97:H97"/>
    <mergeCell ref="G98:H98"/>
    <mergeCell ref="G99:H99"/>
    <mergeCell ref="G100:H100"/>
    <mergeCell ref="G111:H111"/>
    <mergeCell ref="G112:H112"/>
    <mergeCell ref="G113:H113"/>
    <mergeCell ref="G114:H114"/>
    <mergeCell ref="G115:H115"/>
    <mergeCell ref="G106:H106"/>
    <mergeCell ref="G108:H108"/>
    <mergeCell ref="G109:H109"/>
    <mergeCell ref="G110:H110"/>
    <mergeCell ref="G121:H121"/>
    <mergeCell ref="G122:H122"/>
    <mergeCell ref="G123:H123"/>
    <mergeCell ref="G124:H124"/>
    <mergeCell ref="G125:H125"/>
    <mergeCell ref="G116:H116"/>
    <mergeCell ref="G117:H117"/>
    <mergeCell ref="G118:H118"/>
    <mergeCell ref="G119:H119"/>
    <mergeCell ref="G120:H120"/>
    <mergeCell ref="G132:H132"/>
    <mergeCell ref="G134:H134"/>
    <mergeCell ref="G135:H135"/>
    <mergeCell ref="G136:H136"/>
    <mergeCell ref="G137:H137"/>
    <mergeCell ref="G127:H127"/>
    <mergeCell ref="G128:H128"/>
    <mergeCell ref="G129:H129"/>
    <mergeCell ref="G130:H130"/>
    <mergeCell ref="G131:H131"/>
    <mergeCell ref="G143:H143"/>
    <mergeCell ref="G144:H144"/>
    <mergeCell ref="G145:H145"/>
    <mergeCell ref="G146:H146"/>
    <mergeCell ref="G147:H147"/>
    <mergeCell ref="G138:H138"/>
    <mergeCell ref="G139:H139"/>
    <mergeCell ref="G140:H140"/>
    <mergeCell ref="G141:H141"/>
    <mergeCell ref="G142:H142"/>
    <mergeCell ref="G154:H154"/>
    <mergeCell ref="G155:H155"/>
    <mergeCell ref="G157:H157"/>
    <mergeCell ref="G158:H158"/>
    <mergeCell ref="G159:H159"/>
    <mergeCell ref="G148:H148"/>
    <mergeCell ref="G149:H149"/>
    <mergeCell ref="G150:H150"/>
    <mergeCell ref="G152:H152"/>
    <mergeCell ref="G153:H153"/>
    <mergeCell ref="G165:H165"/>
    <mergeCell ref="G166:H166"/>
    <mergeCell ref="G167:H167"/>
    <mergeCell ref="G168:H168"/>
    <mergeCell ref="G169:H169"/>
    <mergeCell ref="G160:H160"/>
    <mergeCell ref="G161:H161"/>
    <mergeCell ref="G162:H162"/>
    <mergeCell ref="G163:H163"/>
    <mergeCell ref="G164:H164"/>
    <mergeCell ref="G175:H175"/>
    <mergeCell ref="G176:H176"/>
    <mergeCell ref="G177:H177"/>
    <mergeCell ref="G183:H183"/>
    <mergeCell ref="G184:H184"/>
    <mergeCell ref="G170:H170"/>
    <mergeCell ref="G171:H171"/>
    <mergeCell ref="G172:H172"/>
    <mergeCell ref="G173:H173"/>
    <mergeCell ref="G174:H174"/>
    <mergeCell ref="G191:H191"/>
    <mergeCell ref="G192:H192"/>
    <mergeCell ref="G193:H193"/>
    <mergeCell ref="G195:H195"/>
    <mergeCell ref="G196:H196"/>
    <mergeCell ref="G185:H185"/>
    <mergeCell ref="G186:H186"/>
    <mergeCell ref="G187:H187"/>
    <mergeCell ref="G188:H188"/>
    <mergeCell ref="G190:H190"/>
    <mergeCell ref="G203:H203"/>
    <mergeCell ref="G204:H204"/>
    <mergeCell ref="G205:H205"/>
    <mergeCell ref="G206:H206"/>
    <mergeCell ref="G207:H207"/>
    <mergeCell ref="G197:H197"/>
    <mergeCell ref="G198:H198"/>
    <mergeCell ref="G199:H199"/>
    <mergeCell ref="G201:H201"/>
    <mergeCell ref="G202:H202"/>
    <mergeCell ref="G213:H213"/>
    <mergeCell ref="G215:H215"/>
    <mergeCell ref="G216:H216"/>
    <mergeCell ref="G217:H217"/>
    <mergeCell ref="G218:H218"/>
    <mergeCell ref="G208:H208"/>
    <mergeCell ref="G209:H209"/>
    <mergeCell ref="G210:H210"/>
    <mergeCell ref="G212:H212"/>
    <mergeCell ref="G225:H225"/>
    <mergeCell ref="G226:H226"/>
    <mergeCell ref="G227:H227"/>
    <mergeCell ref="G228:H228"/>
    <mergeCell ref="G229:H229"/>
    <mergeCell ref="G219:H219"/>
    <mergeCell ref="G220:H220"/>
    <mergeCell ref="G221:H221"/>
    <mergeCell ref="G222:H222"/>
    <mergeCell ref="G224:H224"/>
    <mergeCell ref="G235:H235"/>
    <mergeCell ref="G236:H236"/>
    <mergeCell ref="G237:H237"/>
    <mergeCell ref="G238:H238"/>
    <mergeCell ref="G240:H240"/>
    <mergeCell ref="G230:H230"/>
    <mergeCell ref="G231:H231"/>
    <mergeCell ref="G232:H232"/>
    <mergeCell ref="G233:H233"/>
    <mergeCell ref="G234:H234"/>
    <mergeCell ref="G246:H246"/>
    <mergeCell ref="G248:H248"/>
    <mergeCell ref="G249:H249"/>
    <mergeCell ref="G250:H250"/>
    <mergeCell ref="G251:H251"/>
    <mergeCell ref="G241:H241"/>
    <mergeCell ref="G242:H242"/>
    <mergeCell ref="G243:H243"/>
    <mergeCell ref="G244:H244"/>
    <mergeCell ref="G245:H245"/>
    <mergeCell ref="G257:H257"/>
    <mergeCell ref="G258:H258"/>
    <mergeCell ref="G259:H259"/>
    <mergeCell ref="G260:H260"/>
    <mergeCell ref="G262:H262"/>
    <mergeCell ref="G252:H252"/>
    <mergeCell ref="G253:H253"/>
    <mergeCell ref="G254:H254"/>
    <mergeCell ref="G255:H255"/>
    <mergeCell ref="G256:H256"/>
    <mergeCell ref="G269:H269"/>
    <mergeCell ref="G270:H270"/>
    <mergeCell ref="G271:H271"/>
    <mergeCell ref="G272:H272"/>
    <mergeCell ref="G273:H273"/>
    <mergeCell ref="G263:H263"/>
    <mergeCell ref="G264:H264"/>
    <mergeCell ref="G265:H265"/>
    <mergeCell ref="G267:H267"/>
    <mergeCell ref="G268:H268"/>
    <mergeCell ref="G280:H280"/>
    <mergeCell ref="G281:H281"/>
    <mergeCell ref="G282:H282"/>
    <mergeCell ref="G283:H283"/>
    <mergeCell ref="G285:H285"/>
    <mergeCell ref="G274:H274"/>
    <mergeCell ref="G275:H275"/>
    <mergeCell ref="G276:H276"/>
    <mergeCell ref="G277:H277"/>
    <mergeCell ref="G278:H278"/>
    <mergeCell ref="G292:H292"/>
    <mergeCell ref="G293:H293"/>
    <mergeCell ref="G294:H294"/>
    <mergeCell ref="G295:H295"/>
    <mergeCell ref="G296:H296"/>
    <mergeCell ref="G286:H286"/>
    <mergeCell ref="G287:H287"/>
    <mergeCell ref="G288:H288"/>
    <mergeCell ref="G289:H289"/>
    <mergeCell ref="G290:H290"/>
    <mergeCell ref="G302:H302"/>
    <mergeCell ref="G303:H303"/>
    <mergeCell ref="G304:H304"/>
    <mergeCell ref="G305:H305"/>
    <mergeCell ref="G311:H311"/>
    <mergeCell ref="G297:H297"/>
    <mergeCell ref="G298:H298"/>
    <mergeCell ref="G299:H299"/>
    <mergeCell ref="G300:H300"/>
    <mergeCell ref="G301:H301"/>
    <mergeCell ref="A307:K307"/>
    <mergeCell ref="A309:B309"/>
    <mergeCell ref="K308:K309"/>
    <mergeCell ref="C308:E308"/>
    <mergeCell ref="I308:I309"/>
    <mergeCell ref="J308:J309"/>
    <mergeCell ref="G318:H318"/>
    <mergeCell ref="G319:H319"/>
    <mergeCell ref="G320:H320"/>
    <mergeCell ref="G321:H321"/>
    <mergeCell ref="G323:H323"/>
    <mergeCell ref="G312:H312"/>
    <mergeCell ref="G314:H314"/>
    <mergeCell ref="G315:H315"/>
    <mergeCell ref="G316:H316"/>
    <mergeCell ref="G317:H317"/>
    <mergeCell ref="A1:K1"/>
    <mergeCell ref="F181:H181"/>
    <mergeCell ref="F309:H309"/>
    <mergeCell ref="F322:H322"/>
    <mergeCell ref="G341:H341"/>
    <mergeCell ref="G342:H342"/>
    <mergeCell ref="G343:H343"/>
    <mergeCell ref="G344:H344"/>
    <mergeCell ref="G345:H345"/>
    <mergeCell ref="G334:H334"/>
    <mergeCell ref="G335:H335"/>
    <mergeCell ref="G337:H337"/>
    <mergeCell ref="G338:H338"/>
    <mergeCell ref="G340:H340"/>
    <mergeCell ref="G329:H329"/>
    <mergeCell ref="G330:H330"/>
    <mergeCell ref="G331:H331"/>
    <mergeCell ref="G332:H332"/>
    <mergeCell ref="G333:H333"/>
    <mergeCell ref="G324:H324"/>
    <mergeCell ref="G325:H325"/>
    <mergeCell ref="G326:H326"/>
    <mergeCell ref="G327:H327"/>
    <mergeCell ref="G328:H328"/>
  </mergeCells>
  <conditionalFormatting sqref="C52:D52">
    <cfRule type="expression" dxfId="151" priority="202">
      <formula>IF(J39&gt;=1,1,"")</formula>
    </cfRule>
  </conditionalFormatting>
  <conditionalFormatting sqref="D52">
    <cfRule type="expression" dxfId="150" priority="201">
      <formula>IF(J39&gt;=1,1,"")</formula>
    </cfRule>
  </conditionalFormatting>
  <conditionalFormatting sqref="C42">
    <cfRule type="expression" dxfId="149" priority="200">
      <formula>IF(J39&gt;=1,1,"")</formula>
    </cfRule>
  </conditionalFormatting>
  <conditionalFormatting sqref="D42">
    <cfRule type="expression" dxfId="148" priority="199">
      <formula>IF(J39&gt;=1,1,"")</formula>
    </cfRule>
  </conditionalFormatting>
  <conditionalFormatting sqref="C45">
    <cfRule type="expression" dxfId="147" priority="198">
      <formula>IF(J39&gt;=1,1,"")</formula>
    </cfRule>
  </conditionalFormatting>
  <conditionalFormatting sqref="D45">
    <cfRule type="expression" dxfId="146" priority="197">
      <formula>IF(J39&gt;=1,1,"")</formula>
    </cfRule>
  </conditionalFormatting>
  <conditionalFormatting sqref="C25">
    <cfRule type="expression" dxfId="145" priority="182">
      <formula>IF(J22&gt;=1,1,"")</formula>
    </cfRule>
  </conditionalFormatting>
  <conditionalFormatting sqref="D25">
    <cfRule type="expression" dxfId="144" priority="181">
      <formula>IF(J22&gt;=1,1,"")</formula>
    </cfRule>
  </conditionalFormatting>
  <conditionalFormatting sqref="C28">
    <cfRule type="expression" dxfId="143" priority="180">
      <formula>IF(J22&gt;=1,1,"")</formula>
    </cfRule>
  </conditionalFormatting>
  <conditionalFormatting sqref="D28">
    <cfRule type="expression" dxfId="142" priority="179">
      <formula>IF(J22&gt;=1,1,"")</formula>
    </cfRule>
  </conditionalFormatting>
  <conditionalFormatting sqref="C34">
    <cfRule type="expression" dxfId="141" priority="178">
      <formula>IF(J22&gt;=1,1,"")</formula>
    </cfRule>
  </conditionalFormatting>
  <conditionalFormatting sqref="D34">
    <cfRule type="expression" dxfId="140" priority="177">
      <formula>IF(J22&gt;=1,1,"")</formula>
    </cfRule>
  </conditionalFormatting>
  <conditionalFormatting sqref="C75">
    <cfRule type="expression" dxfId="139" priority="176">
      <formula>IF(J72&gt;=1,1,"")</formula>
    </cfRule>
  </conditionalFormatting>
  <conditionalFormatting sqref="D75">
    <cfRule type="expression" dxfId="138" priority="175">
      <formula>IF(J72&gt;=1,1,"")</formula>
    </cfRule>
  </conditionalFormatting>
  <conditionalFormatting sqref="C78">
    <cfRule type="expression" dxfId="137" priority="174">
      <formula>IF(J72&gt;=1,1,"")</formula>
    </cfRule>
  </conditionalFormatting>
  <conditionalFormatting sqref="D78">
    <cfRule type="expression" dxfId="136" priority="173">
      <formula>IF(J72&gt;=1,1,"")</formula>
    </cfRule>
  </conditionalFormatting>
  <conditionalFormatting sqref="C85">
    <cfRule type="expression" dxfId="135" priority="172">
      <formula>IF(J72&gt;=1,1,"")</formula>
    </cfRule>
  </conditionalFormatting>
  <conditionalFormatting sqref="D85">
    <cfRule type="expression" dxfId="134" priority="171">
      <formula>IF(J72&gt;=1,1,"")</formula>
    </cfRule>
  </conditionalFormatting>
  <conditionalFormatting sqref="C93">
    <cfRule type="expression" dxfId="133" priority="170">
      <formula>IF(J90&gt;=1,1,"")</formula>
    </cfRule>
  </conditionalFormatting>
  <conditionalFormatting sqref="D93">
    <cfRule type="expression" dxfId="132" priority="169">
      <formula>IF(J90&gt;=1,1,"")</formula>
    </cfRule>
  </conditionalFormatting>
  <conditionalFormatting sqref="C96">
    <cfRule type="expression" dxfId="131" priority="168">
      <formula>IF(J90&gt;=1,1,"")</formula>
    </cfRule>
  </conditionalFormatting>
  <conditionalFormatting sqref="D96">
    <cfRule type="expression" dxfId="130" priority="167">
      <formula>IF(J90&gt;=1,1,"")</formula>
    </cfRule>
  </conditionalFormatting>
  <conditionalFormatting sqref="C102">
    <cfRule type="expression" dxfId="129" priority="166">
      <formula>IF(J90&gt;=1,1,"")</formula>
    </cfRule>
  </conditionalFormatting>
  <conditionalFormatting sqref="D102">
    <cfRule type="expression" dxfId="128" priority="165">
      <formula>IF(J90&gt;=1,1,"")</formula>
    </cfRule>
  </conditionalFormatting>
  <conditionalFormatting sqref="C110">
    <cfRule type="expression" dxfId="127" priority="164">
      <formula>IF(J107&gt;=1,1,0)</formula>
    </cfRule>
  </conditionalFormatting>
  <conditionalFormatting sqref="D110">
    <cfRule type="expression" dxfId="126" priority="163">
      <formula>IF(J107&gt;=1,1,0)</formula>
    </cfRule>
  </conditionalFormatting>
  <conditionalFormatting sqref="C113">
    <cfRule type="expression" dxfId="125" priority="162">
      <formula>IF(J107&gt;=1,1,0)</formula>
    </cfRule>
  </conditionalFormatting>
  <conditionalFormatting sqref="D113">
    <cfRule type="expression" dxfId="124" priority="161">
      <formula>IF(J107&gt;=1,1,0)</formula>
    </cfRule>
  </conditionalFormatting>
  <conditionalFormatting sqref="C121">
    <cfRule type="expression" dxfId="123" priority="160">
      <formula>IF(J107&gt;=1,1,0)</formula>
    </cfRule>
  </conditionalFormatting>
  <conditionalFormatting sqref="D121">
    <cfRule type="expression" dxfId="122" priority="159">
      <formula>IF(J107&gt;=1,1,0)</formula>
    </cfRule>
  </conditionalFormatting>
  <conditionalFormatting sqref="C136">
    <cfRule type="expression" dxfId="121" priority="158">
      <formula>IF(J133&gt;=1,1,0)</formula>
    </cfRule>
  </conditionalFormatting>
  <conditionalFormatting sqref="D136">
    <cfRule type="expression" dxfId="120" priority="157">
      <formula>IF(J133&gt;=1,1,0)</formula>
    </cfRule>
  </conditionalFormatting>
  <conditionalFormatting sqref="C139">
    <cfRule type="expression" dxfId="119" priority="156">
      <formula>IF(J133&gt;=1,1,0)</formula>
    </cfRule>
  </conditionalFormatting>
  <conditionalFormatting sqref="D139">
    <cfRule type="expression" dxfId="118" priority="155">
      <formula>IF(J133&gt;=1,1,0)</formula>
    </cfRule>
  </conditionalFormatting>
  <conditionalFormatting sqref="C146">
    <cfRule type="expression" dxfId="117" priority="154">
      <formula>IF(J133&gt;=1,1,0)</formula>
    </cfRule>
  </conditionalFormatting>
  <conditionalFormatting sqref="D146">
    <cfRule type="expression" dxfId="116" priority="153">
      <formula>IF(J133&gt;=1,1,0)</formula>
    </cfRule>
  </conditionalFormatting>
  <conditionalFormatting sqref="C204">
    <cfRule type="expression" dxfId="115" priority="151">
      <formula>IF(K9&gt;=1,1,0)</formula>
    </cfRule>
  </conditionalFormatting>
  <conditionalFormatting sqref="D204">
    <cfRule type="expression" dxfId="114" priority="150">
      <formula>IF(K9&gt;=1,1,0)</formula>
    </cfRule>
  </conditionalFormatting>
  <conditionalFormatting sqref="C205">
    <cfRule type="expression" dxfId="113" priority="149">
      <formula>IF(K9&gt;=1,1,0)</formula>
    </cfRule>
  </conditionalFormatting>
  <conditionalFormatting sqref="D205">
    <cfRule type="expression" dxfId="112" priority="148">
      <formula>IF(K9&gt;=1,1,0)</formula>
    </cfRule>
  </conditionalFormatting>
  <conditionalFormatting sqref="C206">
    <cfRule type="expression" dxfId="111" priority="147">
      <formula>IF(K9&gt;=1,1,0)</formula>
    </cfRule>
  </conditionalFormatting>
  <conditionalFormatting sqref="D206">
    <cfRule type="expression" dxfId="110" priority="146">
      <formula>IF(K9&gt;=1,1,0)</formula>
    </cfRule>
  </conditionalFormatting>
  <conditionalFormatting sqref="C207">
    <cfRule type="expression" dxfId="109" priority="145">
      <formula>IF(K9&gt;=1,1,0)</formula>
    </cfRule>
  </conditionalFormatting>
  <conditionalFormatting sqref="D207">
    <cfRule type="expression" dxfId="108" priority="144">
      <formula>IF(K9&gt;=1,1,0)</formula>
    </cfRule>
  </conditionalFormatting>
  <conditionalFormatting sqref="C250">
    <cfRule type="expression" dxfId="107" priority="137">
      <formula>IF(J247=1,1,0)</formula>
    </cfRule>
  </conditionalFormatting>
  <conditionalFormatting sqref="D250">
    <cfRule type="expression" dxfId="106" priority="136">
      <formula>IF(J247=1,1,0)</formula>
    </cfRule>
  </conditionalFormatting>
  <conditionalFormatting sqref="C208">
    <cfRule type="expression" dxfId="105" priority="135">
      <formula>IF(K9&gt;=1,1,0)</formula>
    </cfRule>
  </conditionalFormatting>
  <conditionalFormatting sqref="D208">
    <cfRule type="expression" dxfId="104" priority="134">
      <formula>IF(K9&gt;=1,1,0)</formula>
    </cfRule>
  </conditionalFormatting>
  <conditionalFormatting sqref="C159">
    <cfRule type="expression" dxfId="103" priority="133">
      <formula>IF($J$156=0,0,$K$18)</formula>
    </cfRule>
  </conditionalFormatting>
  <conditionalFormatting sqref="D159">
    <cfRule type="expression" dxfId="102" priority="132">
      <formula>IF(J156=0,0,1)</formula>
    </cfRule>
  </conditionalFormatting>
  <conditionalFormatting sqref="C162">
    <cfRule type="expression" dxfId="101" priority="131">
      <formula>IF(J156=0,0,1)</formula>
    </cfRule>
  </conditionalFormatting>
  <conditionalFormatting sqref="D162">
    <cfRule type="expression" dxfId="100" priority="130">
      <formula>IF(J156=0,0,1)</formula>
    </cfRule>
  </conditionalFormatting>
  <conditionalFormatting sqref="C165">
    <cfRule type="expression" dxfId="99" priority="129">
      <formula>IF(J156=0,0,1)</formula>
    </cfRule>
  </conditionalFormatting>
  <conditionalFormatting sqref="D165">
    <cfRule type="expression" dxfId="98" priority="128">
      <formula>IF(J156=0,0,1)</formula>
    </cfRule>
  </conditionalFormatting>
  <conditionalFormatting sqref="C168">
    <cfRule type="expression" dxfId="97" priority="127">
      <formula>IF(J156=0,0,1)</formula>
    </cfRule>
  </conditionalFormatting>
  <conditionalFormatting sqref="D168">
    <cfRule type="expression" dxfId="96" priority="126">
      <formula>IF(J156=0,0,1)</formula>
    </cfRule>
  </conditionalFormatting>
  <conditionalFormatting sqref="C311">
    <cfRule type="expression" dxfId="95" priority="121">
      <formula>IF(AND(K17&gt;4,$J$310=1),1,0)</formula>
    </cfRule>
  </conditionalFormatting>
  <conditionalFormatting sqref="D311">
    <cfRule type="expression" dxfId="94" priority="120">
      <formula>IF(AND(K17&gt;4,$J$310=1),1,0)</formula>
    </cfRule>
  </conditionalFormatting>
  <conditionalFormatting sqref="C187:C188">
    <cfRule type="expression" dxfId="93" priority="117">
      <formula>IF(K171=1,1,"")</formula>
    </cfRule>
  </conditionalFormatting>
  <conditionalFormatting sqref="C187">
    <cfRule type="expression" dxfId="92" priority="103">
      <formula>IF(K9=1,1,0)</formula>
    </cfRule>
  </conditionalFormatting>
  <conditionalFormatting sqref="C60">
    <cfRule type="expression" dxfId="91" priority="90">
      <formula>IF(J57=1,1,0)</formula>
    </cfRule>
    <cfRule type="expression" dxfId="90" priority="91">
      <formula>IF(J57=0,0,"")</formula>
    </cfRule>
  </conditionalFormatting>
  <conditionalFormatting sqref="D60">
    <cfRule type="expression" dxfId="89" priority="89">
      <formula>IF(J57=1,1,0)</formula>
    </cfRule>
  </conditionalFormatting>
  <conditionalFormatting sqref="C62">
    <cfRule type="expression" dxfId="88" priority="88">
      <formula>IF(OR(J22&gt;=1,J39&gt;=1),1,0)</formula>
    </cfRule>
  </conditionalFormatting>
  <conditionalFormatting sqref="D62">
    <cfRule type="expression" dxfId="87" priority="87">
      <formula>IF(OR(J22&gt;=1,J39&gt;=1),1,0)</formula>
    </cfRule>
  </conditionalFormatting>
  <conditionalFormatting sqref="C243">
    <cfRule type="expression" dxfId="86" priority="81">
      <formula>IF(K9&gt;=1,1,0)</formula>
    </cfRule>
  </conditionalFormatting>
  <conditionalFormatting sqref="D243">
    <cfRule type="expression" dxfId="85" priority="80">
      <formula>IF(K9&gt;=1,1,0)</formula>
    </cfRule>
  </conditionalFormatting>
  <conditionalFormatting sqref="C225">
    <cfRule type="expression" dxfId="84" priority="73">
      <formula>IF(K9&gt;=1,1,0)</formula>
    </cfRule>
  </conditionalFormatting>
  <conditionalFormatting sqref="D225">
    <cfRule type="expression" dxfId="83" priority="72">
      <formula>IF(K9&gt;=1,1,0)</formula>
    </cfRule>
  </conditionalFormatting>
  <conditionalFormatting sqref="C226">
    <cfRule type="expression" dxfId="82" priority="71">
      <formula>IF(K9&gt;=1,1,0)</formula>
    </cfRule>
  </conditionalFormatting>
  <conditionalFormatting sqref="D226">
    <cfRule type="expression" dxfId="81" priority="70">
      <formula>IF(K9&gt;=1,1,0)</formula>
    </cfRule>
  </conditionalFormatting>
  <conditionalFormatting sqref="C203">
    <cfRule type="expression" dxfId="80" priority="68">
      <formula>IF(K9&gt;=1,1,0)</formula>
    </cfRule>
    <cfRule type="expression" dxfId="79" priority="69">
      <formula>IF(K9=1,1,IF(K9=2,"",IF(OR(K9=0,K9=""),"",0)))</formula>
    </cfRule>
  </conditionalFormatting>
  <conditionalFormatting sqref="C217">
    <cfRule type="expression" dxfId="78" priority="67">
      <formula>IF(K9&gt;=1,1,0)</formula>
    </cfRule>
  </conditionalFormatting>
  <conditionalFormatting sqref="D203">
    <cfRule type="expression" dxfId="77" priority="66">
      <formula>IF(K9&gt;=1,1,0)</formula>
    </cfRule>
  </conditionalFormatting>
  <conditionalFormatting sqref="D217">
    <cfRule type="expression" dxfId="76" priority="65">
      <formula>IF(K9&gt;=1,1,0)</formula>
    </cfRule>
  </conditionalFormatting>
  <conditionalFormatting sqref="C218">
    <cfRule type="expression" dxfId="75" priority="64">
      <formula>IF(K9&gt;=1,1,0)</formula>
    </cfRule>
  </conditionalFormatting>
  <conditionalFormatting sqref="D218">
    <cfRule type="expression" dxfId="74" priority="63">
      <formula>IF(K9&gt;=1,1,0)</formula>
    </cfRule>
  </conditionalFormatting>
  <conditionalFormatting sqref="C219">
    <cfRule type="expression" dxfId="73" priority="62">
      <formula>IF(K9&gt;=1,1,0)</formula>
    </cfRule>
  </conditionalFormatting>
  <conditionalFormatting sqref="D219">
    <cfRule type="expression" dxfId="72" priority="61">
      <formula>IF(K9&gt;=1,1,0)</formula>
    </cfRule>
  </conditionalFormatting>
  <conditionalFormatting sqref="C220">
    <cfRule type="expression" dxfId="71" priority="60">
      <formula>IF(K9&gt;=1,1,0)</formula>
    </cfRule>
  </conditionalFormatting>
  <conditionalFormatting sqref="D220">
    <cfRule type="expression" dxfId="70" priority="59">
      <formula>IF(K9&gt;=1,1,0)</formula>
    </cfRule>
  </conditionalFormatting>
  <conditionalFormatting sqref="C221">
    <cfRule type="expression" dxfId="69" priority="58">
      <formula>IF(K9&gt;=1,1,0)</formula>
    </cfRule>
  </conditionalFormatting>
  <conditionalFormatting sqref="D221">
    <cfRule type="expression" dxfId="68" priority="57">
      <formula>IF(K9&gt;=1,1,0)</formula>
    </cfRule>
  </conditionalFormatting>
  <conditionalFormatting sqref="C242">
    <cfRule type="expression" dxfId="67" priority="56">
      <formula>IF(K9&gt;=1,1,0)</formula>
    </cfRule>
  </conditionalFormatting>
  <conditionalFormatting sqref="D242">
    <cfRule type="expression" dxfId="66" priority="55">
      <formula>IF(K9&gt;=1,1,0)</formula>
    </cfRule>
  </conditionalFormatting>
  <conditionalFormatting sqref="C251">
    <cfRule type="expression" dxfId="65" priority="54">
      <formula>IF(K9&gt;=1,1,0)</formula>
    </cfRule>
  </conditionalFormatting>
  <conditionalFormatting sqref="D251">
    <cfRule type="expression" dxfId="64" priority="53">
      <formula>IF(K9&gt;=1,1,0)</formula>
    </cfRule>
  </conditionalFormatting>
  <conditionalFormatting sqref="C252">
    <cfRule type="expression" dxfId="63" priority="52">
      <formula>IF(K9&gt;=1,1,0)</formula>
    </cfRule>
  </conditionalFormatting>
  <conditionalFormatting sqref="D252">
    <cfRule type="expression" dxfId="62" priority="51">
      <formula>IF(K9&gt;=1,1,0)</formula>
    </cfRule>
  </conditionalFormatting>
  <conditionalFormatting sqref="C253">
    <cfRule type="expression" dxfId="61" priority="50">
      <formula>IF(K9&gt;=1,1,0)</formula>
    </cfRule>
  </conditionalFormatting>
  <conditionalFormatting sqref="D253">
    <cfRule type="expression" dxfId="60" priority="49">
      <formula>IF(K9&gt;=1,1,0)</formula>
    </cfRule>
  </conditionalFormatting>
  <conditionalFormatting sqref="C254">
    <cfRule type="expression" dxfId="59" priority="48">
      <formula>IF(K9&gt;=1,1,0)</formula>
    </cfRule>
  </conditionalFormatting>
  <conditionalFormatting sqref="D254">
    <cfRule type="expression" dxfId="58" priority="47">
      <formula>IF(K9&gt;=1,1,0)</formula>
    </cfRule>
  </conditionalFormatting>
  <conditionalFormatting sqref="C255">
    <cfRule type="expression" dxfId="57" priority="46">
      <formula>IF(K9&gt;=1,1,0)</formula>
    </cfRule>
  </conditionalFormatting>
  <conditionalFormatting sqref="D255">
    <cfRule type="expression" dxfId="56" priority="45">
      <formula>IF(K9&gt;=1,1,0)</formula>
    </cfRule>
  </conditionalFormatting>
  <conditionalFormatting sqref="C256">
    <cfRule type="expression" dxfId="55" priority="44">
      <formula>IF(K9&gt;=1,1,0)</formula>
    </cfRule>
  </conditionalFormatting>
  <conditionalFormatting sqref="D256">
    <cfRule type="expression" dxfId="54" priority="43">
      <formula>IF(K9&gt;=1,1,0)</formula>
    </cfRule>
  </conditionalFormatting>
  <conditionalFormatting sqref="C257">
    <cfRule type="expression" dxfId="53" priority="42">
      <formula>IF(K9&gt;=1,1,0)</formula>
    </cfRule>
  </conditionalFormatting>
  <conditionalFormatting sqref="D257">
    <cfRule type="expression" dxfId="52" priority="41">
      <formula>IF(K9&gt;=1,1,0)</formula>
    </cfRule>
  </conditionalFormatting>
  <conditionalFormatting sqref="C258">
    <cfRule type="expression" dxfId="51" priority="40">
      <formula>IF(K9&gt;=1,1,0)</formula>
    </cfRule>
  </conditionalFormatting>
  <conditionalFormatting sqref="D258">
    <cfRule type="expression" dxfId="50" priority="39">
      <formula>IF(K9&gt;=1,1,0)</formula>
    </cfRule>
  </conditionalFormatting>
  <conditionalFormatting sqref="C259">
    <cfRule type="expression" dxfId="49" priority="38">
      <formula>IF(K9&gt;=1,1,0)</formula>
    </cfRule>
  </conditionalFormatting>
  <conditionalFormatting sqref="D259">
    <cfRule type="expression" dxfId="48" priority="37">
      <formula>IF(K9&gt;=1,1,0)</formula>
    </cfRule>
  </conditionalFormatting>
  <conditionalFormatting sqref="C269">
    <cfRule type="expression" dxfId="47" priority="36">
      <formula>IF(K9&gt;=1,1,0)</formula>
    </cfRule>
  </conditionalFormatting>
  <conditionalFormatting sqref="D269">
    <cfRule type="expression" dxfId="46" priority="35">
      <formula>IF(K9&gt;=1,1,0)</formula>
    </cfRule>
  </conditionalFormatting>
  <conditionalFormatting sqref="C270">
    <cfRule type="expression" dxfId="45" priority="34">
      <formula>IF(K9&gt;=1,1,0)</formula>
    </cfRule>
  </conditionalFormatting>
  <conditionalFormatting sqref="D270">
    <cfRule type="expression" dxfId="44" priority="33">
      <formula>IF(K9&gt;=1,1,0)</formula>
    </cfRule>
  </conditionalFormatting>
  <conditionalFormatting sqref="C271">
    <cfRule type="expression" dxfId="43" priority="32">
      <formula>IF(AND(K9=1,K17&gt;4),1,0)</formula>
    </cfRule>
  </conditionalFormatting>
  <conditionalFormatting sqref="D271">
    <cfRule type="expression" dxfId="42" priority="31">
      <formula>IF(AND(K9=1,K17&gt;4),1,0)</formula>
    </cfRule>
  </conditionalFormatting>
  <conditionalFormatting sqref="C273">
    <cfRule type="expression" dxfId="41" priority="30">
      <formula>IF(K9&gt;=1,1,0)</formula>
    </cfRule>
  </conditionalFormatting>
  <conditionalFormatting sqref="D273">
    <cfRule type="expression" dxfId="40" priority="29">
      <formula>IF(K9&gt;=1,1,0)</formula>
    </cfRule>
  </conditionalFormatting>
  <conditionalFormatting sqref="C280">
    <cfRule type="expression" dxfId="39" priority="28">
      <formula>IF(K9&gt;=1,1,0)</formula>
    </cfRule>
  </conditionalFormatting>
  <conditionalFormatting sqref="D280">
    <cfRule type="expression" dxfId="38" priority="27">
      <formula>IF(K9&gt;=1,1,0)</formula>
    </cfRule>
  </conditionalFormatting>
  <conditionalFormatting sqref="C209">
    <cfRule type="expression" dxfId="37" priority="26">
      <formula>IF(K9&gt;=1,1,0)</formula>
    </cfRule>
  </conditionalFormatting>
  <conditionalFormatting sqref="D209">
    <cfRule type="expression" dxfId="36" priority="25">
      <formula>IF(K9&gt;=1,1,0)</formula>
    </cfRule>
  </conditionalFormatting>
  <conditionalFormatting sqref="I11">
    <cfRule type="expression" dxfId="35" priority="24">
      <formula>IF(AND(K9&gt;0,K9&lt;3),1,0)</formula>
    </cfRule>
  </conditionalFormatting>
  <conditionalFormatting sqref="J11">
    <cfRule type="expression" dxfId="34" priority="23">
      <formula>IF(AND(K9&gt;0,K9&lt;3),1,0)</formula>
    </cfRule>
  </conditionalFormatting>
  <conditionalFormatting sqref="I18">
    <cfRule type="expression" dxfId="33" priority="12">
      <formula>IF(AND(K9&gt;0,K9&lt;3),1,0)</formula>
    </cfRule>
  </conditionalFormatting>
  <conditionalFormatting sqref="J18">
    <cfRule type="expression" dxfId="32" priority="11">
      <formula>IF(AND(K9&gt;0,K9&lt;3),1,0)</formula>
    </cfRule>
  </conditionalFormatting>
  <conditionalFormatting sqref="C186">
    <cfRule type="expression" dxfId="31" priority="273">
      <formula>IF(K9=1,1,0)</formula>
    </cfRule>
    <cfRule type="expression" dxfId="30" priority="274">
      <formula>IF(K171=1,1,"")</formula>
    </cfRule>
  </conditionalFormatting>
  <conditionalFormatting sqref="D186">
    <cfRule type="expression" dxfId="29" priority="275">
      <formula>IF(K9=1,1,0)</formula>
    </cfRule>
    <cfRule type="expression" dxfId="28" priority="276">
      <formula>IF(K171=1,1,"")</formula>
    </cfRule>
  </conditionalFormatting>
  <conditionalFormatting sqref="D187">
    <cfRule type="expression" dxfId="27" priority="277">
      <formula>IF(K9=1,1,0)</formula>
    </cfRule>
    <cfRule type="expression" dxfId="26" priority="278">
      <formula>IF(K171=1,1,"")</formula>
    </cfRule>
  </conditionalFormatting>
  <conditionalFormatting sqref="C188">
    <cfRule type="expression" dxfId="25" priority="279">
      <formula>IF(K9=1,1,0)</formula>
    </cfRule>
    <cfRule type="expression" dxfId="24" priority="280">
      <formula>IF(K171=1,1,"")</formula>
    </cfRule>
  </conditionalFormatting>
  <conditionalFormatting sqref="D188">
    <cfRule type="expression" dxfId="23" priority="281">
      <formula>IF(K9=1,1,0)</formula>
    </cfRule>
    <cfRule type="expression" dxfId="22" priority="282">
      <formula>IF(K171=1,1,"")</formula>
    </cfRule>
  </conditionalFormatting>
  <conditionalFormatting sqref="C192">
    <cfRule type="expression" dxfId="21" priority="283">
      <formula>IF(K9=1,1,0)</formula>
    </cfRule>
    <cfRule type="expression" dxfId="20" priority="284">
      <formula>IF(K171=1,1,"")</formula>
    </cfRule>
  </conditionalFormatting>
  <conditionalFormatting sqref="D192">
    <cfRule type="expression" dxfId="19" priority="285">
      <formula>IF(K9=1,1,0)</formula>
    </cfRule>
    <cfRule type="expression" dxfId="18" priority="286">
      <formula>IF(K171=1,1,"")</formula>
    </cfRule>
  </conditionalFormatting>
  <conditionalFormatting sqref="C193">
    <cfRule type="expression" dxfId="17" priority="287">
      <formula>IF(K9=1,1,0)</formula>
    </cfRule>
    <cfRule type="expression" dxfId="16" priority="288">
      <formula>IF(K171=1,1,"")</formula>
    </cfRule>
  </conditionalFormatting>
  <conditionalFormatting sqref="D193">
    <cfRule type="expression" dxfId="15" priority="289">
      <formula>IF(K9=1,1,0)</formula>
    </cfRule>
    <cfRule type="expression" dxfId="14" priority="290">
      <formula>IF(K171=1,1,"")</formula>
    </cfRule>
  </conditionalFormatting>
  <conditionalFormatting sqref="C198">
    <cfRule type="expression" dxfId="13" priority="291">
      <formula>IF(K9=1,1,0)</formula>
    </cfRule>
    <cfRule type="expression" dxfId="12" priority="292">
      <formula>IF(K171=1,1,"")</formula>
    </cfRule>
  </conditionalFormatting>
  <conditionalFormatting sqref="D198">
    <cfRule type="expression" dxfId="11" priority="293">
      <formula>IF(K9=1,1,0)</formula>
    </cfRule>
    <cfRule type="expression" dxfId="10" priority="294">
      <formula>IF(K171=1,1,"")</formula>
    </cfRule>
  </conditionalFormatting>
  <conditionalFormatting sqref="I12">
    <cfRule type="expression" dxfId="9" priority="10">
      <formula>IF(AND(K9&gt;0,K9&lt;3),1,0)</formula>
    </cfRule>
  </conditionalFormatting>
  <conditionalFormatting sqref="J12">
    <cfRule type="expression" dxfId="8" priority="9">
      <formula>IF(AND(K9&gt;0,K9&lt;3),1,0)</formula>
    </cfRule>
  </conditionalFormatting>
  <conditionalFormatting sqref="I14">
    <cfRule type="expression" dxfId="7" priority="8">
      <formula>IF(AND(K9&gt;0,K9&lt;3),1,0)</formula>
    </cfRule>
  </conditionalFormatting>
  <conditionalFormatting sqref="J14">
    <cfRule type="expression" dxfId="6" priority="7">
      <formula>IF(AND(K9&gt;0,K9&lt;3),1,0)</formula>
    </cfRule>
  </conditionalFormatting>
  <conditionalFormatting sqref="I13">
    <cfRule type="expression" dxfId="5" priority="6">
      <formula>IF(AND(K9&gt;0,K9&lt;3),1,0)</formula>
    </cfRule>
  </conditionalFormatting>
  <conditionalFormatting sqref="J13">
    <cfRule type="expression" dxfId="4" priority="5">
      <formula>IF(AND(K9&gt;0,K9&lt;3),1,0)</formula>
    </cfRule>
  </conditionalFormatting>
  <conditionalFormatting sqref="I15">
    <cfRule type="expression" dxfId="3" priority="4">
      <formula>IF(AND(K9&gt;0,K9&lt;3),1,0)</formula>
    </cfRule>
  </conditionalFormatting>
  <conditionalFormatting sqref="J15">
    <cfRule type="expression" dxfId="2" priority="3">
      <formula>IF(AND(K9&gt;0,K9&lt;3),1,0)</formula>
    </cfRule>
  </conditionalFormatting>
  <conditionalFormatting sqref="I16">
    <cfRule type="expression" dxfId="1" priority="2">
      <formula>IF(AND(K9&gt;0,K9&lt;3),1,0)</formula>
    </cfRule>
  </conditionalFormatting>
  <conditionalFormatting sqref="J16">
    <cfRule type="expression" dxfId="0" priority="1">
      <formula>IF(AND(K9&gt;0,K9&lt;3),1,0)</formula>
    </cfRule>
  </conditionalFormatting>
  <dataValidations disablePrompts="1" count="3">
    <dataValidation allowBlank="1" showInputMessage="1" showErrorMessage="1" errorTitle="NÚMERO DE SERVIDORES" error="SOMENTE SE HOUVER VARA DE JEF" sqref="C25" xr:uid="{00000000-0002-0000-0000-000000000000}"/>
    <dataValidation errorStyle="warning" allowBlank="1" showInputMessage="1" showErrorMessage="1" errorTitle="NÚMERO DE SERVIDORES" error="SE NÃO HOUVER VARAS DE JEF, A POPULAÇÃO ATUAL E SUGERIDA DEVERÃO SER PREENCHIDAS COM O NUMERAL (0)." sqref="D22:E22" xr:uid="{00000000-0002-0000-0000-000001000000}"/>
    <dataValidation allowBlank="1" showInputMessage="1" showErrorMessage="1" errorTitle="NÚMERO DE UNIDADES " error="Preencha somente com o numeral (1), para indicar a inclusão da unidade pretendida para as ÁREAS OPCIONAIS." sqref="J310" xr:uid="{00000000-0002-0000-0000-000002000000}"/>
  </dataValidations>
  <printOptions horizontalCentered="1"/>
  <pageMargins left="0.98425196850393704" right="0.59055118110236227" top="0.78740157480314965" bottom="0.59055118110236227" header="0" footer="0.31496062992125984"/>
  <pageSetup paperSize="9" scale="59" fitToHeight="0" orientation="portrait" verticalDpi="598" r:id="rId1"/>
  <headerFooter>
    <oddFooter>Página &amp;P de &amp;N</oddFooter>
  </headerFooter>
  <rowBreaks count="7" manualBreakCount="7">
    <brk id="56" max="16383" man="1"/>
    <brk id="106" max="16383" man="1"/>
    <brk id="150" max="16383" man="1"/>
    <brk id="178" max="16383" man="1"/>
    <brk id="222" max="16383" man="1"/>
    <brk id="265" max="16383" man="1"/>
    <brk id="30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80"/>
  <sheetViews>
    <sheetView showGridLines="0" view="pageBreakPreview" topLeftCell="A32" zoomScale="80" zoomScaleNormal="90" zoomScaleSheetLayoutView="80" zoomScalePageLayoutView="80" workbookViewId="0">
      <selection activeCell="A36" sqref="A36:B36"/>
    </sheetView>
  </sheetViews>
  <sheetFormatPr defaultColWidth="8.85546875" defaultRowHeight="18" customHeight="1" x14ac:dyDescent="0.25"/>
  <cols>
    <col min="1" max="1" width="8.42578125" style="140" customWidth="1"/>
    <col min="2" max="2" width="35.140625" style="141" customWidth="1"/>
    <col min="3" max="3" width="1.5703125" style="141" customWidth="1"/>
    <col min="4" max="4" width="15.7109375" style="205" customWidth="1"/>
    <col min="5" max="5" width="15.7109375" style="206" customWidth="1"/>
    <col min="6" max="6" width="18.7109375" style="142" customWidth="1"/>
    <col min="7" max="7" width="0.5703125" style="143" customWidth="1"/>
    <col min="8" max="8" width="19.42578125" style="144" customWidth="1"/>
    <col min="9" max="9" width="0.7109375" style="144" customWidth="1"/>
    <col min="10" max="10" width="18.7109375" style="207" customWidth="1"/>
    <col min="11" max="11" width="18.7109375" style="208" customWidth="1"/>
    <col min="12" max="12" width="8.7109375" style="144" customWidth="1"/>
    <col min="13" max="13" width="8.85546875" style="145"/>
    <col min="14" max="16384" width="8.85546875" style="141"/>
  </cols>
  <sheetData>
    <row r="1" spans="1:14" ht="81" customHeight="1" x14ac:dyDescent="0.25">
      <c r="D1" s="89"/>
      <c r="E1" s="87"/>
      <c r="J1" s="144"/>
      <c r="K1" s="142"/>
    </row>
    <row r="2" spans="1:14" s="148" customFormat="1" ht="18" customHeight="1" x14ac:dyDescent="0.25">
      <c r="A2" s="270" t="s">
        <v>247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L2" s="146"/>
      <c r="M2" s="147"/>
    </row>
    <row r="3" spans="1:14" s="148" customFormat="1" ht="18" customHeight="1" x14ac:dyDescent="0.25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2"/>
      <c r="L3" s="146"/>
      <c r="M3" s="147"/>
    </row>
    <row r="4" spans="1:14" s="148" customFormat="1" ht="18" customHeight="1" x14ac:dyDescent="0.25">
      <c r="A4" s="270"/>
      <c r="B4" s="271"/>
      <c r="C4" s="271"/>
      <c r="D4" s="271"/>
      <c r="E4" s="271"/>
      <c r="F4" s="271"/>
      <c r="G4" s="271"/>
      <c r="H4" s="271"/>
      <c r="I4" s="271"/>
      <c r="J4" s="271"/>
      <c r="K4" s="272"/>
      <c r="L4" s="146"/>
      <c r="M4" s="147"/>
    </row>
    <row r="5" spans="1:14" s="148" customFormat="1" ht="20.100000000000001" customHeight="1" x14ac:dyDescent="0.25">
      <c r="A5" s="273" t="str">
        <f>'DADOS GERAIS E ÁREAS'!A4:K4</f>
        <v>VERSÃO 2017</v>
      </c>
      <c r="B5" s="273"/>
      <c r="C5" s="273"/>
      <c r="D5" s="273"/>
      <c r="E5" s="273"/>
      <c r="F5" s="273"/>
      <c r="G5" s="273"/>
      <c r="H5" s="273"/>
      <c r="I5" s="273"/>
      <c r="J5" s="273"/>
      <c r="K5" s="274"/>
      <c r="L5" s="146"/>
      <c r="M5" s="147"/>
    </row>
    <row r="6" spans="1:14" s="151" customFormat="1" ht="20.100000000000001" customHeight="1" x14ac:dyDescent="0.25">
      <c r="A6" s="74" t="s">
        <v>4</v>
      </c>
      <c r="B6" s="280">
        <f>'DADOS GERAIS E ÁREAS'!B5:I5</f>
        <v>0</v>
      </c>
      <c r="C6" s="280"/>
      <c r="D6" s="280"/>
      <c r="E6" s="280"/>
      <c r="F6" s="280"/>
      <c r="G6" s="280"/>
      <c r="H6" s="281"/>
      <c r="I6" s="149"/>
      <c r="J6" s="84" t="s">
        <v>177</v>
      </c>
      <c r="K6" s="150">
        <f>'DADOS GERAIS E ÁREAS'!K5</f>
        <v>0</v>
      </c>
      <c r="L6" s="146"/>
      <c r="M6" s="146"/>
    </row>
    <row r="7" spans="1:14" s="151" customFormat="1" ht="20.100000000000001" customHeight="1" x14ac:dyDescent="0.25">
      <c r="A7" s="152" t="s">
        <v>179</v>
      </c>
      <c r="B7" s="153">
        <f>'DADOS GERAIS E ÁREAS'!B6</f>
        <v>0</v>
      </c>
      <c r="C7" s="154"/>
      <c r="D7" s="155" t="s">
        <v>194</v>
      </c>
      <c r="E7" s="280">
        <f>'DADOS GERAIS E ÁREAS'!E6:I6</f>
        <v>0</v>
      </c>
      <c r="F7" s="280"/>
      <c r="G7" s="280"/>
      <c r="H7" s="281"/>
      <c r="I7" s="149"/>
      <c r="J7" s="156" t="s">
        <v>178</v>
      </c>
      <c r="K7" s="150">
        <f>'DADOS GERAIS E ÁREAS'!K6</f>
        <v>0</v>
      </c>
      <c r="L7" s="146"/>
      <c r="M7" s="146"/>
    </row>
    <row r="8" spans="1:14" s="3" customFormat="1" ht="20.100000000000001" customHeight="1" x14ac:dyDescent="0.25">
      <c r="A8" s="40" t="s">
        <v>319</v>
      </c>
      <c r="B8" s="278">
        <f>'DADOS GERAIS E ÁREAS'!B7:F7</f>
        <v>0</v>
      </c>
      <c r="C8" s="278"/>
      <c r="D8" s="278"/>
      <c r="E8" s="278"/>
      <c r="F8" s="278"/>
      <c r="G8" s="157" t="s">
        <v>320</v>
      </c>
      <c r="H8" s="158" t="s">
        <v>321</v>
      </c>
      <c r="I8" s="278">
        <f>'DADOS GERAIS E ÁREAS'!H7:K7</f>
        <v>0</v>
      </c>
      <c r="J8" s="278"/>
      <c r="K8" s="279"/>
      <c r="L8" s="1"/>
      <c r="M8" s="2"/>
      <c r="N8" s="1"/>
    </row>
    <row r="9" spans="1:14" s="164" customFormat="1" ht="20.100000000000001" customHeight="1" x14ac:dyDescent="0.25">
      <c r="A9" s="159"/>
      <c r="B9" s="159"/>
      <c r="C9" s="159"/>
      <c r="D9" s="133"/>
      <c r="E9" s="133"/>
      <c r="F9" s="84"/>
      <c r="G9" s="160"/>
      <c r="H9" s="84"/>
      <c r="I9" s="161"/>
      <c r="J9" s="162"/>
      <c r="K9" s="84"/>
      <c r="L9" s="163"/>
    </row>
    <row r="10" spans="1:14" s="172" customFormat="1" ht="52.5" customHeight="1" x14ac:dyDescent="0.25">
      <c r="A10" s="275" t="s">
        <v>328</v>
      </c>
      <c r="B10" s="275"/>
      <c r="C10" s="276"/>
      <c r="D10" s="165" t="s">
        <v>330</v>
      </c>
      <c r="E10" s="166" t="s">
        <v>98</v>
      </c>
      <c r="F10" s="282" t="s">
        <v>252</v>
      </c>
      <c r="G10" s="282"/>
      <c r="H10" s="167" t="s">
        <v>314</v>
      </c>
      <c r="I10" s="129"/>
      <c r="J10" s="168" t="s">
        <v>317</v>
      </c>
      <c r="K10" s="169" t="s">
        <v>324</v>
      </c>
      <c r="L10" s="170"/>
      <c r="M10" s="171"/>
      <c r="N10" s="171"/>
    </row>
    <row r="11" spans="1:14" ht="20.100000000000001" customHeight="1" x14ac:dyDescent="0.25">
      <c r="A11" s="277" t="str">
        <f>'DADOS GERAIS E ÁREAS'!A19:K19</f>
        <v>ÁREAS OBRIGATÓRIAS - VARAS FEDERAIS</v>
      </c>
      <c r="B11" s="277"/>
      <c r="C11" s="277"/>
      <c r="D11" s="277"/>
      <c r="E11" s="277"/>
      <c r="F11" s="277"/>
      <c r="G11" s="173"/>
      <c r="H11" s="174">
        <f>SUM(H12:H23)</f>
        <v>0</v>
      </c>
      <c r="I11" s="175"/>
      <c r="J11" s="176">
        <f>SUM(J12:J23)</f>
        <v>0</v>
      </c>
      <c r="K11" s="177">
        <f>SUM(H11+J11)</f>
        <v>0</v>
      </c>
      <c r="L11" s="164"/>
      <c r="N11" s="145"/>
    </row>
    <row r="12" spans="1:14" ht="20.100000000000001" customHeight="1" x14ac:dyDescent="0.25">
      <c r="A12" s="243" t="s">
        <v>34</v>
      </c>
      <c r="B12" s="244"/>
      <c r="C12" s="130"/>
      <c r="D12" s="178">
        <f>'DADOS GERAIS E ÁREAS'!J22</f>
        <v>0</v>
      </c>
      <c r="E12" s="178">
        <f>D12*SUM('DADOS GERAIS E ÁREAS'!C22+'DADOS GERAIS E ÁREAS'!D22+'DADOS GERAIS E ÁREAS'!E22)</f>
        <v>0</v>
      </c>
      <c r="F12" s="179">
        <f>'DADOS GERAIS E ÁREAS'!I22</f>
        <v>0</v>
      </c>
      <c r="G12" s="180"/>
      <c r="H12" s="39">
        <f>'DADOS GERAIS E ÁREAS'!K22</f>
        <v>0</v>
      </c>
      <c r="I12" s="84"/>
      <c r="J12" s="181">
        <f>H12*30%</f>
        <v>0</v>
      </c>
      <c r="K12" s="182">
        <f t="shared" ref="K12:K24" si="0">H12+J12</f>
        <v>0</v>
      </c>
      <c r="L12" s="109"/>
      <c r="N12" s="145"/>
    </row>
    <row r="13" spans="1:14" ht="20.100000000000001" customHeight="1" x14ac:dyDescent="0.25">
      <c r="A13" s="243" t="s">
        <v>35</v>
      </c>
      <c r="B13" s="244"/>
      <c r="C13" s="130"/>
      <c r="D13" s="178">
        <f>'DADOS GERAIS E ÁREAS'!J39</f>
        <v>0</v>
      </c>
      <c r="E13" s="178">
        <f>D13*SUM('DADOS GERAIS E ÁREAS'!C39+'DADOS GERAIS E ÁREAS'!D39+'DADOS GERAIS E ÁREAS'!E39)</f>
        <v>0</v>
      </c>
      <c r="F13" s="179">
        <f>'DADOS GERAIS E ÁREAS'!I39</f>
        <v>0</v>
      </c>
      <c r="G13" s="180"/>
      <c r="H13" s="39">
        <f>'DADOS GERAIS E ÁREAS'!K39</f>
        <v>0</v>
      </c>
      <c r="I13" s="84"/>
      <c r="J13" s="181">
        <f t="shared" ref="J13:J43" si="1">H13*30%</f>
        <v>0</v>
      </c>
      <c r="K13" s="182">
        <f t="shared" si="0"/>
        <v>0</v>
      </c>
      <c r="L13" s="109"/>
      <c r="N13" s="145"/>
    </row>
    <row r="14" spans="1:14" ht="20.100000000000001" customHeight="1" x14ac:dyDescent="0.25">
      <c r="A14" s="243" t="s">
        <v>3</v>
      </c>
      <c r="B14" s="244"/>
      <c r="C14" s="130"/>
      <c r="D14" s="178">
        <f>'DADOS GERAIS E ÁREAS'!J57</f>
        <v>0</v>
      </c>
      <c r="E14" s="178">
        <f>D14*SUM('DADOS GERAIS E ÁREAS'!C57+'DADOS GERAIS E ÁREAS'!D57+'DADOS GERAIS E ÁREAS'!E57)</f>
        <v>0</v>
      </c>
      <c r="F14" s="179">
        <f>'DADOS GERAIS E ÁREAS'!I57</f>
        <v>0</v>
      </c>
      <c r="G14" s="180"/>
      <c r="H14" s="39">
        <f>'DADOS GERAIS E ÁREAS'!K57</f>
        <v>0</v>
      </c>
      <c r="I14" s="84"/>
      <c r="J14" s="181">
        <f t="shared" si="1"/>
        <v>0</v>
      </c>
      <c r="K14" s="182">
        <f>H14+J14</f>
        <v>0</v>
      </c>
      <c r="L14" s="109"/>
      <c r="N14" s="145"/>
    </row>
    <row r="15" spans="1:14" ht="20.100000000000001" customHeight="1" x14ac:dyDescent="0.25">
      <c r="A15" s="243" t="s">
        <v>306</v>
      </c>
      <c r="B15" s="244"/>
      <c r="C15" s="130"/>
      <c r="D15" s="178">
        <f>'DADOS GERAIS E ÁREAS'!J61</f>
        <v>0</v>
      </c>
      <c r="E15" s="178">
        <f>D15*SUM('DADOS GERAIS E ÁREAS'!C61+'DADOS GERAIS E ÁREAS'!D61+'DADOS GERAIS E ÁREAS'!E61)</f>
        <v>0</v>
      </c>
      <c r="F15" s="179">
        <f>'DADOS GERAIS E ÁREAS'!I61</f>
        <v>0</v>
      </c>
      <c r="G15" s="180"/>
      <c r="H15" s="39">
        <f>'DADOS GERAIS E ÁREAS'!K61</f>
        <v>0</v>
      </c>
      <c r="I15" s="84"/>
      <c r="J15" s="181">
        <f t="shared" si="1"/>
        <v>0</v>
      </c>
      <c r="K15" s="182">
        <f t="shared" si="0"/>
        <v>0</v>
      </c>
      <c r="L15" s="109"/>
      <c r="N15" s="145"/>
    </row>
    <row r="16" spans="1:14" ht="20.100000000000001" customHeight="1" x14ac:dyDescent="0.25">
      <c r="A16" s="243" t="s">
        <v>36</v>
      </c>
      <c r="B16" s="244"/>
      <c r="C16" s="130"/>
      <c r="D16" s="178">
        <f>'DADOS GERAIS E ÁREAS'!J72</f>
        <v>0</v>
      </c>
      <c r="E16" s="178">
        <f>D16*SUM('DADOS GERAIS E ÁREAS'!C72+'DADOS GERAIS E ÁREAS'!D72+'DADOS GERAIS E ÁREAS'!E72)</f>
        <v>0</v>
      </c>
      <c r="F16" s="179">
        <f>'DADOS GERAIS E ÁREAS'!I72</f>
        <v>0</v>
      </c>
      <c r="G16" s="180"/>
      <c r="H16" s="39">
        <f>'DADOS GERAIS E ÁREAS'!K72</f>
        <v>0</v>
      </c>
      <c r="I16" s="84"/>
      <c r="J16" s="181">
        <f t="shared" si="1"/>
        <v>0</v>
      </c>
      <c r="K16" s="182">
        <f t="shared" si="0"/>
        <v>0</v>
      </c>
      <c r="L16" s="109"/>
      <c r="N16" s="145"/>
    </row>
    <row r="17" spans="1:14" ht="20.100000000000001" customHeight="1" x14ac:dyDescent="0.25">
      <c r="A17" s="243" t="s">
        <v>37</v>
      </c>
      <c r="B17" s="244"/>
      <c r="C17" s="130"/>
      <c r="D17" s="178">
        <f>'DADOS GERAIS E ÁREAS'!J90</f>
        <v>0</v>
      </c>
      <c r="E17" s="178">
        <f>D17*SUM('DADOS GERAIS E ÁREAS'!C90+'DADOS GERAIS E ÁREAS'!D90+'DADOS GERAIS E ÁREAS'!E90)</f>
        <v>0</v>
      </c>
      <c r="F17" s="179">
        <f>'DADOS GERAIS E ÁREAS'!I90</f>
        <v>0</v>
      </c>
      <c r="G17" s="180"/>
      <c r="H17" s="39">
        <f>'DADOS GERAIS E ÁREAS'!K90</f>
        <v>0</v>
      </c>
      <c r="I17" s="84"/>
      <c r="J17" s="181">
        <f t="shared" si="1"/>
        <v>0</v>
      </c>
      <c r="K17" s="182">
        <f t="shared" si="0"/>
        <v>0</v>
      </c>
      <c r="L17" s="109"/>
      <c r="N17" s="145"/>
    </row>
    <row r="18" spans="1:14" ht="20.100000000000001" customHeight="1" x14ac:dyDescent="0.25">
      <c r="A18" s="243" t="s">
        <v>38</v>
      </c>
      <c r="B18" s="244"/>
      <c r="C18" s="130"/>
      <c r="D18" s="178">
        <f>'DADOS GERAIS E ÁREAS'!J107</f>
        <v>0</v>
      </c>
      <c r="E18" s="178">
        <f>D18*SUM('DADOS GERAIS E ÁREAS'!C107+'DADOS GERAIS E ÁREAS'!D107+'DADOS GERAIS E ÁREAS'!E107)</f>
        <v>0</v>
      </c>
      <c r="F18" s="179">
        <f>'DADOS GERAIS E ÁREAS'!I107</f>
        <v>0</v>
      </c>
      <c r="G18" s="180"/>
      <c r="H18" s="39">
        <f>'DADOS GERAIS E ÁREAS'!K107</f>
        <v>0</v>
      </c>
      <c r="I18" s="84"/>
      <c r="J18" s="181">
        <f t="shared" si="1"/>
        <v>0</v>
      </c>
      <c r="K18" s="182">
        <f t="shared" si="0"/>
        <v>0</v>
      </c>
      <c r="L18" s="109"/>
      <c r="N18" s="145"/>
    </row>
    <row r="19" spans="1:14" ht="20.100000000000001" customHeight="1" x14ac:dyDescent="0.25">
      <c r="A19" s="243" t="s">
        <v>219</v>
      </c>
      <c r="B19" s="244"/>
      <c r="C19" s="130"/>
      <c r="D19" s="178">
        <f>'DADOS GERAIS E ÁREAS'!J126</f>
        <v>0</v>
      </c>
      <c r="E19" s="178" t="s">
        <v>248</v>
      </c>
      <c r="F19" s="179">
        <f>'DADOS GERAIS E ÁREAS'!I126</f>
        <v>0</v>
      </c>
      <c r="G19" s="180"/>
      <c r="H19" s="39">
        <f>'DADOS GERAIS E ÁREAS'!K126</f>
        <v>0</v>
      </c>
      <c r="I19" s="84"/>
      <c r="J19" s="181">
        <f t="shared" si="1"/>
        <v>0</v>
      </c>
      <c r="K19" s="182">
        <f t="shared" si="0"/>
        <v>0</v>
      </c>
      <c r="L19" s="109"/>
      <c r="N19" s="145"/>
    </row>
    <row r="20" spans="1:14" ht="20.100000000000001" customHeight="1" x14ac:dyDescent="0.25">
      <c r="A20" s="243" t="s">
        <v>133</v>
      </c>
      <c r="B20" s="244"/>
      <c r="C20" s="130"/>
      <c r="D20" s="178">
        <f>'DADOS GERAIS E ÁREAS'!J133</f>
        <v>0</v>
      </c>
      <c r="E20" s="178">
        <f>D20*SUM('DADOS GERAIS E ÁREAS'!C133+'DADOS GERAIS E ÁREAS'!D133+'DADOS GERAIS E ÁREAS'!E133)</f>
        <v>0</v>
      </c>
      <c r="F20" s="179">
        <f>'DADOS GERAIS E ÁREAS'!I133</f>
        <v>0</v>
      </c>
      <c r="G20" s="180"/>
      <c r="H20" s="39">
        <f>'DADOS GERAIS E ÁREAS'!K133</f>
        <v>0</v>
      </c>
      <c r="I20" s="84"/>
      <c r="J20" s="181">
        <f t="shared" si="1"/>
        <v>0</v>
      </c>
      <c r="K20" s="182">
        <f t="shared" si="0"/>
        <v>0</v>
      </c>
      <c r="L20" s="109"/>
      <c r="N20" s="145"/>
    </row>
    <row r="21" spans="1:14" ht="20.100000000000001" customHeight="1" x14ac:dyDescent="0.25">
      <c r="A21" s="243" t="s">
        <v>307</v>
      </c>
      <c r="B21" s="244"/>
      <c r="C21" s="130"/>
      <c r="D21" s="178">
        <f>'DADOS GERAIS E ÁREAS'!J151</f>
        <v>0</v>
      </c>
      <c r="E21" s="178" t="s">
        <v>248</v>
      </c>
      <c r="F21" s="179">
        <f>'DADOS GERAIS E ÁREAS'!I151</f>
        <v>0</v>
      </c>
      <c r="G21" s="180"/>
      <c r="H21" s="39">
        <f>'DADOS GERAIS E ÁREAS'!K151</f>
        <v>0</v>
      </c>
      <c r="I21" s="84"/>
      <c r="J21" s="181">
        <f t="shared" si="1"/>
        <v>0</v>
      </c>
      <c r="K21" s="182">
        <f t="shared" si="0"/>
        <v>0</v>
      </c>
      <c r="L21" s="163"/>
      <c r="N21" s="145"/>
    </row>
    <row r="22" spans="1:14" ht="20.100000000000001" customHeight="1" x14ac:dyDescent="0.25">
      <c r="A22" s="243" t="s">
        <v>0</v>
      </c>
      <c r="B22" s="244"/>
      <c r="C22" s="130"/>
      <c r="D22" s="178">
        <f>'DADOS GERAIS E ÁREAS'!J156</f>
        <v>0</v>
      </c>
      <c r="E22" s="178">
        <f>D22*SUM('DADOS GERAIS E ÁREAS'!C156+'DADOS GERAIS E ÁREAS'!D156+'DADOS GERAIS E ÁREAS'!E156)</f>
        <v>0</v>
      </c>
      <c r="F22" s="179">
        <f>'DADOS GERAIS E ÁREAS'!I156</f>
        <v>0</v>
      </c>
      <c r="G22" s="180"/>
      <c r="H22" s="39">
        <f>'DADOS GERAIS E ÁREAS'!K156</f>
        <v>0</v>
      </c>
      <c r="I22" s="84"/>
      <c r="J22" s="181">
        <f t="shared" si="1"/>
        <v>0</v>
      </c>
      <c r="K22" s="182">
        <f t="shared" si="0"/>
        <v>0</v>
      </c>
      <c r="L22" s="109"/>
      <c r="N22" s="145"/>
    </row>
    <row r="23" spans="1:14" ht="20.100000000000001" customHeight="1" x14ac:dyDescent="0.25">
      <c r="A23" s="243" t="s">
        <v>308</v>
      </c>
      <c r="B23" s="244"/>
      <c r="C23" s="130"/>
      <c r="D23" s="178">
        <f>'DADOS GERAIS E ÁREAS'!J172</f>
        <v>0</v>
      </c>
      <c r="E23" s="178" t="s">
        <v>248</v>
      </c>
      <c r="F23" s="179">
        <f>'DADOS GERAIS E ÁREAS'!I172</f>
        <v>0</v>
      </c>
      <c r="G23" s="180"/>
      <c r="H23" s="39">
        <f>'DADOS GERAIS E ÁREAS'!K172</f>
        <v>0</v>
      </c>
      <c r="I23" s="84"/>
      <c r="J23" s="181">
        <f t="shared" si="1"/>
        <v>0</v>
      </c>
      <c r="K23" s="182">
        <f t="shared" si="0"/>
        <v>0</v>
      </c>
      <c r="L23" s="109"/>
      <c r="N23" s="145"/>
    </row>
    <row r="24" spans="1:14" ht="20.100000000000001" customHeight="1" x14ac:dyDescent="0.25">
      <c r="A24" s="231" t="str">
        <f>'DADOS GERAIS E ÁREAS'!A179:K179</f>
        <v>ÁREAS OBRIGATÓRIAS - ADMINISTRAÇÃO</v>
      </c>
      <c r="B24" s="231"/>
      <c r="C24" s="231"/>
      <c r="D24" s="231"/>
      <c r="E24" s="231"/>
      <c r="F24" s="231"/>
      <c r="G24" s="173"/>
      <c r="H24" s="174">
        <f>SUM(H25:H37)</f>
        <v>0</v>
      </c>
      <c r="I24" s="175"/>
      <c r="J24" s="176">
        <f>SUM(J25:J37)</f>
        <v>0</v>
      </c>
      <c r="K24" s="177">
        <f t="shared" si="0"/>
        <v>0</v>
      </c>
      <c r="L24" s="164"/>
      <c r="N24" s="145"/>
    </row>
    <row r="25" spans="1:14" ht="20.100000000000001" customHeight="1" x14ac:dyDescent="0.25">
      <c r="A25" s="243" t="s">
        <v>1</v>
      </c>
      <c r="B25" s="244"/>
      <c r="C25" s="130"/>
      <c r="D25" s="178">
        <f>'DADOS GERAIS E ÁREAS'!J182</f>
        <v>0</v>
      </c>
      <c r="E25" s="34">
        <f>D25*SUM('DADOS GERAIS E ÁREAS'!C182+'DADOS GERAIS E ÁREAS'!D182+'DADOS GERAIS E ÁREAS'!E182)</f>
        <v>0</v>
      </c>
      <c r="F25" s="179">
        <f>'DADOS GERAIS E ÁREAS'!I182</f>
        <v>0</v>
      </c>
      <c r="G25" s="183"/>
      <c r="H25" s="39">
        <f>'DADOS GERAIS E ÁREAS'!K182</f>
        <v>0</v>
      </c>
      <c r="I25" s="84"/>
      <c r="J25" s="181">
        <f t="shared" si="1"/>
        <v>0</v>
      </c>
      <c r="K25" s="182">
        <f>H25+J25</f>
        <v>0</v>
      </c>
      <c r="L25" s="184"/>
      <c r="N25" s="145"/>
    </row>
    <row r="26" spans="1:14" ht="20.100000000000001" customHeight="1" x14ac:dyDescent="0.25">
      <c r="A26" s="243" t="s">
        <v>5</v>
      </c>
      <c r="B26" s="244"/>
      <c r="C26" s="130"/>
      <c r="D26" s="178">
        <f>'DADOS GERAIS E ÁREAS'!J189</f>
        <v>0</v>
      </c>
      <c r="E26" s="34">
        <f>D26*SUM('DADOS GERAIS E ÁREAS'!C189+'DADOS GERAIS E ÁREAS'!D189+'DADOS GERAIS E ÁREAS'!E189)</f>
        <v>0</v>
      </c>
      <c r="F26" s="179">
        <f>'DADOS GERAIS E ÁREAS'!I189</f>
        <v>0</v>
      </c>
      <c r="G26" s="183"/>
      <c r="H26" s="39">
        <f>'DADOS GERAIS E ÁREAS'!K189</f>
        <v>0</v>
      </c>
      <c r="I26" s="84"/>
      <c r="J26" s="181">
        <f t="shared" si="1"/>
        <v>0</v>
      </c>
      <c r="K26" s="182">
        <f t="shared" ref="K26:K28" si="2">H26+J26</f>
        <v>0</v>
      </c>
      <c r="L26" s="184"/>
      <c r="N26" s="145"/>
    </row>
    <row r="27" spans="1:14" ht="20.100000000000001" customHeight="1" x14ac:dyDescent="0.25">
      <c r="A27" s="243" t="s">
        <v>7</v>
      </c>
      <c r="B27" s="244"/>
      <c r="C27" s="130"/>
      <c r="D27" s="178">
        <f>'DADOS GERAIS E ÁREAS'!J194</f>
        <v>0</v>
      </c>
      <c r="E27" s="34">
        <f>D27*SUM('DADOS GERAIS E ÁREAS'!C194+'DADOS GERAIS E ÁREAS'!D194+'DADOS GERAIS E ÁREAS'!E194)</f>
        <v>0</v>
      </c>
      <c r="F27" s="179">
        <f>'DADOS GERAIS E ÁREAS'!I194</f>
        <v>0</v>
      </c>
      <c r="G27" s="183"/>
      <c r="H27" s="39">
        <f>'DADOS GERAIS E ÁREAS'!K194</f>
        <v>0</v>
      </c>
      <c r="I27" s="84"/>
      <c r="J27" s="181">
        <f t="shared" si="1"/>
        <v>0</v>
      </c>
      <c r="K27" s="182">
        <f t="shared" si="2"/>
        <v>0</v>
      </c>
      <c r="L27" s="184"/>
      <c r="N27" s="145"/>
    </row>
    <row r="28" spans="1:14" s="185" customFormat="1" ht="20.100000000000001" customHeight="1" x14ac:dyDescent="0.25">
      <c r="A28" s="243" t="s">
        <v>8</v>
      </c>
      <c r="B28" s="244"/>
      <c r="C28" s="130"/>
      <c r="D28" s="178">
        <f>'DADOS GERAIS E ÁREAS'!J200</f>
        <v>0</v>
      </c>
      <c r="E28" s="34">
        <f>D28*SUM('DADOS GERAIS E ÁREAS'!C200+'DADOS GERAIS E ÁREAS'!D200+'DADOS GERAIS E ÁREAS'!E200)</f>
        <v>0</v>
      </c>
      <c r="F28" s="179">
        <f>'DADOS GERAIS E ÁREAS'!I200</f>
        <v>0</v>
      </c>
      <c r="G28" s="183"/>
      <c r="H28" s="39">
        <f>'DADOS GERAIS E ÁREAS'!K200</f>
        <v>0</v>
      </c>
      <c r="I28" s="84"/>
      <c r="J28" s="181">
        <f t="shared" si="1"/>
        <v>0</v>
      </c>
      <c r="K28" s="182">
        <f t="shared" si="2"/>
        <v>0</v>
      </c>
      <c r="L28" s="184"/>
      <c r="M28" s="164"/>
      <c r="N28" s="164"/>
    </row>
    <row r="29" spans="1:14" s="185" customFormat="1" ht="20.100000000000001" customHeight="1" x14ac:dyDescent="0.25">
      <c r="A29" s="243" t="s">
        <v>164</v>
      </c>
      <c r="B29" s="244"/>
      <c r="C29" s="130"/>
      <c r="D29" s="178">
        <f>'DADOS GERAIS E ÁREAS'!J214</f>
        <v>0</v>
      </c>
      <c r="E29" s="34">
        <f>D29*SUM('DADOS GERAIS E ÁREAS'!C214+'DADOS GERAIS E ÁREAS'!D214+'DADOS GERAIS E ÁREAS'!E214)</f>
        <v>0</v>
      </c>
      <c r="F29" s="179">
        <f>'DADOS GERAIS E ÁREAS'!I214</f>
        <v>0</v>
      </c>
      <c r="G29" s="183"/>
      <c r="H29" s="39">
        <f>'DADOS GERAIS E ÁREAS'!K214</f>
        <v>0</v>
      </c>
      <c r="I29" s="84"/>
      <c r="J29" s="181">
        <f t="shared" si="1"/>
        <v>0</v>
      </c>
      <c r="K29" s="182">
        <f t="shared" ref="K29:K38" si="3">H29+J29</f>
        <v>0</v>
      </c>
      <c r="L29" s="109"/>
      <c r="M29" s="164"/>
      <c r="N29" s="164"/>
    </row>
    <row r="30" spans="1:14" ht="20.100000000000001" customHeight="1" x14ac:dyDescent="0.25">
      <c r="A30" s="243" t="s">
        <v>123</v>
      </c>
      <c r="B30" s="244"/>
      <c r="C30" s="130"/>
      <c r="D30" s="178">
        <f>'DADOS GERAIS E ÁREAS'!J223</f>
        <v>0</v>
      </c>
      <c r="E30" s="34">
        <f>D30*SUM('DADOS GERAIS E ÁREAS'!C223+'DADOS GERAIS E ÁREAS'!D223+'DADOS GERAIS E ÁREAS'!E223)</f>
        <v>0</v>
      </c>
      <c r="F30" s="179">
        <f>'DADOS GERAIS E ÁREAS'!I223</f>
        <v>0</v>
      </c>
      <c r="G30" s="183"/>
      <c r="H30" s="39">
        <f>'DADOS GERAIS E ÁREAS'!K223</f>
        <v>0</v>
      </c>
      <c r="I30" s="84"/>
      <c r="J30" s="181">
        <f t="shared" si="1"/>
        <v>0</v>
      </c>
      <c r="K30" s="182">
        <f t="shared" si="3"/>
        <v>0</v>
      </c>
      <c r="L30" s="109"/>
      <c r="N30" s="145"/>
    </row>
    <row r="31" spans="1:14" s="185" customFormat="1" ht="20.100000000000001" customHeight="1" x14ac:dyDescent="0.25">
      <c r="A31" s="243" t="s">
        <v>132</v>
      </c>
      <c r="B31" s="244"/>
      <c r="C31" s="130"/>
      <c r="D31" s="178">
        <f>'DADOS GERAIS E ÁREAS'!J239</f>
        <v>0</v>
      </c>
      <c r="E31" s="34">
        <f>D31*SUM('DADOS GERAIS E ÁREAS'!C239+'DADOS GERAIS E ÁREAS'!D239+'DADOS GERAIS E ÁREAS'!E239)</f>
        <v>0</v>
      </c>
      <c r="F31" s="179">
        <f>'DADOS GERAIS E ÁREAS'!I239</f>
        <v>0</v>
      </c>
      <c r="G31" s="183"/>
      <c r="H31" s="39">
        <f>'DADOS GERAIS E ÁREAS'!K239</f>
        <v>0</v>
      </c>
      <c r="I31" s="84"/>
      <c r="J31" s="181">
        <f t="shared" si="1"/>
        <v>0</v>
      </c>
      <c r="K31" s="182">
        <f t="shared" si="3"/>
        <v>0</v>
      </c>
      <c r="L31" s="109"/>
      <c r="M31" s="164"/>
      <c r="N31" s="164"/>
    </row>
    <row r="32" spans="1:14" s="185" customFormat="1" ht="20.100000000000001" customHeight="1" x14ac:dyDescent="0.25">
      <c r="A32" s="243" t="str">
        <f>'DADOS GERAIS E ÁREAS'!A247:B247</f>
        <v>ADMINIST. FINANCEIRA E PATRIMONIAL</v>
      </c>
      <c r="B32" s="244"/>
      <c r="C32" s="130"/>
      <c r="D32" s="178">
        <f>'DADOS GERAIS E ÁREAS'!J247</f>
        <v>0</v>
      </c>
      <c r="E32" s="34">
        <f>D32*SUM('DADOS GERAIS E ÁREAS'!C247+'DADOS GERAIS E ÁREAS'!D247+'DADOS GERAIS E ÁREAS'!E247)</f>
        <v>0</v>
      </c>
      <c r="F32" s="179">
        <f>'DADOS GERAIS E ÁREAS'!I247</f>
        <v>0</v>
      </c>
      <c r="G32" s="183"/>
      <c r="H32" s="39">
        <f>'DADOS GERAIS E ÁREAS'!K247</f>
        <v>0</v>
      </c>
      <c r="I32" s="84"/>
      <c r="J32" s="181">
        <f t="shared" si="1"/>
        <v>0</v>
      </c>
      <c r="K32" s="182">
        <f t="shared" si="3"/>
        <v>0</v>
      </c>
      <c r="L32" s="109"/>
      <c r="M32" s="164"/>
      <c r="N32" s="164"/>
    </row>
    <row r="33" spans="1:14" ht="20.100000000000001" customHeight="1" x14ac:dyDescent="0.25">
      <c r="A33" s="243" t="s">
        <v>293</v>
      </c>
      <c r="B33" s="244"/>
      <c r="C33" s="130"/>
      <c r="D33" s="178">
        <f>'DADOS GERAIS E ÁREAS'!J261</f>
        <v>0</v>
      </c>
      <c r="E33" s="34" t="s">
        <v>248</v>
      </c>
      <c r="F33" s="179">
        <f>'DADOS GERAIS E ÁREAS'!I261</f>
        <v>0</v>
      </c>
      <c r="G33" s="183"/>
      <c r="H33" s="39">
        <f>'DADOS GERAIS E ÁREAS'!K261</f>
        <v>0</v>
      </c>
      <c r="I33" s="84"/>
      <c r="J33" s="181">
        <f t="shared" si="1"/>
        <v>0</v>
      </c>
      <c r="K33" s="182">
        <f t="shared" si="3"/>
        <v>0</v>
      </c>
      <c r="L33" s="109"/>
      <c r="N33" s="145"/>
    </row>
    <row r="34" spans="1:14" s="185" customFormat="1" ht="20.100000000000001" customHeight="1" x14ac:dyDescent="0.25">
      <c r="A34" s="243" t="s">
        <v>9</v>
      </c>
      <c r="B34" s="244"/>
      <c r="C34" s="130"/>
      <c r="D34" s="178">
        <f>'DADOS GERAIS E ÁREAS'!J266</f>
        <v>0</v>
      </c>
      <c r="E34" s="34">
        <f>D34*SUM('DADOS GERAIS E ÁREAS'!C266+'DADOS GERAIS E ÁREAS'!D266+'DADOS GERAIS E ÁREAS'!E266)</f>
        <v>0</v>
      </c>
      <c r="F34" s="179">
        <f>'DADOS GERAIS E ÁREAS'!I266</f>
        <v>0</v>
      </c>
      <c r="G34" s="183"/>
      <c r="H34" s="39">
        <f>'DADOS GERAIS E ÁREAS'!K266</f>
        <v>0</v>
      </c>
      <c r="I34" s="84"/>
      <c r="J34" s="181">
        <f t="shared" si="1"/>
        <v>0</v>
      </c>
      <c r="K34" s="182">
        <f t="shared" si="3"/>
        <v>0</v>
      </c>
      <c r="L34" s="163"/>
      <c r="M34" s="164"/>
      <c r="N34" s="164"/>
    </row>
    <row r="35" spans="1:14" s="76" customFormat="1" ht="20.100000000000001" customHeight="1" x14ac:dyDescent="0.25">
      <c r="A35" s="243" t="s">
        <v>309</v>
      </c>
      <c r="B35" s="244"/>
      <c r="C35" s="130"/>
      <c r="D35" s="178">
        <f>'DADOS GERAIS E ÁREAS'!J279</f>
        <v>0</v>
      </c>
      <c r="E35" s="34">
        <f>D35*SUM('DADOS GERAIS E ÁREAS'!C279+'DADOS GERAIS E ÁREAS'!D279)</f>
        <v>0</v>
      </c>
      <c r="F35" s="179">
        <f>'DADOS GERAIS E ÁREAS'!I279</f>
        <v>0</v>
      </c>
      <c r="G35" s="183"/>
      <c r="H35" s="39">
        <f>'DADOS GERAIS E ÁREAS'!K279</f>
        <v>0</v>
      </c>
      <c r="I35" s="84"/>
      <c r="J35" s="181">
        <f t="shared" si="1"/>
        <v>0</v>
      </c>
      <c r="K35" s="182">
        <f t="shared" si="3"/>
        <v>0</v>
      </c>
      <c r="L35" s="163"/>
      <c r="M35" s="145"/>
      <c r="N35" s="145"/>
    </row>
    <row r="36" spans="1:14" ht="20.100000000000001" customHeight="1" x14ac:dyDescent="0.25">
      <c r="A36" s="243" t="s">
        <v>99</v>
      </c>
      <c r="B36" s="244"/>
      <c r="C36" s="130"/>
      <c r="D36" s="178">
        <f>'DADOS GERAIS E ÁREAS'!J284</f>
        <v>0</v>
      </c>
      <c r="E36" s="34" t="s">
        <v>248</v>
      </c>
      <c r="F36" s="179">
        <f>'DADOS GERAIS E ÁREAS'!I284</f>
        <v>0</v>
      </c>
      <c r="G36" s="183"/>
      <c r="H36" s="39">
        <f>'DADOS GERAIS E ÁREAS'!K284</f>
        <v>0</v>
      </c>
      <c r="I36" s="84"/>
      <c r="J36" s="181">
        <f t="shared" si="1"/>
        <v>0</v>
      </c>
      <c r="K36" s="182">
        <f t="shared" si="3"/>
        <v>0</v>
      </c>
      <c r="L36" s="163"/>
    </row>
    <row r="37" spans="1:14" ht="20.100000000000001" customHeight="1" x14ac:dyDescent="0.25">
      <c r="A37" s="243" t="s">
        <v>102</v>
      </c>
      <c r="B37" s="244"/>
      <c r="C37" s="130"/>
      <c r="D37" s="178">
        <f>'DADOS GERAIS E ÁREAS'!J291</f>
        <v>0</v>
      </c>
      <c r="E37" s="34" t="s">
        <v>248</v>
      </c>
      <c r="F37" s="179">
        <f>'DADOS GERAIS E ÁREAS'!I291</f>
        <v>0</v>
      </c>
      <c r="G37" s="183"/>
      <c r="H37" s="39">
        <f>'DADOS GERAIS E ÁREAS'!K291</f>
        <v>0</v>
      </c>
      <c r="I37" s="84"/>
      <c r="J37" s="181">
        <f t="shared" si="1"/>
        <v>0</v>
      </c>
      <c r="K37" s="182">
        <f t="shared" si="3"/>
        <v>0</v>
      </c>
      <c r="L37" s="109"/>
    </row>
    <row r="38" spans="1:14" ht="20.100000000000001" customHeight="1" x14ac:dyDescent="0.25">
      <c r="A38" s="231" t="str">
        <f>'DADOS GERAIS E ÁREAS'!A307:K307</f>
        <v>ÁREAS OPCIONAIS</v>
      </c>
      <c r="B38" s="231"/>
      <c r="C38" s="231"/>
      <c r="D38" s="231"/>
      <c r="E38" s="231"/>
      <c r="F38" s="231"/>
      <c r="G38" s="173"/>
      <c r="H38" s="174">
        <f>SUM(H39:H43)</f>
        <v>0</v>
      </c>
      <c r="I38" s="175"/>
      <c r="J38" s="176">
        <f>SUM(J39:J43)</f>
        <v>0</v>
      </c>
      <c r="K38" s="177">
        <f t="shared" si="3"/>
        <v>0</v>
      </c>
      <c r="L38" s="164"/>
      <c r="N38" s="145"/>
    </row>
    <row r="39" spans="1:14" s="76" customFormat="1" ht="20.100000000000001" customHeight="1" x14ac:dyDescent="0.25">
      <c r="A39" s="243" t="s">
        <v>100</v>
      </c>
      <c r="B39" s="244"/>
      <c r="C39" s="130"/>
      <c r="D39" s="178">
        <f>'DADOS GERAIS E ÁREAS'!J310</f>
        <v>0</v>
      </c>
      <c r="E39" s="178">
        <f>D39*SUM('DADOS GERAIS E ÁREAS'!C310+'DADOS GERAIS E ÁREAS'!D310+'DADOS GERAIS E ÁREAS'!E310)</f>
        <v>0</v>
      </c>
      <c r="F39" s="179">
        <f>'DADOS GERAIS E ÁREAS'!I310</f>
        <v>0</v>
      </c>
      <c r="G39" s="183"/>
      <c r="H39" s="39">
        <f>'DADOS GERAIS E ÁREAS'!K310</f>
        <v>0</v>
      </c>
      <c r="I39" s="84"/>
      <c r="J39" s="181">
        <f t="shared" si="1"/>
        <v>0</v>
      </c>
      <c r="K39" s="182">
        <f>H39+J39</f>
        <v>0</v>
      </c>
      <c r="L39" s="163"/>
      <c r="M39" s="145"/>
      <c r="N39" s="145"/>
    </row>
    <row r="40" spans="1:14" s="164" customFormat="1" ht="20.100000000000001" customHeight="1" x14ac:dyDescent="0.25">
      <c r="A40" s="243" t="s">
        <v>165</v>
      </c>
      <c r="B40" s="244"/>
      <c r="C40" s="130"/>
      <c r="D40" s="178">
        <f>'DADOS GERAIS E ÁREAS'!J313</f>
        <v>0</v>
      </c>
      <c r="E40" s="178" t="s">
        <v>248</v>
      </c>
      <c r="F40" s="179">
        <f>'DADOS GERAIS E ÁREAS'!I313</f>
        <v>0</v>
      </c>
      <c r="G40" s="183"/>
      <c r="H40" s="39">
        <f>'DADOS GERAIS E ÁREAS'!K313</f>
        <v>0</v>
      </c>
      <c r="I40" s="84"/>
      <c r="J40" s="181">
        <f t="shared" si="1"/>
        <v>0</v>
      </c>
      <c r="K40" s="182">
        <f t="shared" ref="K40:K43" si="4">H40+J40</f>
        <v>0</v>
      </c>
      <c r="L40" s="163"/>
    </row>
    <row r="41" spans="1:14" ht="20.100000000000001" customHeight="1" x14ac:dyDescent="0.25">
      <c r="A41" s="243" t="s">
        <v>147</v>
      </c>
      <c r="B41" s="244"/>
      <c r="C41" s="130"/>
      <c r="D41" s="178">
        <f>'DADOS GERAIS E ÁREAS'!J322</f>
        <v>0</v>
      </c>
      <c r="E41" s="178" t="s">
        <v>248</v>
      </c>
      <c r="F41" s="179">
        <f>'DADOS GERAIS E ÁREAS'!I322</f>
        <v>0</v>
      </c>
      <c r="G41" s="183"/>
      <c r="H41" s="39">
        <f>'DADOS GERAIS E ÁREAS'!K322</f>
        <v>0</v>
      </c>
      <c r="I41" s="84"/>
      <c r="J41" s="181">
        <f t="shared" si="1"/>
        <v>0</v>
      </c>
      <c r="K41" s="182">
        <f t="shared" si="4"/>
        <v>0</v>
      </c>
      <c r="L41" s="109"/>
      <c r="N41" s="145"/>
    </row>
    <row r="42" spans="1:14" ht="20.100000000000001" customHeight="1" x14ac:dyDescent="0.25">
      <c r="A42" s="243" t="s">
        <v>102</v>
      </c>
      <c r="B42" s="244"/>
      <c r="C42" s="130"/>
      <c r="D42" s="178">
        <f>'DADOS GERAIS E ÁREAS'!J291</f>
        <v>0</v>
      </c>
      <c r="E42" s="178" t="s">
        <v>248</v>
      </c>
      <c r="F42" s="179">
        <f>'DADOS GERAIS E ÁREAS'!I336</f>
        <v>0</v>
      </c>
      <c r="G42" s="183"/>
      <c r="H42" s="39">
        <f>'DADOS GERAIS E ÁREAS'!K336</f>
        <v>0</v>
      </c>
      <c r="I42" s="84"/>
      <c r="J42" s="181">
        <f t="shared" si="1"/>
        <v>0</v>
      </c>
      <c r="K42" s="182">
        <f t="shared" si="4"/>
        <v>0</v>
      </c>
      <c r="L42" s="109"/>
    </row>
    <row r="43" spans="1:14" s="76" customFormat="1" ht="20.100000000000001" customHeight="1" x14ac:dyDescent="0.25">
      <c r="A43" s="243" t="s">
        <v>101</v>
      </c>
      <c r="B43" s="244"/>
      <c r="C43" s="130"/>
      <c r="D43" s="178">
        <f>'DADOS GERAIS E ÁREAS'!J339</f>
        <v>0</v>
      </c>
      <c r="E43" s="178" t="s">
        <v>248</v>
      </c>
      <c r="F43" s="179">
        <f>'DADOS GERAIS E ÁREAS'!I339</f>
        <v>0</v>
      </c>
      <c r="G43" s="183"/>
      <c r="H43" s="39">
        <f>'DADOS GERAIS E ÁREAS'!K339</f>
        <v>0</v>
      </c>
      <c r="I43" s="84"/>
      <c r="J43" s="181">
        <f t="shared" si="1"/>
        <v>0</v>
      </c>
      <c r="K43" s="182">
        <f t="shared" si="4"/>
        <v>0</v>
      </c>
      <c r="L43" s="163"/>
      <c r="M43" s="145"/>
      <c r="N43" s="145"/>
    </row>
    <row r="44" spans="1:14" s="190" customFormat="1" ht="24.95" customHeight="1" x14ac:dyDescent="0.25">
      <c r="A44" s="283" t="s">
        <v>244</v>
      </c>
      <c r="B44" s="284"/>
      <c r="C44" s="284"/>
      <c r="D44" s="284"/>
      <c r="E44" s="186">
        <f>SUM(E12:E43)</f>
        <v>0</v>
      </c>
      <c r="F44" s="187"/>
      <c r="G44" s="212"/>
      <c r="H44" s="210"/>
      <c r="I44" s="213"/>
      <c r="J44" s="214"/>
      <c r="K44" s="211"/>
      <c r="L44" s="188"/>
      <c r="M44" s="189"/>
    </row>
    <row r="45" spans="1:14" s="190" customFormat="1" ht="24.95" customHeight="1" x14ac:dyDescent="0.25">
      <c r="A45" s="283" t="s">
        <v>315</v>
      </c>
      <c r="B45" s="284"/>
      <c r="C45" s="284"/>
      <c r="D45" s="284"/>
      <c r="E45" s="284"/>
      <c r="F45" s="284"/>
      <c r="G45" s="191"/>
      <c r="H45" s="192">
        <f>SUM(H11+H24+H38)</f>
        <v>0</v>
      </c>
      <c r="I45" s="193"/>
      <c r="J45" s="215"/>
      <c r="K45" s="194"/>
      <c r="L45" s="188"/>
      <c r="M45" s="189"/>
    </row>
    <row r="46" spans="1:14" s="190" customFormat="1" ht="24.95" customHeight="1" x14ac:dyDescent="0.25">
      <c r="A46" s="289" t="s">
        <v>316</v>
      </c>
      <c r="B46" s="289"/>
      <c r="C46" s="289"/>
      <c r="D46" s="289"/>
      <c r="E46" s="289"/>
      <c r="F46" s="289"/>
      <c r="G46" s="283"/>
      <c r="H46" s="195"/>
      <c r="I46" s="196"/>
      <c r="J46" s="197">
        <f>SUM(J11+J24+J38)</f>
        <v>0</v>
      </c>
      <c r="K46" s="198"/>
      <c r="L46" s="188"/>
      <c r="M46" s="189"/>
    </row>
    <row r="47" spans="1:14" s="190" customFormat="1" ht="24.95" customHeight="1" x14ac:dyDescent="0.25">
      <c r="A47" s="283" t="s">
        <v>325</v>
      </c>
      <c r="B47" s="284"/>
      <c r="C47" s="284"/>
      <c r="D47" s="284"/>
      <c r="E47" s="284"/>
      <c r="F47" s="284"/>
      <c r="G47" s="285"/>
      <c r="H47" s="216"/>
      <c r="I47" s="217"/>
      <c r="J47" s="218"/>
      <c r="K47" s="199">
        <f>SUM(H45+J46)</f>
        <v>0</v>
      </c>
      <c r="L47" s="188"/>
      <c r="M47" s="189"/>
    </row>
    <row r="48" spans="1:14" s="190" customFormat="1" ht="20.100000000000001" customHeight="1" thickBot="1" x14ac:dyDescent="0.3">
      <c r="A48" s="219"/>
      <c r="B48" s="219"/>
      <c r="C48" s="219"/>
      <c r="D48" s="219"/>
      <c r="E48" s="219"/>
      <c r="F48" s="219"/>
      <c r="G48" s="219"/>
      <c r="H48" s="220"/>
      <c r="I48" s="219"/>
      <c r="J48" s="219"/>
      <c r="K48" s="219"/>
      <c r="L48" s="188"/>
      <c r="M48" s="189"/>
    </row>
    <row r="49" spans="1:13" s="190" customFormat="1" ht="24.95" customHeight="1" thickBot="1" x14ac:dyDescent="0.3">
      <c r="A49" s="289" t="s">
        <v>327</v>
      </c>
      <c r="B49" s="289"/>
      <c r="C49" s="289"/>
      <c r="D49" s="289"/>
      <c r="E49" s="289"/>
      <c r="F49" s="289"/>
      <c r="G49" s="283"/>
      <c r="H49" s="209"/>
      <c r="I49" s="196"/>
      <c r="J49" s="197"/>
      <c r="K49" s="200">
        <f>IF(H49=1,((K47/40)*20),0)</f>
        <v>0</v>
      </c>
      <c r="L49" s="188"/>
      <c r="M49" s="189"/>
    </row>
    <row r="50" spans="1:13" s="190" customFormat="1" ht="20.100000000000001" customHeight="1" x14ac:dyDescent="0.25">
      <c r="A50" s="219"/>
      <c r="B50" s="219"/>
      <c r="C50" s="219"/>
      <c r="D50" s="219"/>
      <c r="E50" s="219"/>
      <c r="F50" s="219"/>
      <c r="G50" s="219"/>
      <c r="H50" s="220"/>
      <c r="I50" s="219"/>
      <c r="J50" s="219"/>
      <c r="K50" s="219"/>
      <c r="L50" s="188"/>
      <c r="M50" s="189"/>
    </row>
    <row r="51" spans="1:13" s="190" customFormat="1" ht="24.95" customHeight="1" x14ac:dyDescent="0.25">
      <c r="A51" s="283" t="s">
        <v>326</v>
      </c>
      <c r="B51" s="284"/>
      <c r="C51" s="284"/>
      <c r="D51" s="284"/>
      <c r="E51" s="284"/>
      <c r="F51" s="284"/>
      <c r="G51" s="285"/>
      <c r="H51" s="286"/>
      <c r="I51" s="287"/>
      <c r="J51" s="288"/>
      <c r="K51" s="201">
        <f>SUM(K47+K49)</f>
        <v>0</v>
      </c>
      <c r="L51" s="188"/>
      <c r="M51" s="189"/>
    </row>
    <row r="52" spans="1:13" s="164" customFormat="1" ht="20.100000000000001" customHeight="1" x14ac:dyDescent="0.25">
      <c r="A52" s="159"/>
      <c r="B52" s="159"/>
      <c r="C52" s="159"/>
      <c r="D52" s="65"/>
      <c r="E52" s="65"/>
      <c r="F52" s="162"/>
      <c r="G52" s="202"/>
      <c r="H52" s="162"/>
      <c r="I52" s="161"/>
      <c r="J52" s="162"/>
      <c r="K52" s="162"/>
      <c r="L52" s="163"/>
    </row>
    <row r="53" spans="1:13" s="76" customFormat="1" ht="15" customHeight="1" x14ac:dyDescent="0.25">
      <c r="A53" s="265" t="s">
        <v>311</v>
      </c>
      <c r="B53" s="265"/>
      <c r="C53" s="265"/>
      <c r="D53" s="265"/>
      <c r="E53" s="203"/>
      <c r="F53" s="142"/>
      <c r="G53" s="143"/>
      <c r="H53" s="144"/>
      <c r="I53" s="144"/>
      <c r="J53" s="144"/>
      <c r="K53" s="142"/>
      <c r="L53" s="144"/>
      <c r="M53" s="220"/>
    </row>
    <row r="54" spans="1:13" s="76" customFormat="1" ht="15" customHeight="1" x14ac:dyDescent="0.25">
      <c r="A54" s="264" t="s">
        <v>312</v>
      </c>
      <c r="B54" s="264"/>
      <c r="C54" s="264"/>
      <c r="D54" s="264"/>
      <c r="E54" s="264"/>
      <c r="F54" s="142"/>
      <c r="G54" s="143"/>
      <c r="H54" s="144"/>
      <c r="I54" s="144"/>
      <c r="J54" s="144"/>
      <c r="K54" s="142"/>
      <c r="L54" s="144"/>
      <c r="M54" s="145"/>
    </row>
    <row r="55" spans="1:13" s="76" customFormat="1" ht="15" customHeight="1" x14ac:dyDescent="0.25">
      <c r="A55" s="290" t="s">
        <v>310</v>
      </c>
      <c r="B55" s="291"/>
      <c r="C55" s="291"/>
      <c r="D55" s="291"/>
      <c r="E55" s="87"/>
      <c r="F55" s="142"/>
      <c r="G55" s="143"/>
      <c r="H55" s="144"/>
      <c r="I55" s="144"/>
      <c r="J55" s="144"/>
      <c r="K55" s="142"/>
      <c r="L55" s="144"/>
      <c r="M55" s="145"/>
    </row>
    <row r="56" spans="1:13" s="76" customFormat="1" ht="18" customHeight="1" x14ac:dyDescent="0.25">
      <c r="A56" s="204"/>
      <c r="D56" s="89"/>
      <c r="E56" s="87"/>
      <c r="F56" s="142"/>
      <c r="G56" s="143"/>
      <c r="H56" s="144"/>
      <c r="I56" s="144"/>
      <c r="J56" s="144"/>
      <c r="K56" s="142"/>
      <c r="L56" s="144"/>
      <c r="M56" s="145"/>
    </row>
    <row r="57" spans="1:13" s="76" customFormat="1" ht="18" customHeight="1" x14ac:dyDescent="0.25">
      <c r="A57" s="204"/>
      <c r="D57" s="89"/>
      <c r="E57" s="87"/>
      <c r="F57" s="142"/>
      <c r="G57" s="143"/>
      <c r="H57" s="144"/>
      <c r="I57" s="144"/>
      <c r="J57" s="144"/>
      <c r="K57" s="220"/>
      <c r="L57" s="144"/>
      <c r="M57" s="145"/>
    </row>
    <row r="58" spans="1:13" s="76" customFormat="1" ht="18" customHeight="1" x14ac:dyDescent="0.25">
      <c r="A58" s="204"/>
      <c r="D58" s="89"/>
      <c r="E58" s="87"/>
      <c r="F58" s="142"/>
      <c r="G58" s="143"/>
      <c r="H58" s="144"/>
      <c r="I58" s="144"/>
      <c r="J58" s="144"/>
      <c r="K58" s="142"/>
      <c r="L58" s="144"/>
      <c r="M58" s="145"/>
    </row>
    <row r="59" spans="1:13" s="76" customFormat="1" ht="18" customHeight="1" x14ac:dyDescent="0.25">
      <c r="A59" s="204"/>
      <c r="D59" s="89"/>
      <c r="E59" s="87"/>
      <c r="F59" s="142"/>
      <c r="G59" s="143"/>
      <c r="H59" s="144"/>
      <c r="I59" s="144"/>
      <c r="J59" s="144"/>
      <c r="K59" s="142"/>
      <c r="L59" s="144"/>
      <c r="M59" s="145"/>
    </row>
    <row r="60" spans="1:13" s="76" customFormat="1" ht="18" customHeight="1" x14ac:dyDescent="0.25">
      <c r="A60" s="204"/>
      <c r="D60" s="89"/>
      <c r="E60" s="87"/>
      <c r="F60" s="142"/>
      <c r="G60" s="143"/>
      <c r="H60" s="144"/>
      <c r="I60" s="144"/>
      <c r="J60" s="144"/>
      <c r="K60" s="142"/>
      <c r="L60" s="144"/>
      <c r="M60" s="145"/>
    </row>
    <row r="61" spans="1:13" s="76" customFormat="1" ht="18" customHeight="1" x14ac:dyDescent="0.25">
      <c r="A61" s="204"/>
      <c r="D61" s="89"/>
      <c r="E61" s="87"/>
      <c r="F61" s="142"/>
      <c r="G61" s="143"/>
      <c r="H61" s="144"/>
      <c r="I61" s="144"/>
      <c r="J61" s="144"/>
      <c r="K61" s="142"/>
      <c r="L61" s="144"/>
      <c r="M61" s="145"/>
    </row>
    <row r="62" spans="1:13" s="76" customFormat="1" ht="18" customHeight="1" x14ac:dyDescent="0.25">
      <c r="A62" s="204"/>
      <c r="D62" s="89"/>
      <c r="E62" s="87"/>
      <c r="F62" s="142"/>
      <c r="G62" s="143"/>
      <c r="H62" s="144"/>
      <c r="I62" s="144"/>
      <c r="J62" s="144"/>
      <c r="K62" s="142"/>
      <c r="L62" s="144"/>
      <c r="M62" s="145"/>
    </row>
    <row r="63" spans="1:13" s="76" customFormat="1" ht="18" customHeight="1" x14ac:dyDescent="0.25">
      <c r="A63" s="204"/>
      <c r="D63" s="89"/>
      <c r="E63" s="87"/>
      <c r="F63" s="142"/>
      <c r="G63" s="143"/>
      <c r="H63" s="144"/>
      <c r="I63" s="144"/>
      <c r="J63" s="144"/>
      <c r="K63" s="142"/>
      <c r="L63" s="144"/>
      <c r="M63" s="145"/>
    </row>
    <row r="64" spans="1:13" s="76" customFormat="1" ht="18" customHeight="1" x14ac:dyDescent="0.25">
      <c r="A64" s="204"/>
      <c r="D64" s="89"/>
      <c r="E64" s="87"/>
      <c r="F64" s="142"/>
      <c r="G64" s="143"/>
      <c r="H64" s="144"/>
      <c r="I64" s="144"/>
      <c r="J64" s="144"/>
      <c r="K64" s="142"/>
      <c r="L64" s="144"/>
      <c r="M64" s="145"/>
    </row>
    <row r="65" spans="1:13" s="76" customFormat="1" ht="18" customHeight="1" x14ac:dyDescent="0.25">
      <c r="A65" s="204"/>
      <c r="D65" s="89"/>
      <c r="E65" s="87"/>
      <c r="F65" s="142"/>
      <c r="G65" s="143"/>
      <c r="H65" s="144"/>
      <c r="I65" s="144"/>
      <c r="J65" s="144"/>
      <c r="K65" s="142"/>
      <c r="L65" s="144"/>
      <c r="M65" s="145"/>
    </row>
    <row r="66" spans="1:13" s="76" customFormat="1" ht="18" customHeight="1" x14ac:dyDescent="0.25">
      <c r="A66" s="204"/>
      <c r="D66" s="89"/>
      <c r="E66" s="87"/>
      <c r="F66" s="142"/>
      <c r="G66" s="143"/>
      <c r="H66" s="144"/>
      <c r="I66" s="144"/>
      <c r="J66" s="144"/>
      <c r="K66" s="142"/>
      <c r="L66" s="144"/>
      <c r="M66" s="145"/>
    </row>
    <row r="67" spans="1:13" s="76" customFormat="1" ht="18" customHeight="1" x14ac:dyDescent="0.25">
      <c r="A67" s="204"/>
      <c r="D67" s="89"/>
      <c r="E67" s="87"/>
      <c r="F67" s="142"/>
      <c r="G67" s="143"/>
      <c r="H67" s="144"/>
      <c r="I67" s="144"/>
      <c r="J67" s="144"/>
      <c r="K67" s="142"/>
      <c r="L67" s="144"/>
      <c r="M67" s="145"/>
    </row>
    <row r="68" spans="1:13" s="76" customFormat="1" ht="18" customHeight="1" x14ac:dyDescent="0.25">
      <c r="A68" s="204"/>
      <c r="D68" s="89"/>
      <c r="E68" s="87"/>
      <c r="F68" s="142"/>
      <c r="G68" s="143"/>
      <c r="H68" s="144"/>
      <c r="I68" s="144"/>
      <c r="J68" s="144"/>
      <c r="K68" s="142"/>
      <c r="L68" s="144"/>
      <c r="M68" s="145"/>
    </row>
    <row r="69" spans="1:13" s="76" customFormat="1" ht="18" customHeight="1" x14ac:dyDescent="0.25">
      <c r="A69" s="204"/>
      <c r="D69" s="89"/>
      <c r="E69" s="87"/>
      <c r="F69" s="142"/>
      <c r="G69" s="143"/>
      <c r="H69" s="144"/>
      <c r="I69" s="144"/>
      <c r="J69" s="144"/>
      <c r="K69" s="142"/>
      <c r="L69" s="144"/>
      <c r="M69" s="145"/>
    </row>
    <row r="70" spans="1:13" s="76" customFormat="1" ht="18" customHeight="1" x14ac:dyDescent="0.25">
      <c r="A70" s="204"/>
      <c r="D70" s="89"/>
      <c r="E70" s="87"/>
      <c r="F70" s="142"/>
      <c r="G70" s="143"/>
      <c r="H70" s="144"/>
      <c r="I70" s="144"/>
      <c r="J70" s="144"/>
      <c r="K70" s="142"/>
      <c r="L70" s="144"/>
      <c r="M70" s="145"/>
    </row>
    <row r="71" spans="1:13" s="76" customFormat="1" ht="18" customHeight="1" x14ac:dyDescent="0.25">
      <c r="A71" s="204"/>
      <c r="D71" s="89"/>
      <c r="E71" s="87"/>
      <c r="F71" s="142"/>
      <c r="G71" s="143"/>
      <c r="H71" s="144"/>
      <c r="I71" s="144"/>
      <c r="J71" s="144"/>
      <c r="K71" s="142"/>
      <c r="L71" s="144"/>
      <c r="M71" s="145"/>
    </row>
    <row r="72" spans="1:13" s="76" customFormat="1" ht="18" customHeight="1" x14ac:dyDescent="0.25">
      <c r="A72" s="204"/>
      <c r="D72" s="89"/>
      <c r="E72" s="87"/>
      <c r="F72" s="142"/>
      <c r="G72" s="143"/>
      <c r="H72" s="144"/>
      <c r="I72" s="144"/>
      <c r="J72" s="144"/>
      <c r="K72" s="142"/>
      <c r="L72" s="144"/>
      <c r="M72" s="145"/>
    </row>
    <row r="73" spans="1:13" s="76" customFormat="1" ht="18" customHeight="1" x14ac:dyDescent="0.25">
      <c r="A73" s="204"/>
      <c r="D73" s="89"/>
      <c r="E73" s="87"/>
      <c r="F73" s="142"/>
      <c r="G73" s="143"/>
      <c r="H73" s="144"/>
      <c r="I73" s="144"/>
      <c r="J73" s="144"/>
      <c r="K73" s="142"/>
      <c r="L73" s="144"/>
      <c r="M73" s="145"/>
    </row>
    <row r="74" spans="1:13" s="76" customFormat="1" ht="18" customHeight="1" x14ac:dyDescent="0.25">
      <c r="A74" s="204"/>
      <c r="D74" s="89"/>
      <c r="E74" s="87"/>
      <c r="F74" s="142"/>
      <c r="G74" s="143"/>
      <c r="H74" s="144"/>
      <c r="I74" s="144"/>
      <c r="J74" s="144"/>
      <c r="K74" s="142"/>
      <c r="L74" s="144"/>
      <c r="M74" s="145"/>
    </row>
    <row r="75" spans="1:13" s="76" customFormat="1" ht="18" customHeight="1" x14ac:dyDescent="0.25">
      <c r="A75" s="204"/>
      <c r="D75" s="89"/>
      <c r="E75" s="87"/>
      <c r="F75" s="142"/>
      <c r="G75" s="143"/>
      <c r="H75" s="144"/>
      <c r="I75" s="144"/>
      <c r="J75" s="144"/>
      <c r="K75" s="142"/>
      <c r="L75" s="144"/>
      <c r="M75" s="145"/>
    </row>
    <row r="76" spans="1:13" s="76" customFormat="1" ht="18" customHeight="1" x14ac:dyDescent="0.25">
      <c r="A76" s="204"/>
      <c r="D76" s="89"/>
      <c r="E76" s="87"/>
      <c r="F76" s="142"/>
      <c r="G76" s="143"/>
      <c r="H76" s="144"/>
      <c r="I76" s="144"/>
      <c r="J76" s="144"/>
      <c r="K76" s="142"/>
      <c r="L76" s="144"/>
      <c r="M76" s="145"/>
    </row>
    <row r="77" spans="1:13" s="76" customFormat="1" ht="18" customHeight="1" x14ac:dyDescent="0.25">
      <c r="A77" s="204"/>
      <c r="D77" s="89"/>
      <c r="E77" s="87"/>
      <c r="F77" s="142"/>
      <c r="G77" s="143"/>
      <c r="H77" s="144"/>
      <c r="I77" s="144"/>
      <c r="J77" s="144"/>
      <c r="K77" s="142"/>
      <c r="L77" s="144"/>
      <c r="M77" s="145"/>
    </row>
    <row r="78" spans="1:13" s="76" customFormat="1" ht="18" customHeight="1" x14ac:dyDescent="0.25">
      <c r="A78" s="204"/>
      <c r="D78" s="89"/>
      <c r="E78" s="87"/>
      <c r="F78" s="142"/>
      <c r="G78" s="143"/>
      <c r="H78" s="144"/>
      <c r="I78" s="144"/>
      <c r="J78" s="144"/>
      <c r="K78" s="142"/>
      <c r="L78" s="144"/>
      <c r="M78" s="145"/>
    </row>
    <row r="79" spans="1:13" s="76" customFormat="1" ht="18" customHeight="1" x14ac:dyDescent="0.25">
      <c r="A79" s="204"/>
      <c r="D79" s="89"/>
      <c r="E79" s="87"/>
      <c r="F79" s="142"/>
      <c r="G79" s="143"/>
      <c r="H79" s="144"/>
      <c r="I79" s="144"/>
      <c r="J79" s="144"/>
      <c r="K79" s="142"/>
      <c r="L79" s="144"/>
      <c r="M79" s="145"/>
    </row>
    <row r="80" spans="1:13" s="76" customFormat="1" ht="18" customHeight="1" x14ac:dyDescent="0.25">
      <c r="A80" s="204"/>
      <c r="D80" s="89"/>
      <c r="E80" s="87"/>
      <c r="F80" s="142"/>
      <c r="G80" s="143"/>
      <c r="H80" s="144"/>
      <c r="I80" s="144"/>
      <c r="J80" s="144"/>
      <c r="K80" s="142"/>
      <c r="L80" s="144"/>
      <c r="M80" s="145"/>
    </row>
    <row r="81" spans="1:13" s="76" customFormat="1" ht="18" customHeight="1" x14ac:dyDescent="0.25">
      <c r="A81" s="204"/>
      <c r="D81" s="89"/>
      <c r="E81" s="87"/>
      <c r="F81" s="142"/>
      <c r="G81" s="143"/>
      <c r="H81" s="144"/>
      <c r="I81" s="144"/>
      <c r="J81" s="144"/>
      <c r="K81" s="142"/>
      <c r="L81" s="144"/>
      <c r="M81" s="145"/>
    </row>
    <row r="82" spans="1:13" s="76" customFormat="1" ht="18" customHeight="1" x14ac:dyDescent="0.25">
      <c r="A82" s="204"/>
      <c r="D82" s="89"/>
      <c r="E82" s="87"/>
      <c r="F82" s="142"/>
      <c r="G82" s="143"/>
      <c r="H82" s="144"/>
      <c r="I82" s="144"/>
      <c r="J82" s="144"/>
      <c r="K82" s="142"/>
      <c r="L82" s="144"/>
      <c r="M82" s="145"/>
    </row>
    <row r="83" spans="1:13" s="76" customFormat="1" ht="18" customHeight="1" x14ac:dyDescent="0.25">
      <c r="A83" s="204"/>
      <c r="D83" s="89"/>
      <c r="E83" s="87"/>
      <c r="F83" s="142"/>
      <c r="G83" s="143"/>
      <c r="H83" s="144"/>
      <c r="I83" s="144"/>
      <c r="J83" s="144"/>
      <c r="K83" s="142"/>
      <c r="L83" s="144"/>
      <c r="M83" s="145"/>
    </row>
    <row r="84" spans="1:13" s="76" customFormat="1" ht="18" customHeight="1" x14ac:dyDescent="0.25">
      <c r="A84" s="204"/>
      <c r="D84" s="89"/>
      <c r="E84" s="87"/>
      <c r="F84" s="142"/>
      <c r="G84" s="143"/>
      <c r="H84" s="144"/>
      <c r="I84" s="144"/>
      <c r="J84" s="144"/>
      <c r="K84" s="142"/>
      <c r="L84" s="144"/>
      <c r="M84" s="145"/>
    </row>
    <row r="85" spans="1:13" s="76" customFormat="1" ht="18" customHeight="1" x14ac:dyDescent="0.25">
      <c r="A85" s="204"/>
      <c r="D85" s="89"/>
      <c r="E85" s="87"/>
      <c r="F85" s="142"/>
      <c r="G85" s="143"/>
      <c r="H85" s="144"/>
      <c r="I85" s="144"/>
      <c r="J85" s="144"/>
      <c r="K85" s="142"/>
      <c r="L85" s="144"/>
      <c r="M85" s="145"/>
    </row>
    <row r="86" spans="1:13" s="76" customFormat="1" ht="18" customHeight="1" x14ac:dyDescent="0.25">
      <c r="A86" s="204"/>
      <c r="D86" s="89"/>
      <c r="E86" s="87"/>
      <c r="F86" s="142"/>
      <c r="G86" s="143"/>
      <c r="H86" s="144"/>
      <c r="I86" s="144"/>
      <c r="J86" s="144"/>
      <c r="K86" s="142"/>
      <c r="L86" s="144"/>
      <c r="M86" s="145"/>
    </row>
    <row r="87" spans="1:13" s="76" customFormat="1" ht="18" customHeight="1" x14ac:dyDescent="0.25">
      <c r="A87" s="204"/>
      <c r="D87" s="89"/>
      <c r="E87" s="87"/>
      <c r="F87" s="142"/>
      <c r="G87" s="143"/>
      <c r="H87" s="144"/>
      <c r="I87" s="144"/>
      <c r="J87" s="144"/>
      <c r="K87" s="142"/>
      <c r="L87" s="144"/>
      <c r="M87" s="145"/>
    </row>
    <row r="88" spans="1:13" s="76" customFormat="1" ht="18" customHeight="1" x14ac:dyDescent="0.25">
      <c r="A88" s="204"/>
      <c r="D88" s="89"/>
      <c r="E88" s="87"/>
      <c r="F88" s="142"/>
      <c r="G88" s="143"/>
      <c r="H88" s="144"/>
      <c r="I88" s="144"/>
      <c r="J88" s="144"/>
      <c r="K88" s="142"/>
      <c r="L88" s="144"/>
      <c r="M88" s="145"/>
    </row>
    <row r="89" spans="1:13" s="76" customFormat="1" ht="18" customHeight="1" x14ac:dyDescent="0.25">
      <c r="A89" s="204"/>
      <c r="D89" s="89"/>
      <c r="E89" s="87"/>
      <c r="F89" s="142"/>
      <c r="G89" s="143"/>
      <c r="H89" s="144"/>
      <c r="I89" s="144"/>
      <c r="J89" s="144"/>
      <c r="K89" s="142"/>
      <c r="L89" s="144"/>
      <c r="M89" s="145"/>
    </row>
    <row r="90" spans="1:13" s="76" customFormat="1" ht="18" customHeight="1" x14ac:dyDescent="0.25">
      <c r="A90" s="204"/>
      <c r="D90" s="89"/>
      <c r="E90" s="87"/>
      <c r="F90" s="142"/>
      <c r="G90" s="143"/>
      <c r="H90" s="144"/>
      <c r="I90" s="144"/>
      <c r="J90" s="144"/>
      <c r="K90" s="142"/>
      <c r="L90" s="144"/>
      <c r="M90" s="145"/>
    </row>
    <row r="91" spans="1:13" s="76" customFormat="1" ht="18" customHeight="1" x14ac:dyDescent="0.25">
      <c r="A91" s="204"/>
      <c r="D91" s="89"/>
      <c r="E91" s="87"/>
      <c r="F91" s="142"/>
      <c r="G91" s="143"/>
      <c r="H91" s="144"/>
      <c r="I91" s="144"/>
      <c r="J91" s="144"/>
      <c r="K91" s="142"/>
      <c r="L91" s="144"/>
      <c r="M91" s="145"/>
    </row>
    <row r="92" spans="1:13" s="76" customFormat="1" ht="18" customHeight="1" x14ac:dyDescent="0.25">
      <c r="A92" s="204"/>
      <c r="D92" s="89"/>
      <c r="E92" s="87"/>
      <c r="F92" s="142"/>
      <c r="G92" s="143"/>
      <c r="H92" s="144"/>
      <c r="I92" s="144"/>
      <c r="J92" s="144"/>
      <c r="K92" s="142"/>
      <c r="L92" s="144"/>
      <c r="M92" s="145"/>
    </row>
    <row r="93" spans="1:13" s="76" customFormat="1" ht="18" customHeight="1" x14ac:dyDescent="0.25">
      <c r="A93" s="204"/>
      <c r="D93" s="89"/>
      <c r="E93" s="87"/>
      <c r="F93" s="142"/>
      <c r="G93" s="143"/>
      <c r="H93" s="144"/>
      <c r="I93" s="144"/>
      <c r="J93" s="144"/>
      <c r="K93" s="142"/>
      <c r="L93" s="144"/>
      <c r="M93" s="145"/>
    </row>
    <row r="94" spans="1:13" s="76" customFormat="1" ht="18" customHeight="1" x14ac:dyDescent="0.25">
      <c r="A94" s="204"/>
      <c r="D94" s="89"/>
      <c r="E94" s="87"/>
      <c r="F94" s="142"/>
      <c r="G94" s="143"/>
      <c r="H94" s="144"/>
      <c r="I94" s="144"/>
      <c r="J94" s="144"/>
      <c r="K94" s="142"/>
      <c r="L94" s="144"/>
      <c r="M94" s="145"/>
    </row>
    <row r="95" spans="1:13" s="76" customFormat="1" ht="18" customHeight="1" x14ac:dyDescent="0.25">
      <c r="A95" s="204"/>
      <c r="D95" s="89"/>
      <c r="E95" s="87"/>
      <c r="F95" s="142"/>
      <c r="G95" s="143"/>
      <c r="H95" s="144"/>
      <c r="I95" s="144"/>
      <c r="J95" s="144"/>
      <c r="K95" s="142"/>
      <c r="L95" s="144"/>
      <c r="M95" s="145"/>
    </row>
    <row r="96" spans="1:13" s="76" customFormat="1" ht="18" customHeight="1" x14ac:dyDescent="0.25">
      <c r="A96" s="204"/>
      <c r="D96" s="89"/>
      <c r="E96" s="87"/>
      <c r="F96" s="142"/>
      <c r="G96" s="143"/>
      <c r="H96" s="144"/>
      <c r="I96" s="144"/>
      <c r="J96" s="144"/>
      <c r="K96" s="142"/>
      <c r="L96" s="144"/>
      <c r="M96" s="145"/>
    </row>
    <row r="97" spans="1:13" s="76" customFormat="1" ht="18" customHeight="1" x14ac:dyDescent="0.25">
      <c r="A97" s="204"/>
      <c r="D97" s="89"/>
      <c r="E97" s="87"/>
      <c r="F97" s="142"/>
      <c r="G97" s="143"/>
      <c r="H97" s="144"/>
      <c r="I97" s="144"/>
      <c r="J97" s="144"/>
      <c r="K97" s="142"/>
      <c r="L97" s="144"/>
      <c r="M97" s="145"/>
    </row>
    <row r="98" spans="1:13" s="76" customFormat="1" ht="18" customHeight="1" x14ac:dyDescent="0.25">
      <c r="A98" s="204"/>
      <c r="D98" s="89"/>
      <c r="E98" s="87"/>
      <c r="F98" s="142"/>
      <c r="G98" s="143"/>
      <c r="H98" s="144"/>
      <c r="I98" s="144"/>
      <c r="J98" s="144"/>
      <c r="K98" s="142"/>
      <c r="L98" s="144"/>
      <c r="M98" s="145"/>
    </row>
    <row r="99" spans="1:13" s="76" customFormat="1" ht="18" customHeight="1" x14ac:dyDescent="0.25">
      <c r="A99" s="204"/>
      <c r="D99" s="89"/>
      <c r="E99" s="87"/>
      <c r="F99" s="142"/>
      <c r="G99" s="143"/>
      <c r="H99" s="144"/>
      <c r="I99" s="144"/>
      <c r="J99" s="144"/>
      <c r="K99" s="142"/>
      <c r="L99" s="144"/>
      <c r="M99" s="145"/>
    </row>
    <row r="100" spans="1:13" s="76" customFormat="1" ht="18" customHeight="1" x14ac:dyDescent="0.25">
      <c r="A100" s="204"/>
      <c r="D100" s="89"/>
      <c r="E100" s="87"/>
      <c r="F100" s="142"/>
      <c r="G100" s="143"/>
      <c r="H100" s="144"/>
      <c r="I100" s="144"/>
      <c r="J100" s="144"/>
      <c r="K100" s="142"/>
      <c r="L100" s="144"/>
      <c r="M100" s="145"/>
    </row>
    <row r="101" spans="1:13" s="76" customFormat="1" ht="18" customHeight="1" x14ac:dyDescent="0.25">
      <c r="A101" s="204"/>
      <c r="D101" s="89"/>
      <c r="E101" s="87"/>
      <c r="F101" s="142"/>
      <c r="G101" s="143"/>
      <c r="H101" s="144"/>
      <c r="I101" s="144"/>
      <c r="J101" s="144"/>
      <c r="K101" s="142"/>
      <c r="L101" s="144"/>
      <c r="M101" s="145"/>
    </row>
    <row r="102" spans="1:13" s="76" customFormat="1" ht="18" customHeight="1" x14ac:dyDescent="0.25">
      <c r="A102" s="204"/>
      <c r="D102" s="89"/>
      <c r="E102" s="87"/>
      <c r="F102" s="142"/>
      <c r="G102" s="143"/>
      <c r="H102" s="144"/>
      <c r="I102" s="144"/>
      <c r="J102" s="144"/>
      <c r="K102" s="142"/>
      <c r="L102" s="144"/>
      <c r="M102" s="145"/>
    </row>
    <row r="103" spans="1:13" s="76" customFormat="1" ht="18" customHeight="1" x14ac:dyDescent="0.25">
      <c r="A103" s="204"/>
      <c r="D103" s="89"/>
      <c r="E103" s="87"/>
      <c r="F103" s="142"/>
      <c r="G103" s="143"/>
      <c r="H103" s="144"/>
      <c r="I103" s="144"/>
      <c r="J103" s="144"/>
      <c r="K103" s="142"/>
      <c r="L103" s="144"/>
      <c r="M103" s="145"/>
    </row>
    <row r="104" spans="1:13" s="76" customFormat="1" ht="18" customHeight="1" x14ac:dyDescent="0.25">
      <c r="A104" s="204"/>
      <c r="D104" s="89"/>
      <c r="E104" s="87"/>
      <c r="F104" s="142"/>
      <c r="G104" s="143"/>
      <c r="H104" s="144"/>
      <c r="I104" s="144"/>
      <c r="J104" s="144"/>
      <c r="K104" s="142"/>
      <c r="L104" s="144"/>
      <c r="M104" s="145"/>
    </row>
    <row r="105" spans="1:13" s="76" customFormat="1" ht="18" customHeight="1" x14ac:dyDescent="0.25">
      <c r="A105" s="204"/>
      <c r="D105" s="89"/>
      <c r="E105" s="87"/>
      <c r="F105" s="142"/>
      <c r="G105" s="143"/>
      <c r="H105" s="144"/>
      <c r="I105" s="144"/>
      <c r="J105" s="144"/>
      <c r="K105" s="142"/>
      <c r="L105" s="144"/>
      <c r="M105" s="145"/>
    </row>
    <row r="106" spans="1:13" s="76" customFormat="1" ht="18" customHeight="1" x14ac:dyDescent="0.25">
      <c r="A106" s="204"/>
      <c r="D106" s="89"/>
      <c r="E106" s="87"/>
      <c r="F106" s="142"/>
      <c r="G106" s="143"/>
      <c r="H106" s="144"/>
      <c r="I106" s="144"/>
      <c r="J106" s="144"/>
      <c r="K106" s="142"/>
      <c r="L106" s="144"/>
      <c r="M106" s="145"/>
    </row>
    <row r="107" spans="1:13" s="76" customFormat="1" ht="18" customHeight="1" x14ac:dyDescent="0.25">
      <c r="A107" s="204"/>
      <c r="D107" s="89"/>
      <c r="E107" s="87"/>
      <c r="F107" s="142"/>
      <c r="G107" s="143"/>
      <c r="H107" s="144"/>
      <c r="I107" s="144"/>
      <c r="J107" s="144"/>
      <c r="K107" s="142"/>
      <c r="L107" s="144"/>
      <c r="M107" s="145"/>
    </row>
    <row r="108" spans="1:13" s="76" customFormat="1" ht="18" customHeight="1" x14ac:dyDescent="0.25">
      <c r="A108" s="204"/>
      <c r="D108" s="89"/>
      <c r="E108" s="87"/>
      <c r="F108" s="142"/>
      <c r="G108" s="143"/>
      <c r="H108" s="144"/>
      <c r="I108" s="144"/>
      <c r="J108" s="144"/>
      <c r="K108" s="142"/>
      <c r="L108" s="144"/>
      <c r="M108" s="145"/>
    </row>
    <row r="109" spans="1:13" s="76" customFormat="1" ht="18" customHeight="1" x14ac:dyDescent="0.25">
      <c r="A109" s="204"/>
      <c r="D109" s="89"/>
      <c r="E109" s="87"/>
      <c r="F109" s="142"/>
      <c r="G109" s="143"/>
      <c r="H109" s="144"/>
      <c r="I109" s="144"/>
      <c r="J109" s="144"/>
      <c r="K109" s="142"/>
      <c r="L109" s="144"/>
      <c r="M109" s="145"/>
    </row>
    <row r="110" spans="1:13" s="76" customFormat="1" ht="18" customHeight="1" x14ac:dyDescent="0.25">
      <c r="A110" s="204"/>
      <c r="D110" s="89"/>
      <c r="E110" s="87"/>
      <c r="F110" s="142"/>
      <c r="G110" s="143"/>
      <c r="H110" s="144"/>
      <c r="I110" s="144"/>
      <c r="J110" s="144"/>
      <c r="K110" s="142"/>
      <c r="L110" s="144"/>
      <c r="M110" s="145"/>
    </row>
    <row r="111" spans="1:13" s="76" customFormat="1" ht="18" customHeight="1" x14ac:dyDescent="0.25">
      <c r="A111" s="204"/>
      <c r="D111" s="89"/>
      <c r="E111" s="87"/>
      <c r="F111" s="142"/>
      <c r="G111" s="143"/>
      <c r="H111" s="144"/>
      <c r="I111" s="144"/>
      <c r="J111" s="144"/>
      <c r="K111" s="142"/>
      <c r="L111" s="144"/>
      <c r="M111" s="145"/>
    </row>
    <row r="112" spans="1:13" s="76" customFormat="1" ht="18" customHeight="1" x14ac:dyDescent="0.25">
      <c r="A112" s="204"/>
      <c r="D112" s="89"/>
      <c r="E112" s="87"/>
      <c r="F112" s="142"/>
      <c r="G112" s="143"/>
      <c r="H112" s="144"/>
      <c r="I112" s="144"/>
      <c r="J112" s="144"/>
      <c r="K112" s="142"/>
      <c r="L112" s="144"/>
      <c r="M112" s="145"/>
    </row>
    <row r="113" spans="1:13" s="76" customFormat="1" ht="18" customHeight="1" x14ac:dyDescent="0.25">
      <c r="A113" s="204"/>
      <c r="D113" s="89"/>
      <c r="E113" s="87"/>
      <c r="F113" s="142"/>
      <c r="G113" s="143"/>
      <c r="H113" s="144"/>
      <c r="I113" s="144"/>
      <c r="J113" s="144"/>
      <c r="K113" s="142"/>
      <c r="L113" s="144"/>
      <c r="M113" s="145"/>
    </row>
    <row r="114" spans="1:13" s="76" customFormat="1" ht="18" customHeight="1" x14ac:dyDescent="0.25">
      <c r="A114" s="204"/>
      <c r="D114" s="89"/>
      <c r="E114" s="87"/>
      <c r="F114" s="142"/>
      <c r="G114" s="143"/>
      <c r="H114" s="144"/>
      <c r="I114" s="144"/>
      <c r="J114" s="144"/>
      <c r="K114" s="142"/>
      <c r="L114" s="144"/>
      <c r="M114" s="145"/>
    </row>
    <row r="115" spans="1:13" s="76" customFormat="1" ht="18" customHeight="1" x14ac:dyDescent="0.25">
      <c r="A115" s="204"/>
      <c r="D115" s="89"/>
      <c r="E115" s="87"/>
      <c r="F115" s="142"/>
      <c r="G115" s="143"/>
      <c r="H115" s="144"/>
      <c r="I115" s="144"/>
      <c r="J115" s="144"/>
      <c r="K115" s="142"/>
      <c r="L115" s="144"/>
      <c r="M115" s="145"/>
    </row>
    <row r="116" spans="1:13" s="76" customFormat="1" ht="18" customHeight="1" x14ac:dyDescent="0.25">
      <c r="A116" s="204"/>
      <c r="D116" s="89"/>
      <c r="E116" s="87"/>
      <c r="F116" s="142"/>
      <c r="G116" s="143"/>
      <c r="H116" s="144"/>
      <c r="I116" s="144"/>
      <c r="J116" s="144"/>
      <c r="K116" s="142"/>
      <c r="L116" s="144"/>
      <c r="M116" s="145"/>
    </row>
    <row r="117" spans="1:13" s="76" customFormat="1" ht="18" customHeight="1" x14ac:dyDescent="0.25">
      <c r="A117" s="204"/>
      <c r="D117" s="89"/>
      <c r="E117" s="87"/>
      <c r="F117" s="142"/>
      <c r="G117" s="143"/>
      <c r="H117" s="144"/>
      <c r="I117" s="144"/>
      <c r="J117" s="144"/>
      <c r="K117" s="142"/>
      <c r="L117" s="144"/>
      <c r="M117" s="145"/>
    </row>
    <row r="118" spans="1:13" s="76" customFormat="1" ht="18" customHeight="1" x14ac:dyDescent="0.25">
      <c r="A118" s="204"/>
      <c r="D118" s="89"/>
      <c r="E118" s="87"/>
      <c r="F118" s="142"/>
      <c r="G118" s="143"/>
      <c r="H118" s="144"/>
      <c r="I118" s="144"/>
      <c r="J118" s="144"/>
      <c r="K118" s="142"/>
      <c r="L118" s="144"/>
      <c r="M118" s="145"/>
    </row>
    <row r="119" spans="1:13" s="76" customFormat="1" ht="18" customHeight="1" x14ac:dyDescent="0.25">
      <c r="A119" s="204"/>
      <c r="D119" s="89"/>
      <c r="E119" s="87"/>
      <c r="F119" s="142"/>
      <c r="G119" s="143"/>
      <c r="H119" s="144"/>
      <c r="I119" s="144"/>
      <c r="J119" s="144"/>
      <c r="K119" s="142"/>
      <c r="L119" s="144"/>
      <c r="M119" s="145"/>
    </row>
    <row r="120" spans="1:13" s="76" customFormat="1" ht="18" customHeight="1" x14ac:dyDescent="0.25">
      <c r="A120" s="204"/>
      <c r="D120" s="89"/>
      <c r="E120" s="87"/>
      <c r="F120" s="142"/>
      <c r="G120" s="143"/>
      <c r="H120" s="144"/>
      <c r="I120" s="144"/>
      <c r="J120" s="144"/>
      <c r="K120" s="142"/>
      <c r="L120" s="144"/>
      <c r="M120" s="145"/>
    </row>
    <row r="121" spans="1:13" s="76" customFormat="1" ht="18" customHeight="1" x14ac:dyDescent="0.25">
      <c r="A121" s="204"/>
      <c r="D121" s="89"/>
      <c r="E121" s="87"/>
      <c r="F121" s="142"/>
      <c r="G121" s="143"/>
      <c r="H121" s="144"/>
      <c r="I121" s="144"/>
      <c r="J121" s="144"/>
      <c r="K121" s="142"/>
      <c r="L121" s="144"/>
      <c r="M121" s="145"/>
    </row>
    <row r="122" spans="1:13" s="76" customFormat="1" ht="18" customHeight="1" x14ac:dyDescent="0.25">
      <c r="A122" s="204"/>
      <c r="D122" s="89"/>
      <c r="E122" s="87"/>
      <c r="F122" s="142"/>
      <c r="G122" s="143"/>
      <c r="H122" s="144"/>
      <c r="I122" s="144"/>
      <c r="J122" s="144"/>
      <c r="K122" s="142"/>
      <c r="L122" s="144"/>
      <c r="M122" s="145"/>
    </row>
    <row r="123" spans="1:13" s="76" customFormat="1" ht="18" customHeight="1" x14ac:dyDescent="0.25">
      <c r="A123" s="204"/>
      <c r="D123" s="89"/>
      <c r="E123" s="87"/>
      <c r="F123" s="142"/>
      <c r="G123" s="143"/>
      <c r="H123" s="144"/>
      <c r="I123" s="144"/>
      <c r="J123" s="144"/>
      <c r="K123" s="142"/>
      <c r="L123" s="144"/>
      <c r="M123" s="145"/>
    </row>
    <row r="124" spans="1:13" s="76" customFormat="1" ht="18" customHeight="1" x14ac:dyDescent="0.25">
      <c r="A124" s="204"/>
      <c r="D124" s="89"/>
      <c r="E124" s="87"/>
      <c r="F124" s="142"/>
      <c r="G124" s="143"/>
      <c r="H124" s="144"/>
      <c r="I124" s="144"/>
      <c r="J124" s="144"/>
      <c r="K124" s="142"/>
      <c r="L124" s="144"/>
      <c r="M124" s="145"/>
    </row>
    <row r="125" spans="1:13" s="76" customFormat="1" ht="18" customHeight="1" x14ac:dyDescent="0.25">
      <c r="A125" s="204"/>
      <c r="D125" s="89"/>
      <c r="E125" s="87"/>
      <c r="F125" s="142"/>
      <c r="G125" s="143"/>
      <c r="H125" s="144"/>
      <c r="I125" s="144"/>
      <c r="J125" s="144"/>
      <c r="K125" s="142"/>
      <c r="L125" s="144"/>
      <c r="M125" s="145"/>
    </row>
    <row r="126" spans="1:13" s="76" customFormat="1" ht="18" customHeight="1" x14ac:dyDescent="0.25">
      <c r="A126" s="204"/>
      <c r="D126" s="89"/>
      <c r="E126" s="87"/>
      <c r="F126" s="142"/>
      <c r="G126" s="143"/>
      <c r="H126" s="144"/>
      <c r="I126" s="144"/>
      <c r="J126" s="144"/>
      <c r="K126" s="142"/>
      <c r="L126" s="144"/>
      <c r="M126" s="145"/>
    </row>
    <row r="127" spans="1:13" s="76" customFormat="1" ht="18" customHeight="1" x14ac:dyDescent="0.25">
      <c r="A127" s="204"/>
      <c r="D127" s="89"/>
      <c r="E127" s="87"/>
      <c r="F127" s="142"/>
      <c r="G127" s="143"/>
      <c r="H127" s="144"/>
      <c r="I127" s="144"/>
      <c r="J127" s="144"/>
      <c r="K127" s="142"/>
      <c r="L127" s="144"/>
      <c r="M127" s="145"/>
    </row>
    <row r="128" spans="1:13" s="76" customFormat="1" ht="18" customHeight="1" x14ac:dyDescent="0.25">
      <c r="A128" s="204"/>
      <c r="D128" s="89"/>
      <c r="E128" s="87"/>
      <c r="F128" s="142"/>
      <c r="G128" s="143"/>
      <c r="H128" s="144"/>
      <c r="I128" s="144"/>
      <c r="J128" s="144"/>
      <c r="K128" s="142"/>
      <c r="L128" s="144"/>
      <c r="M128" s="145"/>
    </row>
    <row r="129" spans="1:13" s="76" customFormat="1" ht="18" customHeight="1" x14ac:dyDescent="0.25">
      <c r="A129" s="204"/>
      <c r="D129" s="89"/>
      <c r="E129" s="87"/>
      <c r="F129" s="142"/>
      <c r="G129" s="143"/>
      <c r="H129" s="144"/>
      <c r="I129" s="144"/>
      <c r="J129" s="144"/>
      <c r="K129" s="142"/>
      <c r="L129" s="144"/>
      <c r="M129" s="145"/>
    </row>
    <row r="130" spans="1:13" s="76" customFormat="1" ht="18" customHeight="1" x14ac:dyDescent="0.25">
      <c r="A130" s="204"/>
      <c r="D130" s="89"/>
      <c r="E130" s="87"/>
      <c r="F130" s="142"/>
      <c r="G130" s="143"/>
      <c r="H130" s="144"/>
      <c r="I130" s="144"/>
      <c r="J130" s="144"/>
      <c r="K130" s="142"/>
      <c r="L130" s="144"/>
      <c r="M130" s="145"/>
    </row>
    <row r="131" spans="1:13" s="76" customFormat="1" ht="18" customHeight="1" x14ac:dyDescent="0.25">
      <c r="A131" s="204"/>
      <c r="D131" s="89"/>
      <c r="E131" s="87"/>
      <c r="F131" s="142"/>
      <c r="G131" s="143"/>
      <c r="H131" s="144"/>
      <c r="I131" s="144"/>
      <c r="J131" s="144"/>
      <c r="K131" s="142"/>
      <c r="L131" s="144"/>
      <c r="M131" s="145"/>
    </row>
    <row r="132" spans="1:13" s="76" customFormat="1" ht="18" customHeight="1" x14ac:dyDescent="0.25">
      <c r="A132" s="204"/>
      <c r="D132" s="89"/>
      <c r="E132" s="87"/>
      <c r="F132" s="142"/>
      <c r="G132" s="143"/>
      <c r="H132" s="144"/>
      <c r="I132" s="144"/>
      <c r="J132" s="144"/>
      <c r="K132" s="142"/>
      <c r="L132" s="144"/>
      <c r="M132" s="145"/>
    </row>
    <row r="133" spans="1:13" s="76" customFormat="1" ht="18" customHeight="1" x14ac:dyDescent="0.25">
      <c r="A133" s="204"/>
      <c r="D133" s="89"/>
      <c r="E133" s="87"/>
      <c r="F133" s="142"/>
      <c r="G133" s="143"/>
      <c r="H133" s="144"/>
      <c r="I133" s="144"/>
      <c r="J133" s="144"/>
      <c r="K133" s="142"/>
      <c r="L133" s="144"/>
      <c r="M133" s="145"/>
    </row>
    <row r="134" spans="1:13" s="76" customFormat="1" ht="18" customHeight="1" x14ac:dyDescent="0.25">
      <c r="A134" s="204"/>
      <c r="D134" s="89"/>
      <c r="E134" s="87"/>
      <c r="F134" s="142"/>
      <c r="G134" s="143"/>
      <c r="H134" s="144"/>
      <c r="I134" s="144"/>
      <c r="J134" s="144"/>
      <c r="K134" s="142"/>
      <c r="L134" s="144"/>
      <c r="M134" s="145"/>
    </row>
    <row r="135" spans="1:13" s="76" customFormat="1" ht="18" customHeight="1" x14ac:dyDescent="0.25">
      <c r="A135" s="204"/>
      <c r="D135" s="89"/>
      <c r="E135" s="87"/>
      <c r="F135" s="142"/>
      <c r="G135" s="143"/>
      <c r="H135" s="144"/>
      <c r="I135" s="144"/>
      <c r="J135" s="144"/>
      <c r="K135" s="142"/>
      <c r="L135" s="144"/>
      <c r="M135" s="145"/>
    </row>
    <row r="136" spans="1:13" s="76" customFormat="1" ht="18" customHeight="1" x14ac:dyDescent="0.25">
      <c r="A136" s="204"/>
      <c r="D136" s="89"/>
      <c r="E136" s="87"/>
      <c r="F136" s="142"/>
      <c r="G136" s="143"/>
      <c r="H136" s="144"/>
      <c r="I136" s="144"/>
      <c r="J136" s="144"/>
      <c r="K136" s="142"/>
      <c r="L136" s="144"/>
      <c r="M136" s="145"/>
    </row>
    <row r="137" spans="1:13" s="76" customFormat="1" ht="18" customHeight="1" x14ac:dyDescent="0.25">
      <c r="A137" s="204"/>
      <c r="D137" s="89"/>
      <c r="E137" s="87"/>
      <c r="F137" s="142"/>
      <c r="G137" s="143"/>
      <c r="H137" s="144"/>
      <c r="I137" s="144"/>
      <c r="J137" s="144"/>
      <c r="K137" s="142"/>
      <c r="L137" s="144"/>
      <c r="M137" s="145"/>
    </row>
    <row r="138" spans="1:13" s="76" customFormat="1" ht="18" customHeight="1" x14ac:dyDescent="0.25">
      <c r="A138" s="204"/>
      <c r="D138" s="89"/>
      <c r="E138" s="87"/>
      <c r="F138" s="142"/>
      <c r="G138" s="143"/>
      <c r="H138" s="144"/>
      <c r="I138" s="144"/>
      <c r="J138" s="144"/>
      <c r="K138" s="142"/>
      <c r="L138" s="144"/>
      <c r="M138" s="145"/>
    </row>
    <row r="139" spans="1:13" s="76" customFormat="1" ht="18" customHeight="1" x14ac:dyDescent="0.25">
      <c r="A139" s="204"/>
      <c r="D139" s="89"/>
      <c r="E139" s="87"/>
      <c r="F139" s="142"/>
      <c r="G139" s="143"/>
      <c r="H139" s="144"/>
      <c r="I139" s="144"/>
      <c r="J139" s="144"/>
      <c r="K139" s="142"/>
      <c r="L139" s="144"/>
      <c r="M139" s="145"/>
    </row>
    <row r="140" spans="1:13" s="76" customFormat="1" ht="18" customHeight="1" x14ac:dyDescent="0.25">
      <c r="A140" s="204"/>
      <c r="D140" s="89"/>
      <c r="E140" s="87"/>
      <c r="F140" s="142"/>
      <c r="G140" s="143"/>
      <c r="H140" s="144"/>
      <c r="I140" s="144"/>
      <c r="J140" s="144"/>
      <c r="K140" s="142"/>
      <c r="L140" s="144"/>
      <c r="M140" s="145"/>
    </row>
    <row r="141" spans="1:13" s="76" customFormat="1" ht="18" customHeight="1" x14ac:dyDescent="0.25">
      <c r="A141" s="204"/>
      <c r="D141" s="89"/>
      <c r="E141" s="87"/>
      <c r="F141" s="142"/>
      <c r="G141" s="143"/>
      <c r="H141" s="144"/>
      <c r="I141" s="144"/>
      <c r="J141" s="144"/>
      <c r="K141" s="142"/>
      <c r="L141" s="144"/>
      <c r="M141" s="145"/>
    </row>
    <row r="142" spans="1:13" s="76" customFormat="1" ht="18" customHeight="1" x14ac:dyDescent="0.25">
      <c r="A142" s="204"/>
      <c r="D142" s="89"/>
      <c r="E142" s="87"/>
      <c r="F142" s="142"/>
      <c r="G142" s="143"/>
      <c r="H142" s="144"/>
      <c r="I142" s="144"/>
      <c r="J142" s="144"/>
      <c r="K142" s="142"/>
      <c r="L142" s="144"/>
      <c r="M142" s="145"/>
    </row>
    <row r="143" spans="1:13" s="76" customFormat="1" ht="18" customHeight="1" x14ac:dyDescent="0.25">
      <c r="A143" s="204"/>
      <c r="D143" s="89"/>
      <c r="E143" s="87"/>
      <c r="F143" s="142"/>
      <c r="G143" s="143"/>
      <c r="H143" s="144"/>
      <c r="I143" s="144"/>
      <c r="J143" s="144"/>
      <c r="K143" s="142"/>
      <c r="L143" s="144"/>
      <c r="M143" s="145"/>
    </row>
    <row r="144" spans="1:13" s="76" customFormat="1" ht="18" customHeight="1" x14ac:dyDescent="0.25">
      <c r="A144" s="204"/>
      <c r="D144" s="89"/>
      <c r="E144" s="87"/>
      <c r="F144" s="142"/>
      <c r="G144" s="143"/>
      <c r="H144" s="144"/>
      <c r="I144" s="144"/>
      <c r="J144" s="144"/>
      <c r="K144" s="142"/>
      <c r="L144" s="144"/>
      <c r="M144" s="145"/>
    </row>
    <row r="145" spans="1:13" s="76" customFormat="1" ht="18" customHeight="1" x14ac:dyDescent="0.25">
      <c r="A145" s="204"/>
      <c r="D145" s="89"/>
      <c r="E145" s="87"/>
      <c r="F145" s="142"/>
      <c r="G145" s="143"/>
      <c r="H145" s="144"/>
      <c r="I145" s="144"/>
      <c r="J145" s="144"/>
      <c r="K145" s="142"/>
      <c r="L145" s="144"/>
      <c r="M145" s="145"/>
    </row>
    <row r="146" spans="1:13" s="76" customFormat="1" ht="18" customHeight="1" x14ac:dyDescent="0.25">
      <c r="A146" s="204"/>
      <c r="D146" s="89"/>
      <c r="E146" s="87"/>
      <c r="F146" s="142"/>
      <c r="G146" s="143"/>
      <c r="H146" s="144"/>
      <c r="I146" s="144"/>
      <c r="J146" s="144"/>
      <c r="K146" s="142"/>
      <c r="L146" s="144"/>
      <c r="M146" s="145"/>
    </row>
    <row r="147" spans="1:13" s="76" customFormat="1" ht="18" customHeight="1" x14ac:dyDescent="0.25">
      <c r="A147" s="204"/>
      <c r="D147" s="89"/>
      <c r="E147" s="87"/>
      <c r="F147" s="142"/>
      <c r="G147" s="143"/>
      <c r="H147" s="144"/>
      <c r="I147" s="144"/>
      <c r="J147" s="144"/>
      <c r="K147" s="142"/>
      <c r="L147" s="144"/>
      <c r="M147" s="145"/>
    </row>
    <row r="148" spans="1:13" s="76" customFormat="1" ht="18" customHeight="1" x14ac:dyDescent="0.25">
      <c r="A148" s="204"/>
      <c r="D148" s="89"/>
      <c r="E148" s="87"/>
      <c r="F148" s="142"/>
      <c r="G148" s="143"/>
      <c r="H148" s="144"/>
      <c r="I148" s="144"/>
      <c r="J148" s="144"/>
      <c r="K148" s="142"/>
      <c r="L148" s="144"/>
      <c r="M148" s="145"/>
    </row>
    <row r="149" spans="1:13" s="76" customFormat="1" ht="18" customHeight="1" x14ac:dyDescent="0.25">
      <c r="A149" s="204"/>
      <c r="D149" s="89"/>
      <c r="E149" s="87"/>
      <c r="F149" s="142"/>
      <c r="G149" s="143"/>
      <c r="H149" s="144"/>
      <c r="I149" s="144"/>
      <c r="J149" s="144"/>
      <c r="K149" s="142"/>
      <c r="L149" s="144"/>
      <c r="M149" s="145"/>
    </row>
    <row r="150" spans="1:13" s="76" customFormat="1" ht="18" customHeight="1" x14ac:dyDescent="0.25">
      <c r="A150" s="204"/>
      <c r="D150" s="89"/>
      <c r="E150" s="87"/>
      <c r="F150" s="142"/>
      <c r="G150" s="143"/>
      <c r="H150" s="144"/>
      <c r="I150" s="144"/>
      <c r="J150" s="144"/>
      <c r="K150" s="142"/>
      <c r="L150" s="144"/>
      <c r="M150" s="145"/>
    </row>
    <row r="151" spans="1:13" s="76" customFormat="1" ht="18" customHeight="1" x14ac:dyDescent="0.25">
      <c r="A151" s="204"/>
      <c r="D151" s="89"/>
      <c r="E151" s="87"/>
      <c r="F151" s="142"/>
      <c r="G151" s="143"/>
      <c r="H151" s="144"/>
      <c r="I151" s="144"/>
      <c r="J151" s="144"/>
      <c r="K151" s="142"/>
      <c r="L151" s="144"/>
      <c r="M151" s="145"/>
    </row>
    <row r="152" spans="1:13" s="76" customFormat="1" ht="18" customHeight="1" x14ac:dyDescent="0.25">
      <c r="A152" s="204"/>
      <c r="D152" s="89"/>
      <c r="E152" s="87"/>
      <c r="F152" s="142"/>
      <c r="G152" s="143"/>
      <c r="H152" s="144"/>
      <c r="I152" s="144"/>
      <c r="J152" s="144"/>
      <c r="K152" s="142"/>
      <c r="L152" s="144"/>
      <c r="M152" s="145"/>
    </row>
    <row r="153" spans="1:13" s="76" customFormat="1" ht="18" customHeight="1" x14ac:dyDescent="0.25">
      <c r="A153" s="204"/>
      <c r="D153" s="89"/>
      <c r="E153" s="87"/>
      <c r="F153" s="142"/>
      <c r="G153" s="143"/>
      <c r="H153" s="144"/>
      <c r="I153" s="144"/>
      <c r="J153" s="144"/>
      <c r="K153" s="142"/>
      <c r="L153" s="144"/>
      <c r="M153" s="145"/>
    </row>
    <row r="154" spans="1:13" s="76" customFormat="1" ht="18" customHeight="1" x14ac:dyDescent="0.25">
      <c r="A154" s="204"/>
      <c r="D154" s="89"/>
      <c r="E154" s="87"/>
      <c r="F154" s="142"/>
      <c r="G154" s="143"/>
      <c r="H154" s="144"/>
      <c r="I154" s="144"/>
      <c r="J154" s="144"/>
      <c r="K154" s="142"/>
      <c r="L154" s="144"/>
      <c r="M154" s="145"/>
    </row>
    <row r="155" spans="1:13" s="76" customFormat="1" ht="18" customHeight="1" x14ac:dyDescent="0.25">
      <c r="A155" s="204"/>
      <c r="D155" s="89"/>
      <c r="E155" s="87"/>
      <c r="F155" s="142"/>
      <c r="G155" s="143"/>
      <c r="H155" s="144"/>
      <c r="I155" s="144"/>
      <c r="J155" s="144"/>
      <c r="K155" s="142"/>
      <c r="L155" s="144"/>
      <c r="M155" s="145"/>
    </row>
    <row r="156" spans="1:13" s="76" customFormat="1" ht="18" customHeight="1" x14ac:dyDescent="0.25">
      <c r="A156" s="204"/>
      <c r="D156" s="89"/>
      <c r="E156" s="87"/>
      <c r="F156" s="142"/>
      <c r="G156" s="143"/>
      <c r="H156" s="144"/>
      <c r="I156" s="144"/>
      <c r="J156" s="144"/>
      <c r="K156" s="142"/>
      <c r="L156" s="144"/>
      <c r="M156" s="145"/>
    </row>
    <row r="157" spans="1:13" s="76" customFormat="1" ht="18" customHeight="1" x14ac:dyDescent="0.25">
      <c r="A157" s="204"/>
      <c r="D157" s="89"/>
      <c r="E157" s="87"/>
      <c r="F157" s="142"/>
      <c r="G157" s="143"/>
      <c r="H157" s="144"/>
      <c r="I157" s="144"/>
      <c r="J157" s="144"/>
      <c r="K157" s="142"/>
      <c r="L157" s="144"/>
      <c r="M157" s="145"/>
    </row>
    <row r="158" spans="1:13" s="76" customFormat="1" ht="18" customHeight="1" x14ac:dyDescent="0.25">
      <c r="A158" s="204"/>
      <c r="D158" s="89"/>
      <c r="E158" s="87"/>
      <c r="F158" s="142"/>
      <c r="G158" s="143"/>
      <c r="H158" s="144"/>
      <c r="I158" s="144"/>
      <c r="J158" s="144"/>
      <c r="K158" s="142"/>
      <c r="L158" s="144"/>
      <c r="M158" s="145"/>
    </row>
    <row r="159" spans="1:13" s="76" customFormat="1" ht="18" customHeight="1" x14ac:dyDescent="0.25">
      <c r="A159" s="204"/>
      <c r="D159" s="89"/>
      <c r="E159" s="87"/>
      <c r="F159" s="142"/>
      <c r="G159" s="143"/>
      <c r="H159" s="144"/>
      <c r="I159" s="144"/>
      <c r="J159" s="144"/>
      <c r="K159" s="142"/>
      <c r="L159" s="144"/>
      <c r="M159" s="145"/>
    </row>
    <row r="160" spans="1:13" s="76" customFormat="1" ht="18" customHeight="1" x14ac:dyDescent="0.25">
      <c r="A160" s="204"/>
      <c r="D160" s="89"/>
      <c r="E160" s="87"/>
      <c r="F160" s="142"/>
      <c r="G160" s="143"/>
      <c r="H160" s="144"/>
      <c r="I160" s="144"/>
      <c r="J160" s="144"/>
      <c r="K160" s="142"/>
      <c r="L160" s="144"/>
      <c r="M160" s="145"/>
    </row>
    <row r="161" spans="1:13" s="76" customFormat="1" ht="18" customHeight="1" x14ac:dyDescent="0.25">
      <c r="A161" s="204"/>
      <c r="D161" s="89"/>
      <c r="E161" s="87"/>
      <c r="F161" s="142"/>
      <c r="G161" s="143"/>
      <c r="H161" s="144"/>
      <c r="I161" s="144"/>
      <c r="J161" s="144"/>
      <c r="K161" s="142"/>
      <c r="L161" s="144"/>
      <c r="M161" s="145"/>
    </row>
    <row r="162" spans="1:13" s="76" customFormat="1" ht="18" customHeight="1" x14ac:dyDescent="0.25">
      <c r="A162" s="204"/>
      <c r="D162" s="89"/>
      <c r="E162" s="87"/>
      <c r="F162" s="142"/>
      <c r="G162" s="143"/>
      <c r="H162" s="144"/>
      <c r="I162" s="144"/>
      <c r="J162" s="144"/>
      <c r="K162" s="142"/>
      <c r="L162" s="144"/>
      <c r="M162" s="145"/>
    </row>
    <row r="163" spans="1:13" s="76" customFormat="1" ht="18" customHeight="1" x14ac:dyDescent="0.25">
      <c r="A163" s="204"/>
      <c r="D163" s="89"/>
      <c r="E163" s="87"/>
      <c r="F163" s="142"/>
      <c r="G163" s="143"/>
      <c r="H163" s="144"/>
      <c r="I163" s="144"/>
      <c r="J163" s="144"/>
      <c r="K163" s="142"/>
      <c r="L163" s="144"/>
      <c r="M163" s="145"/>
    </row>
    <row r="164" spans="1:13" s="76" customFormat="1" ht="18" customHeight="1" x14ac:dyDescent="0.25">
      <c r="A164" s="204"/>
      <c r="D164" s="89"/>
      <c r="E164" s="87"/>
      <c r="F164" s="142"/>
      <c r="G164" s="143"/>
      <c r="H164" s="144"/>
      <c r="I164" s="144"/>
      <c r="J164" s="144"/>
      <c r="K164" s="142"/>
      <c r="L164" s="144"/>
      <c r="M164" s="145"/>
    </row>
    <row r="165" spans="1:13" s="76" customFormat="1" ht="18" customHeight="1" x14ac:dyDescent="0.25">
      <c r="A165" s="204"/>
      <c r="D165" s="89"/>
      <c r="E165" s="87"/>
      <c r="F165" s="142"/>
      <c r="G165" s="143"/>
      <c r="H165" s="144"/>
      <c r="I165" s="144"/>
      <c r="J165" s="144"/>
      <c r="K165" s="142"/>
      <c r="L165" s="144"/>
      <c r="M165" s="145"/>
    </row>
    <row r="166" spans="1:13" s="76" customFormat="1" ht="18" customHeight="1" x14ac:dyDescent="0.25">
      <c r="A166" s="204"/>
      <c r="D166" s="89"/>
      <c r="E166" s="87"/>
      <c r="F166" s="142"/>
      <c r="G166" s="143"/>
      <c r="H166" s="144"/>
      <c r="I166" s="144"/>
      <c r="J166" s="144"/>
      <c r="K166" s="142"/>
      <c r="L166" s="144"/>
      <c r="M166" s="145"/>
    </row>
    <row r="167" spans="1:13" s="76" customFormat="1" ht="18" customHeight="1" x14ac:dyDescent="0.25">
      <c r="A167" s="204"/>
      <c r="D167" s="89"/>
      <c r="E167" s="87"/>
      <c r="F167" s="142"/>
      <c r="G167" s="143"/>
      <c r="H167" s="144"/>
      <c r="I167" s="144"/>
      <c r="J167" s="144"/>
      <c r="K167" s="142"/>
      <c r="L167" s="144"/>
      <c r="M167" s="145"/>
    </row>
    <row r="168" spans="1:13" s="76" customFormat="1" ht="18" customHeight="1" x14ac:dyDescent="0.25">
      <c r="A168" s="204"/>
      <c r="D168" s="89"/>
      <c r="E168" s="87"/>
      <c r="F168" s="142"/>
      <c r="G168" s="143"/>
      <c r="H168" s="144"/>
      <c r="I168" s="144"/>
      <c r="J168" s="144"/>
      <c r="K168" s="142"/>
      <c r="L168" s="144"/>
      <c r="M168" s="145"/>
    </row>
    <row r="169" spans="1:13" s="76" customFormat="1" ht="18" customHeight="1" x14ac:dyDescent="0.25">
      <c r="A169" s="204"/>
      <c r="D169" s="89"/>
      <c r="E169" s="87"/>
      <c r="F169" s="142"/>
      <c r="G169" s="143"/>
      <c r="H169" s="144"/>
      <c r="I169" s="144"/>
      <c r="J169" s="144"/>
      <c r="K169" s="142"/>
      <c r="L169" s="144"/>
      <c r="M169" s="145"/>
    </row>
    <row r="170" spans="1:13" s="76" customFormat="1" ht="18" customHeight="1" x14ac:dyDescent="0.25">
      <c r="A170" s="204"/>
      <c r="D170" s="89"/>
      <c r="E170" s="87"/>
      <c r="F170" s="142"/>
      <c r="G170" s="143"/>
      <c r="H170" s="144"/>
      <c r="I170" s="144"/>
      <c r="J170" s="144"/>
      <c r="K170" s="142"/>
      <c r="L170" s="144"/>
      <c r="M170" s="145"/>
    </row>
    <row r="171" spans="1:13" s="76" customFormat="1" ht="18" customHeight="1" x14ac:dyDescent="0.25">
      <c r="A171" s="204"/>
      <c r="D171" s="89"/>
      <c r="E171" s="87"/>
      <c r="F171" s="142"/>
      <c r="G171" s="143"/>
      <c r="H171" s="144"/>
      <c r="I171" s="144"/>
      <c r="J171" s="144"/>
      <c r="K171" s="142"/>
      <c r="L171" s="144"/>
      <c r="M171" s="145"/>
    </row>
    <row r="172" spans="1:13" s="76" customFormat="1" ht="18" customHeight="1" x14ac:dyDescent="0.25">
      <c r="A172" s="204"/>
      <c r="D172" s="89"/>
      <c r="E172" s="87"/>
      <c r="F172" s="142"/>
      <c r="G172" s="143"/>
      <c r="H172" s="144"/>
      <c r="I172" s="144"/>
      <c r="J172" s="144"/>
      <c r="K172" s="142"/>
      <c r="L172" s="144"/>
      <c r="M172" s="145"/>
    </row>
    <row r="173" spans="1:13" s="76" customFormat="1" ht="18" customHeight="1" x14ac:dyDescent="0.25">
      <c r="A173" s="204"/>
      <c r="D173" s="89"/>
      <c r="E173" s="87"/>
      <c r="F173" s="142"/>
      <c r="G173" s="143"/>
      <c r="H173" s="144"/>
      <c r="I173" s="144"/>
      <c r="J173" s="144"/>
      <c r="K173" s="142"/>
      <c r="L173" s="144"/>
      <c r="M173" s="145"/>
    </row>
    <row r="174" spans="1:13" s="76" customFormat="1" ht="18" customHeight="1" x14ac:dyDescent="0.25">
      <c r="A174" s="204"/>
      <c r="D174" s="89"/>
      <c r="E174" s="87"/>
      <c r="F174" s="142"/>
      <c r="G174" s="143"/>
      <c r="H174" s="144"/>
      <c r="I174" s="144"/>
      <c r="J174" s="144"/>
      <c r="K174" s="142"/>
      <c r="L174" s="144"/>
      <c r="M174" s="145"/>
    </row>
    <row r="175" spans="1:13" s="76" customFormat="1" ht="18" customHeight="1" x14ac:dyDescent="0.25">
      <c r="A175" s="204"/>
      <c r="D175" s="89"/>
      <c r="E175" s="87"/>
      <c r="F175" s="142"/>
      <c r="G175" s="143"/>
      <c r="H175" s="144"/>
      <c r="I175" s="144"/>
      <c r="J175" s="144"/>
      <c r="K175" s="142"/>
      <c r="L175" s="144"/>
      <c r="M175" s="145"/>
    </row>
    <row r="176" spans="1:13" s="76" customFormat="1" ht="18" customHeight="1" x14ac:dyDescent="0.25">
      <c r="A176" s="204"/>
      <c r="D176" s="89"/>
      <c r="E176" s="87"/>
      <c r="F176" s="142"/>
      <c r="G176" s="143"/>
      <c r="H176" s="144"/>
      <c r="I176" s="144"/>
      <c r="J176" s="144"/>
      <c r="K176" s="142"/>
      <c r="L176" s="144"/>
      <c r="M176" s="145"/>
    </row>
    <row r="177" spans="1:13" s="76" customFormat="1" ht="18" customHeight="1" x14ac:dyDescent="0.25">
      <c r="A177" s="204"/>
      <c r="D177" s="89"/>
      <c r="E177" s="87"/>
      <c r="F177" s="142"/>
      <c r="G177" s="143"/>
      <c r="H177" s="144"/>
      <c r="I177" s="144"/>
      <c r="J177" s="144"/>
      <c r="K177" s="142"/>
      <c r="L177" s="144"/>
      <c r="M177" s="145"/>
    </row>
    <row r="178" spans="1:13" s="76" customFormat="1" ht="18" customHeight="1" x14ac:dyDescent="0.25">
      <c r="A178" s="204"/>
      <c r="D178" s="89"/>
      <c r="E178" s="87"/>
      <c r="F178" s="142"/>
      <c r="G178" s="143"/>
      <c r="H178" s="144"/>
      <c r="I178" s="144"/>
      <c r="J178" s="144"/>
      <c r="K178" s="142"/>
      <c r="L178" s="144"/>
      <c r="M178" s="145"/>
    </row>
    <row r="179" spans="1:13" s="76" customFormat="1" ht="18" customHeight="1" x14ac:dyDescent="0.25">
      <c r="A179" s="204"/>
      <c r="D179" s="89"/>
      <c r="E179" s="87"/>
      <c r="F179" s="142"/>
      <c r="G179" s="143"/>
      <c r="H179" s="144"/>
      <c r="I179" s="144"/>
      <c r="J179" s="144"/>
      <c r="K179" s="142"/>
      <c r="L179" s="144"/>
      <c r="M179" s="145"/>
    </row>
    <row r="180" spans="1:13" s="76" customFormat="1" ht="18" customHeight="1" x14ac:dyDescent="0.25">
      <c r="A180" s="204"/>
      <c r="D180" s="89"/>
      <c r="E180" s="87"/>
      <c r="F180" s="142"/>
      <c r="G180" s="143"/>
      <c r="H180" s="144"/>
      <c r="I180" s="144"/>
      <c r="J180" s="144"/>
      <c r="K180" s="142"/>
      <c r="L180" s="144"/>
      <c r="M180" s="145"/>
    </row>
  </sheetData>
  <sheetProtection password="A66D" sheet="1" objects="1" scenarios="1"/>
  <mergeCells count="51">
    <mergeCell ref="A53:D53"/>
    <mergeCell ref="A55:D55"/>
    <mergeCell ref="A54:E54"/>
    <mergeCell ref="A44:D44"/>
    <mergeCell ref="H51:J51"/>
    <mergeCell ref="A46:G46"/>
    <mergeCell ref="A45:F45"/>
    <mergeCell ref="A43:B43"/>
    <mergeCell ref="A34:B34"/>
    <mergeCell ref="A35:B35"/>
    <mergeCell ref="A49:G49"/>
    <mergeCell ref="A47:G47"/>
    <mergeCell ref="A51:G51"/>
    <mergeCell ref="A42:B42"/>
    <mergeCell ref="A18:B18"/>
    <mergeCell ref="A29:B29"/>
    <mergeCell ref="A30:B30"/>
    <mergeCell ref="A31:B31"/>
    <mergeCell ref="A40:B40"/>
    <mergeCell ref="A23:B23"/>
    <mergeCell ref="A12:B12"/>
    <mergeCell ref="A13:B13"/>
    <mergeCell ref="A24:F24"/>
    <mergeCell ref="A14:B14"/>
    <mergeCell ref="A16:B16"/>
    <mergeCell ref="A15:B15"/>
    <mergeCell ref="A19:B19"/>
    <mergeCell ref="A22:B22"/>
    <mergeCell ref="A17:B17"/>
    <mergeCell ref="A20:B20"/>
    <mergeCell ref="A21:B21"/>
    <mergeCell ref="A41:B41"/>
    <mergeCell ref="A37:B37"/>
    <mergeCell ref="A39:B39"/>
    <mergeCell ref="A25:B25"/>
    <mergeCell ref="A26:B26"/>
    <mergeCell ref="A38:F38"/>
    <mergeCell ref="A36:B36"/>
    <mergeCell ref="A33:B33"/>
    <mergeCell ref="A32:B32"/>
    <mergeCell ref="A28:B28"/>
    <mergeCell ref="A27:B27"/>
    <mergeCell ref="A2:K4"/>
    <mergeCell ref="A5:K5"/>
    <mergeCell ref="A10:C10"/>
    <mergeCell ref="A11:F11"/>
    <mergeCell ref="B8:F8"/>
    <mergeCell ref="I8:K8"/>
    <mergeCell ref="B6:H6"/>
    <mergeCell ref="F10:G10"/>
    <mergeCell ref="E7:H7"/>
  </mergeCells>
  <printOptions horizontalCentered="1"/>
  <pageMargins left="1.1811023622047245" right="0.59055118110236227" top="0.78740157480314965" bottom="0.78740157480314965" header="0.31496062992125984" footer="0.31496062992125984"/>
  <pageSetup paperSize="9" scale="54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DADOS GERAIS E ÁREAS</vt:lpstr>
      <vt:lpstr>QUADRO GERAL DE ÁREAS</vt:lpstr>
      <vt:lpstr>'DADOS GERAIS E ÁREAS'!Area_de_impressao</vt:lpstr>
      <vt:lpstr>'QUADRO GERAL DE ÁREAS'!Area_de_impressao</vt:lpstr>
      <vt:lpstr>'DADOS GERAIS E ÁREAS'!Titulos_de_impressao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mantunes</dc:creator>
  <cp:lastModifiedBy>Mariana Bandeira Ansani Yamanaka</cp:lastModifiedBy>
  <cp:lastPrinted>2017-06-01T22:23:46Z</cp:lastPrinted>
  <dcterms:created xsi:type="dcterms:W3CDTF">2012-03-02T17:19:25Z</dcterms:created>
  <dcterms:modified xsi:type="dcterms:W3CDTF">2018-11-05T19:05:50Z</dcterms:modified>
</cp:coreProperties>
</file>